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245" i="29" l="1"/>
  <c r="D217" i="29"/>
  <c r="H5" i="12"/>
  <c r="I7" i="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A2" i="173" l="1"/>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E27" i="108"/>
  <c r="G27" i="108"/>
  <c r="E28" i="108"/>
  <c r="F28" i="108"/>
  <c r="F31" i="108"/>
  <c r="F36" i="108"/>
  <c r="F37" i="108"/>
  <c r="G28" i="108"/>
  <c r="D31"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5" i="4"/>
  <c r="B6032" i="106" s="1"/>
  <c r="D6032" i="106" s="1"/>
  <c r="K13" i="4"/>
  <c r="B3572" i="106" s="1"/>
  <c r="D3572" i="106" s="1"/>
  <c r="D14" i="4"/>
  <c r="B2570" i="106" s="1"/>
  <c r="D2570" i="106" s="1"/>
  <c r="F14" i="4"/>
  <c r="B2597" i="106" s="1"/>
  <c r="D2597" i="106" s="1"/>
  <c r="B2633" i="106"/>
  <c r="D2633" i="106" s="1"/>
  <c r="D7" i="118"/>
  <c r="D8" i="118"/>
  <c r="D9" i="118"/>
  <c r="H14" i="118"/>
  <c r="H19" i="118"/>
  <c r="H24" i="118"/>
  <c r="H28" i="118"/>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1" i="34"/>
  <c r="F130" i="34"/>
  <c r="F127" i="34"/>
  <c r="B5847" i="106"/>
  <c r="D5847" i="106" s="1"/>
  <c r="B5752" i="106"/>
  <c r="D5752" i="106" s="1"/>
  <c r="B5599" i="106"/>
  <c r="D5599" i="106" s="1"/>
  <c r="H173" i="5"/>
  <c r="B5906" i="106" s="1"/>
  <c r="D5906" i="106" s="1"/>
  <c r="H109" i="5"/>
  <c r="B6025" i="106" s="1"/>
  <c r="D6025" i="106" s="1"/>
  <c r="F106" i="34"/>
  <c r="D7" i="7"/>
  <c r="B1763" i="106" s="1"/>
  <c r="D1763" i="106" s="1"/>
  <c r="H4" i="4"/>
  <c r="B2655" i="106"/>
  <c r="D2655" i="106" s="1"/>
  <c r="B1746" i="106"/>
  <c r="D1746" i="106" s="1"/>
  <c r="D17" i="7"/>
  <c r="B4104" i="106" s="1"/>
  <c r="D4104" i="106" s="1"/>
  <c r="D12" i="7"/>
  <c r="B1769" i="106" s="1"/>
  <c r="D1769" i="106" s="1"/>
  <c r="D11" i="7"/>
  <c r="B1768" i="106" s="1"/>
  <c r="D1768" i="106" s="1"/>
  <c r="D15" i="7"/>
  <c r="B1772" i="106" s="1"/>
  <c r="D1772" i="106" s="1"/>
  <c r="H6" i="4" l="1"/>
  <c r="B2656" i="106" s="1"/>
  <c r="D2656" i="106" s="1"/>
  <c r="K274" i="5"/>
  <c r="F111" i="34"/>
  <c r="B5770" i="106"/>
  <c r="D5770" i="106" s="1"/>
  <c r="D5" i="4"/>
  <c r="B3406" i="106" s="1"/>
  <c r="D3406" i="106" s="1"/>
  <c r="I173" i="5"/>
  <c r="B4216" i="106" s="1"/>
  <c r="D4216" i="106" s="1"/>
  <c r="L367" i="29"/>
  <c r="D7245" i="106"/>
  <c r="I342" i="29"/>
  <c r="B7222" i="106" s="1"/>
  <c r="D7222" i="106" s="1"/>
  <c r="G352" i="29"/>
  <c r="C352" i="29"/>
  <c r="K41" i="3"/>
  <c r="L15" i="11"/>
  <c r="B3459" i="106" s="1"/>
  <c r="D3459" i="106" s="1"/>
  <c r="G39" i="108"/>
  <c r="K24" i="12"/>
  <c r="C129" i="29"/>
  <c r="F72" i="34"/>
  <c r="G14" i="4"/>
  <c r="B2609" i="106" s="1"/>
  <c r="D2609" i="106" s="1"/>
  <c r="G109" i="5"/>
  <c r="F65" i="34"/>
  <c r="G29" i="108"/>
  <c r="E29" i="108"/>
  <c r="K184" i="29"/>
  <c r="F13" i="4" s="1"/>
  <c r="B2596" i="106" s="1"/>
  <c r="D2596" i="106" s="1"/>
  <c r="B1329" i="106"/>
  <c r="D1329" i="106" s="1"/>
  <c r="F61" i="34"/>
  <c r="E109" i="5"/>
  <c r="E4" i="4" s="1"/>
  <c r="B2630" i="106" s="1"/>
  <c r="D2630" i="106" s="1"/>
  <c r="D109" i="5"/>
  <c r="B5356" i="106" s="1"/>
  <c r="D5356" i="106" s="1"/>
  <c r="B6995" i="106"/>
  <c r="D6995" i="106" s="1"/>
  <c r="C14" i="4"/>
  <c r="B2558" i="106" s="1"/>
  <c r="D2558" i="106" s="1"/>
  <c r="F52" i="34"/>
  <c r="D36" i="108"/>
  <c r="G30" i="108"/>
  <c r="E30" i="108"/>
  <c r="D27" i="108"/>
  <c r="F94" i="34"/>
  <c r="C172" i="5"/>
  <c r="B5214" i="106" s="1"/>
  <c r="D5214" i="106" s="1"/>
  <c r="C109" i="5"/>
  <c r="B5121" i="106" s="1"/>
  <c r="D5121" i="106" s="1"/>
  <c r="F19" i="7"/>
  <c r="B1807" i="106" s="1"/>
  <c r="D1807" i="106" s="1"/>
  <c r="L13" i="11"/>
  <c r="B2060" i="106" s="1"/>
  <c r="D2060" i="106" s="1"/>
  <c r="N22" i="3"/>
  <c r="B283" i="106" s="1"/>
  <c r="D283" i="106" s="1"/>
  <c r="D69" i="36"/>
  <c r="D54" i="36"/>
  <c r="H33" i="118"/>
  <c r="H29" i="118"/>
  <c r="K28" i="118" s="1"/>
  <c r="O27" i="118" s="1"/>
  <c r="O29" i="118" s="1"/>
  <c r="B4268" i="106"/>
  <c r="D4268" i="106"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H8" i="4"/>
  <c r="D274" i="5"/>
  <c r="B7270" i="106"/>
  <c r="H367" i="29" l="1"/>
  <c r="B3660" i="106" s="1"/>
  <c r="D3660" i="106" s="1"/>
  <c r="B3568" i="106"/>
  <c r="D3568" i="106" s="1"/>
  <c r="D52" i="36"/>
  <c r="B3649" i="106"/>
  <c r="D3649" i="106" s="1"/>
  <c r="G367" i="29"/>
  <c r="B3650" i="106" s="1"/>
  <c r="D3650" i="106" s="1"/>
  <c r="D41" i="108"/>
  <c r="E43" i="108" s="1"/>
  <c r="B7733" i="106"/>
  <c r="D7733" i="106" s="1"/>
  <c r="K26" i="12"/>
  <c r="B7743" i="106" s="1"/>
  <c r="D7743" i="106" s="1"/>
  <c r="B3621" i="106"/>
  <c r="D3621" i="106" s="1"/>
  <c r="C367" i="29"/>
  <c r="B3622" i="106" s="1"/>
  <c r="D3622" i="106" s="1"/>
  <c r="L114" i="29"/>
  <c r="B6024" i="106"/>
  <c r="D6024" i="106" s="1"/>
  <c r="G4" i="4"/>
  <c r="B2603" i="106" s="1"/>
  <c r="D2603" i="106" s="1"/>
  <c r="B1381" i="106"/>
  <c r="D1381" i="106" s="1"/>
  <c r="F6" i="4"/>
  <c r="B2593" i="106" s="1"/>
  <c r="D2593" i="106" s="1"/>
  <c r="F275" i="5"/>
  <c r="B5720" i="106" s="1"/>
  <c r="D5720" i="106" s="1"/>
  <c r="B1317" i="106"/>
  <c r="D1317" i="106" s="1"/>
  <c r="B5527" i="106"/>
  <c r="D5527" i="106" s="1"/>
  <c r="D4" i="4"/>
  <c r="B2564" i="106" s="1"/>
  <c r="D2564" i="106" s="1"/>
  <c r="C114" i="29"/>
  <c r="B757" i="106" s="1"/>
  <c r="D757" i="106" s="1"/>
  <c r="C173" i="5"/>
  <c r="B5223" i="106" s="1"/>
  <c r="D5223" i="106" s="1"/>
  <c r="C4" i="4"/>
  <c r="B2551" i="106" s="1"/>
  <c r="D2551" i="106" s="1"/>
  <c r="D19" i="7"/>
  <c r="B1775" i="106" s="1"/>
  <c r="D1775" i="106" s="1"/>
  <c r="L16" i="11"/>
  <c r="B2061" i="106" s="1"/>
  <c r="D2061" i="106" s="1"/>
  <c r="N23" i="3"/>
  <c r="B284" i="106" s="1"/>
  <c r="D28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J8" i="4"/>
  <c r="B2658" i="106"/>
  <c r="D2658" i="106" s="1"/>
  <c r="H10" i="4"/>
  <c r="B4127" i="106" s="1"/>
  <c r="D4127" i="106" s="1"/>
  <c r="D7" i="4"/>
  <c r="D275" i="5"/>
  <c r="B5507" i="106"/>
  <c r="D5507" i="106" s="1"/>
  <c r="B7298" i="106"/>
  <c r="B7299" i="106"/>
  <c r="B1145" i="106" l="1"/>
  <c r="D1145" i="106" s="1"/>
  <c r="G41" i="108"/>
  <c r="G44" i="108" s="1"/>
  <c r="G45" i="108" s="1"/>
  <c r="E41" i="108"/>
  <c r="E44" i="108" s="1"/>
  <c r="E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<sst xmlns="http://schemas.openxmlformats.org/spreadsheetml/2006/main" count="5030" uniqueCount="2105">
  <si>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</si>
  <si>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</si>
  <si>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</si>
  <si>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</si>
  <si>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</si>
  <si>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</si>
  <si>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</si>
  <si>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</si>
  <si>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</si>
  <si>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</si>
  <si>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</si>
  <si>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</si>
  <si>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</si>
  <si>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</si>
  <si>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</si>
  <si>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</si>
  <si>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</si>
  <si>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</si>
  <si>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</si>
  <si>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</si>
  <si>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</si>
  <si>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</si>
  <si>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</si>
  <si>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</si>
  <si>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</si>
  <si>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</si>
  <si>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</si>
  <si>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</si>
  <si>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</si>
  <si>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</si>
  <si>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</si>
  <si>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</si>
  <si>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</si>
  <si>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</si>
  <si>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</si>
  <si>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</si>
  <si>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</si>
  <si>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</si>
  <si>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</si>
  <si>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</si>
  <si>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</si>
  <si>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</si>
  <si>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</si>
  <si>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</si>
  <si>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</si>
  <si>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</si>
  <si>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</si>
  <si>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</si>
  <si>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</si>
  <si>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</si>
  <si>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</si>
  <si>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</si>
  <si>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</si>
  <si>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</si>
  <si>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</si>
  <si>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</si>
  <si>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</si>
  <si>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</si>
  <si>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</si>
  <si>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</si>
  <si>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</si>
  <si>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</si>
  <si>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</si>
  <si>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</si>
  <si>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</si>
  <si>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</si>
  <si>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</si>
  <si>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</si>
  <si>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</si>
  <si>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</si>
  <si>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</si>
  <si>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</si>
  <si>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</si>
  <si>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</si>
  <si>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</si>
  <si>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</si>
  <si>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</si>
  <si>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</si>
  <si>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</si>
  <si>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</si>
  <si>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</si>
  <si>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</si>
  <si>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</si>
  <si>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</si>
  <si>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</si>
  <si>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</si>
  <si>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</si>
  <si>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</si>
  <si>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</si>
  <si>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</si>
  <si>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</si>
  <si>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</si>
  <si>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</si>
  <si>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</si>
  <si>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</si>
  <si>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</si>
  <si>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</si>
  <si>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</si>
  <si>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</si>
  <si>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</si>
  <si>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</si>
  <si>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</si>
  <si>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</si>
  <si>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</si>
  <si>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</si>
  <si>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</si>
  <si>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</si>
  <si>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</si>
  <si>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</si>
  <si>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</si>
  <si>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</si>
  <si>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</si>
  <si>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</si>
  <si>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</si>
  <si>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</si>
  <si>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</si>
  <si>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</si>
  <si>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</si>
  <si>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</si>
  <si>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</si>
  <si>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</si>
  <si>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</si>
  <si>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</si>
  <si>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</si>
  <si>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</si>
  <si>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</si>
  <si>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</si>
  <si>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</si>
  <si>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</si>
  <si>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</si>
  <si>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</si>
  <si>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</si>
  <si>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</si>
  <si>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</si>
  <si>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</si>
  <si>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</si>
  <si>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</si>
  <si>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</si>
  <si>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</si>
  <si>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</si>
  <si>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</si>
  <si>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</si>
  <si>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</si>
  <si>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</si>
  <si>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</si>
  <si>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</si>
  <si>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</si>
  <si>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</si>
  <si>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</si>
  <si>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</si>
  <si>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</si>
  <si>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</si>
  <si>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</si>
  <si>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</si>
  <si>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</si>
  <si>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</si>
  <si>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</si>
  <si>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</si>
  <si>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</si>
  <si>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</si>
  <si>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</si>
  <si>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</si>
  <si>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</si>
  <si>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</si>
  <si>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</si>
  <si>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</si>
  <si>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</si>
  <si>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</si>
  <si>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</si>
  <si>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</si>
  <si>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</si>
  <si>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</si>
  <si>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</si>
  <si>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</si>
  <si>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</si>
  <si>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</si>
  <si>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</si>
  <si>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</si>
  <si>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</si>
  <si>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</si>
  <si>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</si>
  <si>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</si>
  <si>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</si>
  <si>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</si>
  <si>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</si>
  <si>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</si>
  <si>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</si>
  <si>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</si>
  <si>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</si>
  <si>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</si>
  <si>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</si>
  <si>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</si>
  <si>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</si>
  <si>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</si>
  <si>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</si>
  <si>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</si>
  <si>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</si>
  <si>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</si>
  <si>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</si>
  <si>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</si>
  <si>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</si>
  <si>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</si>
  <si>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</si>
  <si>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</si>
  <si>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</si>
  <si>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</si>
  <si>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</si>
  <si>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</si>
  <si>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</si>
  <si>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</si>
  <si>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</si>
  <si>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</si>
  <si>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</si>
  <si>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</si>
  <si>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</si>
  <si>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</si>
  <si>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</si>
  <si>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</si>
  <si>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</si>
  <si>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</si>
  <si>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</si>
  <si>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</si>
  <si>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</si>
  <si>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</si>
  <si>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</si>
  <si>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</si>
  <si>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</si>
  <si>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</si>
  <si>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</si>
  <si>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</si>
  <si>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</si>
  <si>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</si>
  <si>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</si>
  <si>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</si>
  <si>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</si>
  <si>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</si>
  <si>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</si>
  <si>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</si>
  <si>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</si>
  <si>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</si>
  <si>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</si>
  <si>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</si>
  <si>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</si>
  <si>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</si>
  <si>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</si>
  <si>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</si>
  <si>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</si>
  <si>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</si>
  <si>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</si>
  <si>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</si>
  <si>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</si>
  <si>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</si>
  <si>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</si>
  <si>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</si>
  <si>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</si>
  <si>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</si>
  <si>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</si>
  <si>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</si>
  <si>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</si>
  <si>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</si>
  <si>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</si>
  <si>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</si>
  <si>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</si>
  <si>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</si>
  <si>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</si>
  <si>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</si>
  <si>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</si>
  <si>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</si>
  <si>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</si>
  <si>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</si>
  <si>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</si>
  <si>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</si>
  <si>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</si>
  <si>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</si>
  <si>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</si>
  <si>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</si>
  <si>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</si>
  <si>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</si>
  <si>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</si>
  <si>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</si>
  <si>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</si>
  <si>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</si>
  <si>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</si>
  <si>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</si>
  <si>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</si>
  <si>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</si>
  <si>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</si>
  <si>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</si>
  <si>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</si>
  <si>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</si>
  <si>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</si>
  <si>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</si>
  <si>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</si>
  <si>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</si>
  <si>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</si>
  <si>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</si>
  <si>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</si>
  <si>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</si>
  <si>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</si>
  <si>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</si>
  <si>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</si>
  <si>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</si>
  <si>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</si>
  <si>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</si>
  <si>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</si>
  <si>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</si>
  <si>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</si>
  <si>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</si>
  <si>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</si>
  <si>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</si>
  <si>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</si>
  <si>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</si>
  <si>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</si>
  <si>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</si>
  <si>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</si>
  <si>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</si>
  <si>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</si>
  <si>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</si>
  <si>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</si>
  <si>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</si>
  <si>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</si>
  <si>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</si>
  <si>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</si>
  <si>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</si>
  <si>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</si>
  <si>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</si>
  <si>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</si>
  <si>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</si>
  <si>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</si>
  <si>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</si>
  <si>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</si>
  <si>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</si>
  <si>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</si>
  <si>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</si>
  <si>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</si>
  <si>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</si>
  <si>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</si>
  <si>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</si>
  <si>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</si>
  <si>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</si>
  <si>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</si>
  <si>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</si>
  <si>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</si>
  <si>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</si>
  <si>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</si>
  <si>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</si>
  <si>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</si>
  <si>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</si>
  <si>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</si>
  <si>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</si>
  <si>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</si>
  <si>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</si>
  <si>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</si>
  <si>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</si>
  <si>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</si>
  <si>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</si>
  <si>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</si>
  <si>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</si>
  <si>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</si>
  <si>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</si>
  <si>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</si>
  <si>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</si>
  <si>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</si>
  <si>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</si>
  <si>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</si>
  <si>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</si>
  <si>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</si>
  <si>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</si>
  <si>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</si>
  <si>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</si>
  <si>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</si>
  <si>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</si>
  <si>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</si>
  <si>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</si>
  <si>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</si>
  <si>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</si>
  <si>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</si>
  <si>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</si>
  <si>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</si>
  <si>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</si>
  <si>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</si>
  <si>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</si>
  <si>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</si>
  <si>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</si>
  <si>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</si>
  <si>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</si>
  <si>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</si>
  <si>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</si>
  <si>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</si>
  <si>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</si>
  <si>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</si>
  <si>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</si>
  <si>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</si>
  <si>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</si>
  <si>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</si>
  <si>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</si>
  <si>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</si>
  <si>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</si>
  <si>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</si>
  <si>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</si>
  <si>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</si>
  <si>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</si>
  <si>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</si>
  <si>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</si>
  <si>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</si>
  <si>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</si>
  <si>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</si>
  <si>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</si>
  <si>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</si>
  <si>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</si>
  <si>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</si>
  <si>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</si>
  <si>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</si>
  <si>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</si>
  <si>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</si>
  <si>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</si>
  <si>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</si>
  <si>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</si>
  <si>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</si>
  <si>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</si>
  <si>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</si>
  <si>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</si>
  <si>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</si>
  <si>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</si>
  <si>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</si>
  <si>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</si>
  <si>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</si>
  <si>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</si>
  <si>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</si>
  <si>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</si>
  <si>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</si>
  <si>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</si>
  <si>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</si>
  <si>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</si>
  <si>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</si>
  <si>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</si>
  <si>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</si>
  <si>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</si>
  <si>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</si>
  <si>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</si>
  <si>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</si>
  <si>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</si>
  <si>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</si>
  <si>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</si>
  <si>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</si>
  <si>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</si>
  <si>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</si>
  <si>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</si>
  <si>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</si>
  <si>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</si>
  <si>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</si>
  <si>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</si>
  <si>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</si>
  <si>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</si>
  <si>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</si>
  <si>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</si>
  <si>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</si>
  <si>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</si>
  <si>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</si>
  <si>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</si>
  <si>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</si>
  <si>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</si>
  <si>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</si>
  <si>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</si>
  <si>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</si>
  <si>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</si>
  <si>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</si>
  <si>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</si>
  <si>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</si>
  <si>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</si>
  <si>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</si>
  <si>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</si>
  <si>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</si>
  <si>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</si>
  <si>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</si>
  <si>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</si>
  <si>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</si>
  <si>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</si>
  <si>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</si>
  <si>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</si>
  <si>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</si>
  <si>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</si>
  <si>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</si>
  <si>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</si>
  <si>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</si>
  <si>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</si>
  <si>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</si>
  <si>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</si>
  <si>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</si>
  <si>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</si>
  <si>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</si>
  <si>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</si>
  <si>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</si>
  <si>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</si>
  <si>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</si>
  <si>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</si>
  <si>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</si>
  <si>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</si>
  <si>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</si>
  <si>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</si>
  <si>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</si>
  <si>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</si>
  <si>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</si>
  <si>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</si>
  <si>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</si>
  <si>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</si>
  <si>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</si>
  <si>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</si>
  <si>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</si>
  <si>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</si>
  <si>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</si>
  <si>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</si>
  <si>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</si>
  <si>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</si>
  <si>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</si>
  <si>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</si>
  <si>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</si>
  <si>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</si>
  <si>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</si>
  <si>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</si>
  <si>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</si>
  <si>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</si>
  <si>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</si>
  <si>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</si>
  <si>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</si>
  <si>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</si>
  <si>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</si>
  <si>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</si>
  <si>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</si>
  <si>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</si>
  <si>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</si>
  <si>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</si>
  <si>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</si>
  <si>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</si>
  <si>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</si>
  <si>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</si>
  <si>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</si>
  <si>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</si>
  <si>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</si>
  <si>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</si>
  <si>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</si>
  <si>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</si>
  <si>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</si>
  <si>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</si>
  <si>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</si>
  <si>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</si>
  <si>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</si>
  <si>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</si>
  <si>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</si>
  <si>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</si>
  <si>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</si>
  <si>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</si>
  <si>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</si>
  <si>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</si>
  <si>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</si>
  <si>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</si>
  <si>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</si>
  <si>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</si>
  <si>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</si>
  <si>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</si>
  <si>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</si>
  <si>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</si>
  <si>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</si>
  <si>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</si>
  <si>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</si>
  <si>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</si>
  <si>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</si>
  <si>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</si>
  <si>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</si>
  <si>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</si>
  <si>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</si>
  <si>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</si>
  <si>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</si>
  <si>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</si>
  <si>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</si>
  <si>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</si>
  <si>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</si>
  <si>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</si>
  <si>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</si>
  <si>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</si>
  <si>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</si>
  <si>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</si>
  <si>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</si>
  <si>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</si>
  <si>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</si>
  <si>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</si>
  <si>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</si>
  <si>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</si>
  <si>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</si>
  <si>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</si>
  <si>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</si>
  <si>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</si>
  <si>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</si>
  <si>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</si>
  <si>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</si>
  <si>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</si>
  <si>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</si>
  <si>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</si>
  <si>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</si>
  <si>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</si>
  <si>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</si>
  <si>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</si>
  <si>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</si>
  <si>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</si>
  <si>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</si>
  <si>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</si>
  <si>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</si>
  <si>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</si>
  <si>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</si>
  <si>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</si>
  <si>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</si>
  <si>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</si>
  <si>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</si>
  <si>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</si>
  <si>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</si>
  <si>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</si>
  <si>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</si>
  <si>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</si>
  <si>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</si>
  <si>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</si>
  <si>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</si>
  <si>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</si>
  <si>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</si>
  <si>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</si>
  <si>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</si>
  <si>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</si>
  <si>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</si>
  <si>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</si>
  <si>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</si>
  <si>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</si>
  <si>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</si>
  <si>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</si>
  <si>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</si>
  <si>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</si>
  <si>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</si>
  <si>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</si>
  <si>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</si>
  <si>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</si>
  <si>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</si>
  <si>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</si>
  <si>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</si>
  <si>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</si>
  <si>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</si>
  <si>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</si>
  <si>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</si>
  <si>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</si>
  <si>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</si>
  <si>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</si>
  <si>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</si>
  <si>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</si>
  <si>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</si>
  <si>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</si>
  <si>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</si>
  <si>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</si>
  <si>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</si>
  <si>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</si>
  <si>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</si>
  <si>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</si>
  <si>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</si>
  <si>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</si>
  <si>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</si>
  <si>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</si>
  <si>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</si>
  <si>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</si>
  <si>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</si>
  <si>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</si>
  <si>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</si>
  <si>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</si>
  <si>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</si>
  <si>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</si>
  <si>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</si>
  <si>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</si>
  <si>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</si>
  <si>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</si>
  <si>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</si>
  <si>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</si>
  <si>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</si>
  <si>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</si>
  <si>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</si>
  <si>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</si>
  <si>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</si>
  <si>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</si>
  <si>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</si>
  <si>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</si>
  <si>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</si>
  <si>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</si>
  <si>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</si>
  <si>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</si>
  <si>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</si>
  <si>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</si>
  <si>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</si>
  <si>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</si>
  <si>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</si>
  <si>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</si>
  <si>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</si>
  <si>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</si>
  <si>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</si>
  <si>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</si>
  <si>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</si>
  <si>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</si>
  <si>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</si>
  <si>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</si>
  <si>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</si>
  <si>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</si>
  <si>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</si>
  <si>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</si>
  <si>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</si>
  <si>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</si>
  <si>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</si>
  <si>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</si>
  <si>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</si>
  <si>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</si>
  <si>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</si>
  <si>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</si>
  <si>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</si>
  <si>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</si>
  <si>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</si>
  <si>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</si>
  <si>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</si>
  <si>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</si>
  <si>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</si>
  <si>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</si>
  <si>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</si>
  <si>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</si>
  <si>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</si>
  <si>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</si>
  <si>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</si>
  <si>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</si>
  <si>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</si>
  <si>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</si>
  <si>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</si>
  <si>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</si>
  <si>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</si>
  <si>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</si>
  <si>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</si>
  <si>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</si>
  <si>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</si>
  <si>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</si>
  <si>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</si>
  <si>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</si>
  <si>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</si>
  <si>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</si>
  <si>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</si>
  <si>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</si>
  <si>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</si>
  <si>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</si>
  <si>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</si>
  <si>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</si>
  <si>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</si>
  <si>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</si>
  <si>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</si>
  <si>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</si>
  <si>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</si>
  <si>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</si>
  <si>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</si>
  <si>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</si>
  <si>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</si>
  <si>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</si>
  <si>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</si>
  <si>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</si>
  <si>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</si>
  <si>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</si>
  <si>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</si>
  <si>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</si>
  <si>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</si>
  <si>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</si>
  <si>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</si>
  <si>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</si>
  <si>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</si>
  <si>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</si>
  <si>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</si>
  <si>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</si>
  <si>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</si>
  <si>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</si>
  <si>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</si>
  <si>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</si>
  <si>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</si>
  <si>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</si>
  <si>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</si>
  <si>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</si>
  <si>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</si>
  <si>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</si>
  <si>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</si>
  <si>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</si>
  <si>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</si>
  <si>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</si>
  <si>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</si>
  <si>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</si>
  <si>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</si>
  <si>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</si>
  <si>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</si>
  <si>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</si>
  <si>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</si>
  <si>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</si>
  <si>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</si>
  <si>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</si>
  <si>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</si>
  <si>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</si>
  <si>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</si>
  <si>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</si>
  <si>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</si>
  <si>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</si>
  <si>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</si>
  <si>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</si>
  <si>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</si>
  <si>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</si>
  <si>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</si>
  <si>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</si>
  <si>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</si>
  <si>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</si>
  <si>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</si>
  <si>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</si>
  <si>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</si>
  <si>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</si>
  <si>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</si>
  <si>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</si>
  <si>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</si>
  <si>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</si>
  <si>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</si>
  <si>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</si>
  <si>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</si>
  <si>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</si>
  <si>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</si>
  <si>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</si>
  <si>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</si>
  <si>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</si>
  <si>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</si>
  <si>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</si>
  <si>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</si>
  <si>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</si>
  <si>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</si>
  <si>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</si>
  <si>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</si>
  <si>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</si>
  <si>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</si>
  <si>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</si>
  <si>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</si>
  <si>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</si>
  <si>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</si>
  <si>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</si>
  <si>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</si>
  <si>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</si>
  <si>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</si>
  <si>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</si>
  <si>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</si>
  <si>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</si>
  <si>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</si>
  <si>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</si>
  <si>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</si>
  <si>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</si>
  <si>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</si>
  <si>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</si>
  <si>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</si>
  <si>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</si>
  <si>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</si>
  <si>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</si>
  <si>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</si>
  <si>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</si>
  <si>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</si>
  <si>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</si>
  <si>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</si>
  <si>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</si>
  <si>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</si>
  <si>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</si>
  <si>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</si>
  <si>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</si>
  <si>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</si>
  <si>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</si>
  <si>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</si>
  <si>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</si>
  <si>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</si>
  <si>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</si>
  <si>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</si>
  <si>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</si>
  <si>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</si>
  <si>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</si>
  <si>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</si>
  <si>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</si>
  <si>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</si>
  <si>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</si>
  <si>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</si>
  <si>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</si>
  <si>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</si>
  <si>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</si>
  <si>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</si>
  <si>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</si>
  <si>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</si>
  <si>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</si>
  <si>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</si>
  <si>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</si>
  <si>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</si>
  <si>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</si>
  <si>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</si>
  <si>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</si>
  <si>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</si>
  <si>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</si>
  <si>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</si>
  <si>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</si>
  <si>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</si>
  <si>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</si>
  <si>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</si>
  <si>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</si>
  <si>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</si>
  <si>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</si>
  <si>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</si>
  <si>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</si>
  <si>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</si>
  <si>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</si>
  <si>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</si>
  <si>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</si>
  <si>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</si>
  <si>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</si>
  <si>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</si>
  <si>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</si>
  <si>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</si>
  <si>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</si>
  <si>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</si>
  <si>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</si>
  <si>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</si>
  <si>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</si>
  <si>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</si>
  <si>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</si>
  <si>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</si>
  <si>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</si>
  <si>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</si>
  <si>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</si>
  <si>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</si>
  <si>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</si>
  <si>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</si>
  <si>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</si>
  <si>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</si>
  <si>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</si>
  <si>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</si>
  <si>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</si>
  <si>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</si>
  <si>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</si>
  <si>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</si>
  <si>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</si>
  <si>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</si>
  <si>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</si>
  <si>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</si>
  <si>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</si>
  <si>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</si>
  <si>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</si>
  <si>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</si>
  <si>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</si>
  <si>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</si>
  <si>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</si>
  <si>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</si>
  <si>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</si>
  <si>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</si>
  <si>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</si>
  <si>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</si>
  <si>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</si>
  <si>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</si>
  <si>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</si>
  <si>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</si>
  <si>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</si>
  <si>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</si>
  <si>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</si>
  <si>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</si>
  <si>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</si>
  <si>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</si>
  <si>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</si>
  <si>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</si>
  <si>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</si>
  <si>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</si>
  <si>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</si>
  <si>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</si>
  <si>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</si>
  <si>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</si>
  <si>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</si>
  <si>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</si>
  <si>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</si>
  <si>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</si>
  <si>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</si>
  <si>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</si>
  <si>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</si>
  <si>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</si>
  <si>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</si>
  <si>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</si>
  <si>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</si>
  <si>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</si>
  <si>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</si>
  <si>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</si>
  <si>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</si>
  <si>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</si>
  <si>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</si>
  <si>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</si>
  <si>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</si>
  <si>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</si>
  <si>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</si>
  <si>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</si>
  <si>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</si>
  <si>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</si>
  <si>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</si>
  <si>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</si>
  <si>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</si>
  <si>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</si>
  <si>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</si>
  <si>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</si>
  <si>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</si>
  <si>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</si>
  <si>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</si>
  <si>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</si>
  <si>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</si>
  <si>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</si>
  <si>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</si>
  <si>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</si>
  <si>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</si>
  <si>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</si>
  <si>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</si>
  <si>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</si>
  <si>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</si>
  <si>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</si>
  <si>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</si>
  <si>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</si>
  <si>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</si>
  <si>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</si>
  <si>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</si>
  <si>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</si>
  <si>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</si>
  <si>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</si>
  <si>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</si>
  <si>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</si>
  <si>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</si>
  <si>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</si>
  <si>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</si>
  <si>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</si>
  <si>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</si>
  <si>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</si>
  <si>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</si>
  <si>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</si>
  <si>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</si>
  <si>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</si>
  <si>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</si>
  <si>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</si>
  <si>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</si>
  <si>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</si>
  <si>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</si>
  <si>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</si>
  <si>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</si>
  <si>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</si>
  <si>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</si>
  <si>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</si>
  <si>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</si>
  <si>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</si>
  <si>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</si>
  <si>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</si>
  <si>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</si>
  <si>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</si>
  <si>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</si>
  <si>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</si>
  <si>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</si>
  <si>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</si>
  <si>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</si>
  <si>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</si>
  <si>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</si>
  <si>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</si>
  <si>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</si>
  <si>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</si>
  <si>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</si>
  <si>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</si>
  <si>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</si>
  <si>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</si>
  <si>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</si>
  <si>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</si>
  <si>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</si>
  <si>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</si>
  <si>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</si>
  <si>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</si>
  <si>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</si>
  <si>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</si>
  <si>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</si>
  <si>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</si>
  <si>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</si>
  <si>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</si>
  <si>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</si>
  <si>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</si>
  <si>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</si>
  <si>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</si>
  <si>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</si>
  <si>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</si>
  <si>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</si>
  <si>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</si>
  <si>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</si>
  <si>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</si>
  <si>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</si>
  <si>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</si>
  <si>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</si>
  <si>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</si>
  <si>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</si>
  <si>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</si>
  <si>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</si>
  <si>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</si>
  <si>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</si>
  <si>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</si>
  <si>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</si>
  <si>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</si>
  <si>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</si>
  <si>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</si>
  <si>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</si>
  <si>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</si>
  <si>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</si>
  <si>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</si>
  <si>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</si>
  <si>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</si>
  <si>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</si>
  <si>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</si>
  <si>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</si>
  <si>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</si>
  <si>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</si>
  <si>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</si>
  <si>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</si>
  <si>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</si>
  <si>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</si>
  <si>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</si>
  <si>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</si>
  <si>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</si>
  <si>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</si>
  <si>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</si>
  <si>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</si>
  <si>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</si>
  <si>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</si>
  <si>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</si>
  <si>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</si>
  <si>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</si>
  <si>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</si>
  <si>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</si>
  <si>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</si>
  <si>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</si>
  <si>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</si>
  <si>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</si>
  <si>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</si>
  <si>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</si>
  <si>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</si>
  <si>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</si>
  <si>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</si>
  <si>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</si>
  <si>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</si>
  <si>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</si>
  <si>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</si>
  <si>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</si>
  <si>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</si>
  <si>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</si>
  <si>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</si>
  <si>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</si>
  <si>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</si>
  <si>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</si>
  <si>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</si>
  <si>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</si>
  <si>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</si>
  <si>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</si>
  <si>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</si>
  <si>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</si>
  <si>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</si>
  <si>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</si>
  <si>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</si>
  <si>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</si>
  <si>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</si>
  <si>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</si>
  <si>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</si>
  <si>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</si>
  <si>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</si>
  <si>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</si>
  <si>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</si>
  <si>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</si>
  <si>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</si>
  <si>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</si>
  <si>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</si>
  <si>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</si>
  <si>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</si>
  <si>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</si>
  <si>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</si>
  <si>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</si>
  <si>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</si>
  <si>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</si>
  <si>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</si>
  <si>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</si>
  <si>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</si>
  <si>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</si>
  <si>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</si>
  <si>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</si>
  <si>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</si>
  <si>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</si>
  <si>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</si>
  <si>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</si>
  <si>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</si>
  <si>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</si>
  <si>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</si>
  <si>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</si>
  <si>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</si>
  <si>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</si>
  <si>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</si>
  <si>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</si>
  <si>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</si>
  <si>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</si>
  <si>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</si>
  <si>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</si>
  <si>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</si>
  <si>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</si>
  <si>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</si>
  <si>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</si>
  <si>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</si>
  <si>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</si>
  <si>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</si>
  <si>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</si>
  <si>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</si>
  <si>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</si>
  <si>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</si>
  <si>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</si>
  <si>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</si>
  <si>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</si>
  <si>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</si>
  <si>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</si>
  <si>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</si>
  <si>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</si>
  <si>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</si>
  <si>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</si>
  <si>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</si>
  <si>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</si>
  <si>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</si>
  <si>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</si>
  <si>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</si>
  <si>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</si>
  <si>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</si>
  <si>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</si>
  <si>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</si>
  <si>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</si>
  <si>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</si>
  <si>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</si>
  <si>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</si>
  <si>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</si>
  <si>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</si>
  <si>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</si>
  <si>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</si>
  <si>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</si>
  <si>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</si>
  <si>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</si>
  <si>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</si>
  <si>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</si>
  <si>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</si>
  <si>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</si>
  <si>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</si>
  <si>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</si>
  <si>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</si>
  <si>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</si>
  <si>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</si>
  <si>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</si>
  <si>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</si>
  <si>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</si>
  <si>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</si>
  <si>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</si>
  <si>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</si>
  <si>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</si>
  <si>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</si>
  <si>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</si>
  <si>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</si>
  <si>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</si>
  <si>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</si>
  <si>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</si>
  <si>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</si>
  <si>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</si>
  <si>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</si>
  <si>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</si>
  <si>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</si>
  <si>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</si>
  <si>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</si>
  <si>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</si>
  <si>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</si>
  <si>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</si>
  <si>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</si>
  <si>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</si>
  <si>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</si>
  <si>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</si>
  <si>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</si>
  <si>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</si>
  <si>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</si>
  <si>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</si>
  <si>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</si>
  <si>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</si>
  <si>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</si>
  <si>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</si>
  <si>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</si>
  <si>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</si>
  <si>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</si>
  <si>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</si>
  <si>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</si>
  <si>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</si>
  <si>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</si>
  <si>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</si>
  <si>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</si>
  <si>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</si>
  <si>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</si>
  <si>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</si>
  <si>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</si>
  <si>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</si>
  <si>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</si>
  <si>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</si>
  <si>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</si>
  <si>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</si>
  <si>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</si>
  <si>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</si>
  <si>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</si>
  <si>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</si>
  <si>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</si>
  <si>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</si>
  <si>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</si>
  <si>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</si>
  <si>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</si>
  <si>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</si>
  <si>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</si>
  <si>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</si>
  <si>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</si>
  <si>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</si>
  <si>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</si>
  <si>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</si>
  <si>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</si>
  <si>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</si>
  <si>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</si>
  <si>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</si>
  <si>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</si>
  <si>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</si>
  <si>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</si>
  <si>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</si>
  <si>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</si>
  <si>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</si>
  <si>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</si>
  <si>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</si>
  <si>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</si>
  <si>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</si>
  <si>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</si>
  <si>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</si>
  <si>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</si>
  <si>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</si>
  <si>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</si>
  <si>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</si>
  <si>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</si>
  <si>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</si>
  <si>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</si>
  <si>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</si>
  <si>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</si>
  <si>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</si>
  <si>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</si>
  <si>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</si>
  <si>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</si>
  <si>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</si>
  <si>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</si>
  <si>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</si>
  <si>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</si>
  <si>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</si>
  <si>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</si>
  <si>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</si>
  <si>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</si>
  <si>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</si>
  <si>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</si>
  <si>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</si>
  <si>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</si>
  <si>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</si>
  <si>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</si>
  <si>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</si>
  <si>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</si>
  <si>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</si>
  <si>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</si>
  <si>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</si>
  <si>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</si>
  <si>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</si>
  <si>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</si>
  <si>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</si>
  <si>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</si>
  <si>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</si>
  <si>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</si>
  <si>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</si>
  <si>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</si>
  <si>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</si>
  <si>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</si>
  <si>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</si>
  <si>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</si>
  <si>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</si>
  <si>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</si>
  <si>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</si>
  <si>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</si>
  <si>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</si>
  <si>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</si>
  <si>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</si>
  <si>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</si>
  <si>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</si>
  <si>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</si>
  <si>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</si>
  <si>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</si>
  <si>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</si>
  <si>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</si>
  <si>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</si>
  <si>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</si>
  <si>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</si>
  <si>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</si>
  <si>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</si>
  <si>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</si>
  <si>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</si>
  <si>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</si>
  <si>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</si>
  <si>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</si>
  <si>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</si>
  <si>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</si>
  <si>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</si>
  <si>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</si>
  <si>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</si>
  <si>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</si>
  <si>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</si>
  <si>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</si>
  <si>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</si>
  <si>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</si>
  <si>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</si>
  <si>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</si>
  <si>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</si>
  <si>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</si>
  <si>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</si>
  <si>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</si>
  <si>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</si>
  <si>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</si>
  <si>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</si>
  <si>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</si>
  <si>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</si>
  <si>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</si>
  <si>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</si>
  <si>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</si>
  <si>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</si>
  <si>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</si>
  <si>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</si>
  <si>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</si>
  <si>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</si>
  <si>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</si>
  <si>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</si>
  <si>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</si>
  <si>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</si>
  <si>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</si>
  <si>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</si>
  <si>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</si>
  <si>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</si>
  <si>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</si>
  <si>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</si>
  <si>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</si>
  <si>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</si>
  <si>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</si>
  <si>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</si>
  <si>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</si>
  <si>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</si>
  <si>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</si>
  <si>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</si>
  <si>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</si>
  <si>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</si>
  <si>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</si>
  <si>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</si>
  <si>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</si>
  <si>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</si>
  <si>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</si>
  <si>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</si>
  <si>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</si>
  <si>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</si>
  <si>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</si>
  <si>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</si>
  <si>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</si>
  <si>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</si>
  <si>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</si>
  <si>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</si>
  <si>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</si>
  <si>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</si>
  <si>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</si>
  <si>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</si>
  <si>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</si>
  <si>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</si>
  <si>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</si>
  <si>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</si>
  <si>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</si>
  <si>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</si>
  <si>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</si>
  <si>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</si>
  <si>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</si>
  <si>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</si>
  <si>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</si>
  <si>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</si>
  <si>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</si>
  <si>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</si>
  <si>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</si>
  <si>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</si>
  <si>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</si>
  <si>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</si>
  <si>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</si>
  <si>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</si>
  <si>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</si>
  <si>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</si>
  <si>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</si>
  <si>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</si>
  <si>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</si>
  <si>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</si>
  <si>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</si>
  <si>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</si>
  <si>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</si>
  <si>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</si>
  <si>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</si>
  <si>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</si>
  <si>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</si>
  <si>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</si>
  <si>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</si>
  <si>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</si>
  <si>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</si>
  <si>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</si>
  <si>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</si>
  <si>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</si>
  <si>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</si>
  <si>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</si>
  <si>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</si>
  <si>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</si>
  <si>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</si>
  <si>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</si>
  <si>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</si>
  <si>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</si>
  <si>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</si>
  <si>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</si>
  <si>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</si>
  <si>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</si>
  <si>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</si>
  <si>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</si>
  <si>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</si>
  <si>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</si>
  <si>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</si>
  <si>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</si>
  <si>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</si>
  <si>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</si>
  <si>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</si>
  <si>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</si>
  <si>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</si>
  <si>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</si>
  <si>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</si>
  <si>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</si>
  <si>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</si>
  <si>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</si>
  <si>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</si>
  <si>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</si>
  <si>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</si>
  <si>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</si>
  <si>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</si>
  <si>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</si>
  <si>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</si>
  <si>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</si>
  <si>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</si>
  <si>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</si>
  <si>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</si>
  <si>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</si>
  <si>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</si>
  <si>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</si>
  <si>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</si>
  <si>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</si>
  <si>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</si>
  <si>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</si>
  <si>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</si>
  <si>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</si>
  <si>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</si>
  <si>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</si>
  <si>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</si>
  <si>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</si>
  <si>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</si>
  <si>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</si>
  <si>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</si>
  <si>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</si>
  <si>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</si>
  <si>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</si>
  <si>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</si>
  <si>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</si>
  <si>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</si>
  <si>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</si>
  <si>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</si>
  <si>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</si>
  <si>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</si>
  <si>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</si>
  <si>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</si>
  <si>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</si>
  <si>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</si>
  <si>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</si>
  <si>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</si>
  <si>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</si>
  <si>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</si>
  <si>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</si>
  <si>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</si>
  <si>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</si>
  <si>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</si>
  <si>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</si>
  <si>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</si>
  <si>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</si>
  <si>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</si>
  <si>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</si>
  <si>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</si>
  <si>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</si>
  <si>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</si>
  <si>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</si>
  <si>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</si>
  <si>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</si>
  <si>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</si>
  <si>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</si>
  <si>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</si>
  <si>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</si>
  <si>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</si>
  <si>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</si>
  <si>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</si>
  <si>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</si>
  <si>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</si>
  <si>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</si>
  <si>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</si>
  <si>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</si>
  <si>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</si>
  <si>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</si>
  <si>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</si>
  <si>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</si>
  <si>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</si>
  <si>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</si>
  <si>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</si>
  <si>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</si>
  <si>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</si>
  <si>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</si>
  <si>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</si>
  <si>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</si>
  <si>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</si>
  <si>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</si>
  <si>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</si>
  <si>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</si>
  <si>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</si>
  <si>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</si>
  <si>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</si>
  <si>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</si>
  <si>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</si>
  <si>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</si>
  <si>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</si>
  <si>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</si>
  <si>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</si>
  <si>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</si>
  <si>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</si>
  <si>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</si>
  <si>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</si>
  <si>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</si>
  <si>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</si>
  <si>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</si>
  <si>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</si>
  <si>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</si>
  <si>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</si>
  <si>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</si>
  <si>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</si>
  <si>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</si>
  <si>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</si>
  <si>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</si>
  <si>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</si>
  <si>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</si>
  <si>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</si>
  <si>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</si>
  <si>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</si>
  <si>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</si>
  <si>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</si>
  <si>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</si>
  <si>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</si>
  <si>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</si>
  <si>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</si>
  <si>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</si>
  <si>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</si>
  <si>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</si>
  <si>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</si>
  <si>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</si>
  <si>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</si>
  <si>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</si>
  <si>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</si>
  <si>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</si>
  <si>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</si>
  <si>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</si>
  <si>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</si>
  <si>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</si>
  <si>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</si>
  <si>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</si>
  <si>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</si>
  <si>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</si>
  <si>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</si>
  <si>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</si>
  <si>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</si>
  <si>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</si>
  <si>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</si>
  <si>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</si>
  <si>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</si>
  <si>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</si>
  <si>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</si>
  <si>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</si>
  <si>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</si>
  <si>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</si>
  <si>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</si>
  <si>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</si>
  <si>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</si>
  <si>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</si>
  <si>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</si>
  <si>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</si>
  <si>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</si>
  <si>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</si>
  <si>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</si>
  <si>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</si>
  <si>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</si>
  <si>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</si>
  <si>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</si>
  <si>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</si>
  <si>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</si>
  <si>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</si>
  <si>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</si>
  <si>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</si>
  <si>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</si>
  <si>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</si>
  <si>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</si>
  <si>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</si>
  <si>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</si>
  <si>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</si>
  <si>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</si>
  <si>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</si>
  <si>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</si>
  <si>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</si>
  <si>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</si>
  <si>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</si>
  <si>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</si>
  <si>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</si>
  <si>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</si>
  <si>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</si>
  <si>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</si>
  <si>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</si>
  <si>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</si>
  <si>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</si>
  <si>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</si>
  <si>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</si>
  <si>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</si>
  <si>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</si>
  <si>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</si>
  <si>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</si>
  <si>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</si>
  <si>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</si>
  <si>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</si>
  <si>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</si>
  <si>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</si>
  <si>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</si>
  <si>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</si>
  <si>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</si>
  <si>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</si>
  <si>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</si>
  <si>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</si>
  <si>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</si>
  <si>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</si>
  <si>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</si>
  <si>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</si>
  <si>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</si>
  <si>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</si>
  <si>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</si>
  <si>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</si>
  <si>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</si>
  <si>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</si>
  <si>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</si>
  <si>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</si>
  <si>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</si>
  <si>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</si>
  <si>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</si>
  <si>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</si>
  <si>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</si>
  <si>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</si>
  <si>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</si>
  <si>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</si>
  <si>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</si>
  <si>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</si>
  <si>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</si>
  <si>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</si>
  <si>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</si>
  <si>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</si>
  <si>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</si>
  <si>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</si>
  <si>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</si>
  <si>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</si>
  <si>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</si>
  <si>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</si>
  <si>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</si>
  <si>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</si>
  <si>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</si>
  <si>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</si>
  <si>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</si>
  <si>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</si>
  <si>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</si>
  <si>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</si>
  <si>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</si>
  <si>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</si>
  <si>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</si>
  <si>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</si>
  <si>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</si>
  <si>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</si>
  <si>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</si>
  <si>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</si>
  <si>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</si>
  <si>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</si>
  <si>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</si>
  <si>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</si>
  <si>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</si>
  <si>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</si>
  <si>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</si>
  <si>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</si>
  <si>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</si>
  <si>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</si>
  <si>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</si>
  <si>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</si>
  <si>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</si>
  <si>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</si>
  <si>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</si>
  <si>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</si>
  <si>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</si>
  <si>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</si>
  <si>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</si>
  <si>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</si>
  <si>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</si>
  <si>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</si>
  <si>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</si>
  <si>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</si>
  <si>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</si>
  <si>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</si>
  <si>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</si>
  <si>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</si>
  <si>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</si>
  <si>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</si>
  <si>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</si>
  <si>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</si>
  <si>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</si>
  <si>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</si>
  <si>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</si>
  <si>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</si>
  <si>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</si>
  <si>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</si>
  <si>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</si>
  <si>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</si>
  <si>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</si>
  <si>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</si>
  <si>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</si>
  <si>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</si>
  <si>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</si>
  <si>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</si>
  <si>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</si>
  <si>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</si>
  <si>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</si>
  <si>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</si>
  <si>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</si>
  <si>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</si>
  <si>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</si>
  <si>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</si>
  <si>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</si>
  <si>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</si>
  <si>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</si>
  <si>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</si>
  <si>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</si>
  <si>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</si>
  <si>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</si>
  <si>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</si>
  <si>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</si>
  <si>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</si>
  <si>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</si>
  <si>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</si>
  <si>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</si>
  <si>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</si>
  <si>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</si>
  <si>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</si>
  <si>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</si>
  <si>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</si>
  <si>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</si>
  <si>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</si>
  <si>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</si>
  <si>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</si>
  <si>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</si>
  <si>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</si>
  <si>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</si>
  <si>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</si>
  <si>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</si>
  <si>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</si>
  <si>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</si>
  <si>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</si>
  <si>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</si>
  <si>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</si>
  <si>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</si>
  <si>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</si>
  <si>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</si>
  <si>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</si>
  <si>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</si>
  <si>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</si>
  <si>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</si>
  <si>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</si>
  <si>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</si>
  <si>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</si>
  <si>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</si>
  <si>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</si>
  <si>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</si>
  <si>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</si>
  <si>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</si>
  <si>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</si>
  <si>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</si>
  <si>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</si>
  <si>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</si>
  <si>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</si>
  <si>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</si>
  <si>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</si>
  <si>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</si>
  <si>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</si>
  <si>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</si>
  <si>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</si>
  <si>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</si>
  <si>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</si>
  <si>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</si>
  <si>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</si>
  <si>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</si>
  <si>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</si>
  <si>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</si>
  <si>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</si>
  <si>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</si>
  <si>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</si>
  <si>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</si>
  <si>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</si>
  <si>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</si>
  <si>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</si>
  <si>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</si>
  <si>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</si>
  <si>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</si>
  <si>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</si>
  <si>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</si>
  <si>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</si>
  <si>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</si>
  <si>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</si>
  <si>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</si>
  <si>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</si>
  <si>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</si>
  <si>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</si>
  <si>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</si>
  <si>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</si>
  <si>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</si>
  <si>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</si>
  <si>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</si>
  <si>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</si>
  <si>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</si>
  <si>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</si>
  <si>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</si>
  <si>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</si>
  <si>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</si>
  <si>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</si>
  <si>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</si>
  <si>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</si>
  <si>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</si>
  <si>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</si>
  <si>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</si>
  <si>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</si>
  <si>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</si>
  <si>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</si>
  <si>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</si>
  <si>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</si>
  <si>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</si>
  <si>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</si>
  <si>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</si>
  <si>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</si>
  <si>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</si>
  <si>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</si>
  <si>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</si>
  <si>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</si>
  <si>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</si>
  <si>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</si>
  <si>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</si>
  <si>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</si>
  <si>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</si>
  <si>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</si>
  <si>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</si>
  <si>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</si>
  <si>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</si>
  <si>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</si>
  <si>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</si>
  <si>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</si>
  <si>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</si>
  <si>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</si>
  <si>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</si>
  <si>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</si>
  <si>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</si>
  <si>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</si>
  <si>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</si>
  <si>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</si>
  <si>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</si>
  <si>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</si>
  <si>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</si>
  <si>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</si>
  <si>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</si>
  <si>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</si>
  <si>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</si>
  <si>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</si>
  <si>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</si>
  <si>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</si>
  <si>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</si>
  <si>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</si>
  <si>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</si>
  <si>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</si>
  <si>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</si>
  <si>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</si>
  <si>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</si>
  <si>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</si>
  <si>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</si>
  <si>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</si>
  <si>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</si>
  <si>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</si>
  <si>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</si>
  <si>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</si>
  <si>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</si>
  <si>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</si>
  <si>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</si>
  <si>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</si>
  <si>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</si>
  <si>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</si>
  <si>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</si>
  <si>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</si>
  <si>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</si>
  <si>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</si>
  <si>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</si>
  <si>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</si>
  <si>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</si>
  <si>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</si>
  <si>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</si>
  <si>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</si>
  <si>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</si>
  <si>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</si>
  <si>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</si>
  <si>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</si>
  <si>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</si>
  <si>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</si>
  <si>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</si>
  <si>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</si>
  <si>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</si>
  <si>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</si>
  <si>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</si>
  <si>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</si>
  <si>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</si>
  <si>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</si>
  <si>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</si>
  <si>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</si>
  <si>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</si>
  <si>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</si>
  <si>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</si>
  <si>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</si>
  <si>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</si>
  <si>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</si>
  <si>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</si>
  <si>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</si>
  <si>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</si>
  <si>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</si>
  <si>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</si>
  <si>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</si>
  <si>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</si>
  <si>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</si>
  <si>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</si>
  <si>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</si>
  <si>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</si>
  <si>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</si>
  <si>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</si>
  <si>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</si>
  <si>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</si>
  <si>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</si>
  <si>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</si>
  <si>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</si>
  <si>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</si>
  <si>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</si>
  <si>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</si>
  <si>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</si>
  <si>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</si>
  <si>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</si>
  <si>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</si>
  <si>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</si>
  <si>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</si>
  <si>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</si>
  <si>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</si>
  <si>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</si>
  <si>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</si>
  <si>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</si>
  <si>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</si>
  <si>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</si>
  <si>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</si>
  <si>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</si>
  <si>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Lake</t>
  </si>
  <si>
    <t>29067 West Grass Lake Road</t>
  </si>
  <si>
    <t>Spring Grove</t>
  </si>
  <si>
    <t>Evans, Marshall and Pease, P.C.</t>
  </si>
  <si>
    <t>Jeffery M. Rollefson, CPA</t>
  </si>
  <si>
    <t>1875 Hicks Road</t>
  </si>
  <si>
    <t>Rolling Meadows</t>
  </si>
  <si>
    <t>Illinois</t>
  </si>
  <si>
    <t>847-221-5700</t>
  </si>
  <si>
    <t>847-221-5701</t>
  </si>
  <si>
    <t>060-003973</t>
  </si>
  <si>
    <t>Jeff@empcpa.com</t>
  </si>
  <si>
    <t>The District prepares its financial stements to comply with the regulatory provisions prescribed by the Illinois State Board of Education, which is a comprehensive basis of accounting other than generally accepted accounting principles.</t>
  </si>
  <si>
    <t>Exceptional Learners Collaborative</t>
  </si>
  <si>
    <t>Capital Appreciation Bonds</t>
  </si>
  <si>
    <t>General Obligation Bonds</t>
  </si>
  <si>
    <t>General Obligation Refunding Bonds</t>
  </si>
  <si>
    <t>ED-Support Services-Fiscal Services</t>
  </si>
  <si>
    <t>R. Allard Consulting</t>
  </si>
  <si>
    <t>10-2520-300</t>
  </si>
  <si>
    <t>10-1000-300</t>
  </si>
  <si>
    <t>PMA Leasing</t>
  </si>
  <si>
    <t>40-2550-300</t>
  </si>
  <si>
    <t>Durham School Services</t>
  </si>
  <si>
    <t>ED-Instruction-Regular Programs</t>
  </si>
  <si>
    <t>TR-Support Services-Pupil Transportation Services</t>
  </si>
  <si>
    <t>Fox Lake GSD 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</si>
</sst>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304800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6</xdr:col>
          <xdr:colOff>304800</xdr:colOff>
          <xdr:row>10</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5" t="s">
        <v>1685</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c r="C5" s="26" t="s">
        <v>966</v>
      </c>
      <c r="D5" s="84"/>
      <c r="E5" s="84"/>
      <c r="H5" s="38"/>
      <c r="I5" s="2013" t="s">
        <v>701</v>
      </c>
      <c r="J5" s="2012"/>
      <c r="K5" s="2012"/>
      <c r="L5" s="2012"/>
      <c r="M5" s="2012"/>
      <c r="N5" s="2012"/>
      <c r="O5" s="2012"/>
      <c r="P5" s="2012"/>
      <c r="Q5" s="2012"/>
      <c r="R5" s="2012"/>
      <c r="S5" s="2012"/>
    </row>
    <row r="6" spans="1:28" ht="14.1" customHeight="1" x14ac:dyDescent="0.2">
      <c r="B6" s="104"/>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8" t="s">
        <v>2077</v>
      </c>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8">
        <v>34049114002</v>
      </c>
      <c r="B13" s="2039"/>
      <c r="C13" s="2039"/>
      <c r="D13" s="2039"/>
      <c r="E13" s="2039"/>
      <c r="F13" s="2039"/>
      <c r="G13" s="2039"/>
      <c r="H13" s="2040"/>
      <c r="I13" s="31"/>
      <c r="J13" s="30"/>
      <c r="K13" s="28"/>
      <c r="L13" s="30"/>
      <c r="M13" s="30"/>
      <c r="N13" s="30"/>
      <c r="O13" s="30"/>
      <c r="P13" s="30"/>
      <c r="Q13" s="30"/>
      <c r="R13" s="30"/>
      <c r="S13" s="30"/>
      <c r="T13" s="2043" t="s">
        <v>2081</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2078</v>
      </c>
      <c r="B15" s="2041"/>
      <c r="C15" s="2041"/>
      <c r="D15" s="2041"/>
      <c r="E15" s="2041"/>
      <c r="F15" s="2041"/>
      <c r="G15" s="2041"/>
      <c r="H15" s="2042"/>
      <c r="T15" s="2047" t="s">
        <v>2082</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2104</v>
      </c>
      <c r="B17" s="1998"/>
      <c r="C17" s="1998"/>
      <c r="D17" s="1998"/>
      <c r="E17" s="1998"/>
      <c r="F17" s="1998"/>
      <c r="G17" s="1998"/>
      <c r="H17" s="2023"/>
      <c r="T17" s="2054" t="s">
        <v>2083</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9" t="s">
        <v>698</v>
      </c>
      <c r="AA18" s="46"/>
    </row>
    <row r="19" spans="1:27" ht="13.5" customHeight="1" x14ac:dyDescent="0.2">
      <c r="A19" s="2037" t="s">
        <v>2079</v>
      </c>
      <c r="B19" s="1983"/>
      <c r="C19" s="1983"/>
      <c r="D19" s="1983"/>
      <c r="E19" s="1983"/>
      <c r="F19" s="1983"/>
      <c r="G19" s="1983"/>
      <c r="H19" s="1963"/>
      <c r="I19" s="30"/>
      <c r="J19" s="99"/>
      <c r="K19" s="40"/>
      <c r="L19" s="38"/>
      <c r="M19" s="112" t="s">
        <v>333</v>
      </c>
      <c r="P19" s="27"/>
      <c r="Q19" s="27"/>
      <c r="R19" s="27"/>
      <c r="S19" s="31"/>
      <c r="T19" s="2037" t="s">
        <v>2084</v>
      </c>
      <c r="U19" s="1962"/>
      <c r="V19" s="1962"/>
      <c r="W19" s="1963"/>
      <c r="X19" s="2052" t="s">
        <v>2085</v>
      </c>
      <c r="Y19" s="2053"/>
      <c r="Z19" s="2050">
        <v>60008</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1" t="s">
        <v>2080</v>
      </c>
      <c r="B21" s="1962"/>
      <c r="C21" s="1962"/>
      <c r="D21" s="1962"/>
      <c r="E21" s="1962"/>
      <c r="F21" s="1962"/>
      <c r="G21" s="1962"/>
      <c r="H21" s="1963"/>
      <c r="I21" s="2017" t="s">
        <v>699</v>
      </c>
      <c r="J21" s="2012"/>
      <c r="K21" s="2012"/>
      <c r="L21" s="2012"/>
      <c r="M21" s="2012"/>
      <c r="N21" s="2012"/>
      <c r="O21" s="2012"/>
      <c r="P21" s="2012"/>
      <c r="Q21" s="2012"/>
      <c r="R21" s="2012"/>
      <c r="S21" s="2018"/>
      <c r="T21" s="2061" t="s">
        <v>2086</v>
      </c>
      <c r="U21" s="2062"/>
      <c r="V21" s="2062"/>
      <c r="W21" s="2062"/>
      <c r="X21" s="2067" t="s">
        <v>2087</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4"/>
      <c r="B23" s="2015"/>
      <c r="C23" s="2015"/>
      <c r="D23" s="2015"/>
      <c r="E23" s="2015"/>
      <c r="F23" s="2015"/>
      <c r="G23" s="2015"/>
      <c r="H23" s="2016"/>
      <c r="T23" s="1997" t="s">
        <v>2088</v>
      </c>
      <c r="U23" s="2060"/>
      <c r="V23" s="2060"/>
      <c r="W23" s="2060"/>
      <c r="X23" s="2064">
        <v>43466</v>
      </c>
      <c r="Y23" s="2065"/>
      <c r="Z23" s="2065"/>
      <c r="AA23" s="2066"/>
    </row>
    <row r="24" spans="1:27" ht="14.1" customHeight="1" x14ac:dyDescent="0.2">
      <c r="A24" s="88" t="s">
        <v>698</v>
      </c>
      <c r="B24" s="49"/>
      <c r="C24" s="49"/>
      <c r="D24" s="49"/>
      <c r="E24" s="49"/>
      <c r="F24" s="49"/>
      <c r="G24" s="49"/>
      <c r="H24" s="61"/>
      <c r="J24" s="1984" t="str">
        <f>IF(B5="x",IF(AUDITCHECK!D29="AFR form Incomplete.","",IF(AUDITCHECK!D29="Deficit reduction plan is required.","School District must complete a deficit reduction plan in the 2018-2019 Budget",)),"")</f>
        <v/>
      </c>
      <c r="K24" s="1984"/>
      <c r="L24" s="1984"/>
      <c r="M24" s="1984"/>
      <c r="N24" s="1984"/>
      <c r="O24" s="1984"/>
      <c r="P24" s="1984"/>
      <c r="Q24" s="1984"/>
      <c r="R24" s="1984"/>
      <c r="S24" s="1985"/>
      <c r="T24" s="105" t="s">
        <v>552</v>
      </c>
      <c r="U24" s="106"/>
      <c r="V24" s="106"/>
      <c r="W24" s="106"/>
      <c r="X24" s="107"/>
      <c r="Y24" s="107"/>
      <c r="Z24" s="107"/>
      <c r="AA24" s="108"/>
    </row>
    <row r="25" spans="1:27" ht="14.1" customHeight="1" x14ac:dyDescent="0.2">
      <c r="A25" s="1961">
        <v>60081</v>
      </c>
      <c r="B25" s="1962"/>
      <c r="C25" s="1962"/>
      <c r="D25" s="1962"/>
      <c r="E25" s="1962"/>
      <c r="F25" s="1962"/>
      <c r="G25" s="1962"/>
      <c r="H25" s="1963"/>
      <c r="I25" s="113"/>
      <c r="J25" s="1986"/>
      <c r="K25" s="1986"/>
      <c r="L25" s="1986"/>
      <c r="M25" s="1986"/>
      <c r="N25" s="1986"/>
      <c r="O25" s="1986"/>
      <c r="P25" s="1986"/>
      <c r="Q25" s="1986"/>
      <c r="R25" s="1986"/>
      <c r="S25" s="1987"/>
      <c r="T25" s="2057" t="s">
        <v>2089</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2" t="s">
        <v>1591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c r="B42" s="1981"/>
      <c r="C42" s="1982"/>
      <c r="D42" s="1980"/>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8" sqref="E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1905</v>
      </c>
      <c r="B2" s="1550" t="s">
        <v>2035</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1">
        <f>'Revenues 9-14'!C5</f>
        <v>4791465</v>
      </c>
      <c r="C4" s="1546">
        <v>2546674</v>
      </c>
      <c r="D4" s="1774">
        <f>B4-C4</f>
        <v>2244791</v>
      </c>
      <c r="E4" s="1546">
        <v>4786662</v>
      </c>
      <c r="F4" s="1774">
        <f>E4-C4</f>
        <v>2239988</v>
      </c>
    </row>
    <row r="5" spans="1:6" ht="13.7" customHeight="1" x14ac:dyDescent="0.2">
      <c r="A5" s="716" t="s">
        <v>925</v>
      </c>
      <c r="B5" s="1772">
        <f>'Revenues 9-14'!D5</f>
        <v>1005167</v>
      </c>
      <c r="C5" s="585">
        <v>534240</v>
      </c>
      <c r="D5" s="1775">
        <f t="shared" ref="D5:D18" si="0">B5-C5</f>
        <v>470927</v>
      </c>
      <c r="E5" s="585">
        <v>1004146</v>
      </c>
      <c r="F5" s="1775">
        <f>E5-C5</f>
        <v>469906</v>
      </c>
    </row>
    <row r="6" spans="1:6" ht="13.7" customHeight="1" x14ac:dyDescent="0.2">
      <c r="A6" s="716" t="s">
        <v>431</v>
      </c>
      <c r="B6" s="1772">
        <f>'Revenues 9-14'!E5</f>
        <v>1700846</v>
      </c>
      <c r="C6" s="585">
        <v>902568</v>
      </c>
      <c r="D6" s="1775">
        <f t="shared" si="0"/>
        <v>798278</v>
      </c>
      <c r="E6" s="585">
        <v>1696448</v>
      </c>
      <c r="F6" s="1775">
        <f t="shared" ref="F6:F18" si="1">E6-C6</f>
        <v>793880</v>
      </c>
    </row>
    <row r="7" spans="1:6" ht="13.7" customHeight="1" x14ac:dyDescent="0.2">
      <c r="A7" s="716" t="s">
        <v>157</v>
      </c>
      <c r="B7" s="1772">
        <f>'Revenues 9-14'!F5</f>
        <v>248086</v>
      </c>
      <c r="C7" s="585">
        <v>131859</v>
      </c>
      <c r="D7" s="1775">
        <f t="shared" si="0"/>
        <v>116227</v>
      </c>
      <c r="E7" s="585">
        <v>247839</v>
      </c>
      <c r="F7" s="1775">
        <f t="shared" si="1"/>
        <v>115980</v>
      </c>
    </row>
    <row r="8" spans="1:6" ht="13.7" customHeight="1" x14ac:dyDescent="0.2">
      <c r="A8" s="716" t="s">
        <v>1241</v>
      </c>
      <c r="B8" s="1772">
        <f>'Revenues 9-14'!G5</f>
        <v>193281</v>
      </c>
      <c r="C8" s="585">
        <v>131894</v>
      </c>
      <c r="D8" s="1775">
        <f t="shared" si="0"/>
        <v>61387</v>
      </c>
      <c r="E8" s="585">
        <v>238166</v>
      </c>
      <c r="F8" s="1775">
        <f t="shared" si="1"/>
        <v>106272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91116</v>
      </c>
      <c r="C10" s="585">
        <v>48440</v>
      </c>
      <c r="D10" s="1775">
        <f t="shared" si="0"/>
        <v>42676</v>
      </c>
      <c r="E10" s="585">
        <v>91047</v>
      </c>
      <c r="F10" s="1775">
        <f t="shared" si="1"/>
        <v>42607</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83812</v>
      </c>
      <c r="C14" s="585">
        <v>44544</v>
      </c>
      <c r="D14" s="1775">
        <f t="shared" si="0"/>
        <v>39268</v>
      </c>
      <c r="E14" s="585">
        <v>83721</v>
      </c>
      <c r="F14" s="1775">
        <f t="shared" si="1"/>
        <v>39177</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176159</v>
      </c>
      <c r="C16" s="585">
        <v>64466</v>
      </c>
      <c r="D16" s="1775">
        <f t="shared" si="0"/>
        <v>111693</v>
      </c>
      <c r="E16" s="585">
        <v>130906</v>
      </c>
      <c r="F16" s="1775">
        <f t="shared" si="1"/>
        <v>66440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8289932</v>
      </c>
      <c r="C19" s="1773">
        <f>SUM(C4:C18)</f>
        <v>4404685</v>
      </c>
      <c r="D19" s="1773">
        <f>SUM(D4:D18)</f>
        <v>3885247</v>
      </c>
      <c r="E19" s="1773">
        <f>SUM(E4:E18)</f>
        <v>8278935</v>
      </c>
      <c r="F19" s="1773">
        <f>SUM(F4:F18)</f>
        <v>3874250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J33" sqref="J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3"/>
      <c r="C1" s="722"/>
    </row>
    <row r="2" spans="1:7" ht="33.75" x14ac:dyDescent="0.2">
      <c r="A2" s="2230" t="s">
        <v>1905</v>
      </c>
      <c r="B2" s="2231"/>
      <c r="C2" s="1909" t="s">
        <v>2036</v>
      </c>
      <c r="D2" s="724" t="s">
        <v>2043</v>
      </c>
      <c r="E2" s="724" t="s">
        <v>2044</v>
      </c>
      <c r="F2" s="1909" t="s">
        <v>2037</v>
      </c>
    </row>
    <row r="3" spans="1:7" ht="15.75" customHeight="1" x14ac:dyDescent="0.2">
      <c r="A3" s="2232" t="s">
        <v>1176</v>
      </c>
      <c r="B3" s="2233"/>
      <c r="C3" s="2226"/>
      <c r="D3" s="2227"/>
      <c r="E3" s="2227"/>
      <c r="F3" s="2228"/>
    </row>
    <row r="4" spans="1:7" ht="12.75" customHeight="1" thickBot="1" x14ac:dyDescent="0.25">
      <c r="A4" s="2220" t="s">
        <v>651</v>
      </c>
      <c r="B4" s="2221"/>
      <c r="C4" s="581"/>
      <c r="D4" s="581"/>
      <c r="E4" s="581"/>
      <c r="F4" s="1777">
        <f>SUM(C4+D4)-E4</f>
        <v>0</v>
      </c>
    </row>
    <row r="5" spans="1:7" ht="15.75" customHeight="1" thickTop="1" x14ac:dyDescent="0.2">
      <c r="A5" s="2224" t="s">
        <v>1172</v>
      </c>
      <c r="B5" s="2219"/>
      <c r="C5" s="2213"/>
      <c r="D5" s="2214"/>
      <c r="E5" s="2214"/>
      <c r="F5" s="2215"/>
    </row>
    <row r="6" spans="1:7" ht="12.75" customHeight="1" thickBot="1" x14ac:dyDescent="0.25">
      <c r="A6" s="725" t="s">
        <v>66</v>
      </c>
      <c r="B6" s="726"/>
      <c r="C6" s="727">
        <v>600000</v>
      </c>
      <c r="D6" s="585"/>
      <c r="E6" s="727">
        <v>600000</v>
      </c>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6" t="s">
        <v>652</v>
      </c>
      <c r="B15" s="2217"/>
      <c r="C15" s="1777">
        <f>SUM(C6:C14)</f>
        <v>600000</v>
      </c>
      <c r="D15" s="1777">
        <f>SUM(D6:D14)</f>
        <v>0</v>
      </c>
      <c r="E15" s="1777">
        <f>SUM(E6:E14)</f>
        <v>600000</v>
      </c>
      <c r="F15" s="1777">
        <f>SUM(F6:F14)</f>
        <v>0</v>
      </c>
      <c r="G15" s="552"/>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7"/>
      <c r="D17" s="585"/>
      <c r="E17" s="727"/>
      <c r="F17" s="1777">
        <f>SUM(C17+D17)-E17</f>
        <v>0</v>
      </c>
    </row>
    <row r="18" spans="1:11" ht="12.75" customHeight="1" thickTop="1" thickBot="1" x14ac:dyDescent="0.25">
      <c r="A18" s="2211" t="s">
        <v>6</v>
      </c>
      <c r="B18" s="2212"/>
      <c r="C18" s="727"/>
      <c r="D18" s="585"/>
      <c r="E18" s="727"/>
      <c r="F18" s="1777">
        <f>SUM(C18+D18)-E18</f>
        <v>0</v>
      </c>
    </row>
    <row r="19" spans="1:11" ht="12.75" customHeight="1" thickTop="1" thickBot="1" x14ac:dyDescent="0.25">
      <c r="A19" s="2211" t="s">
        <v>406</v>
      </c>
      <c r="B19" s="2212"/>
      <c r="C19" s="727"/>
      <c r="D19" s="585"/>
      <c r="E19" s="727"/>
      <c r="F19" s="1777">
        <f>SUM(C19+D19)-E19</f>
        <v>0</v>
      </c>
    </row>
    <row r="20" spans="1:11" ht="12.75" customHeight="1" thickTop="1" thickBot="1" x14ac:dyDescent="0.25">
      <c r="A20" s="2211" t="s">
        <v>468</v>
      </c>
      <c r="B20" s="2212"/>
      <c r="C20" s="727"/>
      <c r="D20" s="585"/>
      <c r="E20" s="727"/>
      <c r="F20" s="1777">
        <f>SUM(C20+D20)-E20</f>
        <v>0</v>
      </c>
    </row>
    <row r="21" spans="1:11" ht="14.25" thickTop="1" thickBot="1" x14ac:dyDescent="0.25">
      <c r="A21" s="2216" t="s">
        <v>653</v>
      </c>
      <c r="B21" s="2217"/>
      <c r="C21" s="1777">
        <f>SUM(C17:C20)</f>
        <v>0</v>
      </c>
      <c r="D21" s="1777">
        <f>SUM(D17:D20)</f>
        <v>0</v>
      </c>
      <c r="E21" s="1777">
        <f>SUM(E17:E20)</f>
        <v>0</v>
      </c>
      <c r="F21" s="1777">
        <f>SUM(F17:F20)</f>
        <v>0</v>
      </c>
      <c r="G21" s="552"/>
    </row>
    <row r="22" spans="1:11" ht="15.75" customHeight="1" thickTop="1" x14ac:dyDescent="0.2">
      <c r="A22" s="2218" t="s">
        <v>1174</v>
      </c>
      <c r="B22" s="2219"/>
      <c r="C22" s="2213"/>
      <c r="D22" s="2214"/>
      <c r="E22" s="2214"/>
      <c r="F22" s="2215"/>
    </row>
    <row r="23" spans="1:11" ht="13.5" thickBot="1" x14ac:dyDescent="0.25">
      <c r="A23" s="2220" t="s">
        <v>654</v>
      </c>
      <c r="B23" s="2221"/>
      <c r="C23" s="581"/>
      <c r="D23" s="581"/>
      <c r="E23" s="581"/>
      <c r="F23" s="1777">
        <f>SUM(C23+D23)-E23</f>
        <v>0</v>
      </c>
      <c r="G23" s="552"/>
    </row>
    <row r="24" spans="1:11" ht="15.75" customHeight="1" thickTop="1" x14ac:dyDescent="0.2">
      <c r="A24" s="2218" t="s">
        <v>1175</v>
      </c>
      <c r="B24" s="2219"/>
      <c r="C24" s="2213"/>
      <c r="D24" s="2214"/>
      <c r="E24" s="2214"/>
      <c r="F24" s="2215"/>
    </row>
    <row r="25" spans="1:11" ht="13.5" thickBot="1" x14ac:dyDescent="0.25">
      <c r="A25" s="2220" t="s">
        <v>655</v>
      </c>
      <c r="B25" s="2221"/>
      <c r="C25" s="581"/>
      <c r="D25" s="581"/>
      <c r="E25" s="581"/>
      <c r="F25" s="1777">
        <f>SUM(C25+D25)-E25</f>
        <v>0</v>
      </c>
      <c r="G25" s="552"/>
    </row>
    <row r="26" spans="1:11" ht="15.75" customHeight="1" thickTop="1" x14ac:dyDescent="0.2">
      <c r="A26" s="2224" t="s">
        <v>678</v>
      </c>
      <c r="B26" s="2219"/>
      <c r="C26" s="728"/>
      <c r="D26" s="728"/>
      <c r="E26" s="728"/>
      <c r="F26" s="729"/>
    </row>
    <row r="27" spans="1:11" ht="13.5" thickBot="1" x14ac:dyDescent="0.25">
      <c r="A27" s="2216" t="s">
        <v>1130</v>
      </c>
      <c r="B27" s="2217"/>
      <c r="C27" s="585"/>
      <c r="D27" s="585"/>
      <c r="E27" s="585"/>
      <c r="F27" s="1777">
        <f>SUM(C27+D27)-E27</f>
        <v>0</v>
      </c>
      <c r="G27" s="552"/>
    </row>
    <row r="28" spans="1:11" ht="7.5" customHeight="1" thickTop="1" x14ac:dyDescent="0.2">
      <c r="A28" s="594"/>
    </row>
    <row r="29" spans="1:11" ht="23.25" customHeight="1" x14ac:dyDescent="0.2">
      <c r="A29" s="2222" t="s">
        <v>603</v>
      </c>
      <c r="B29" s="2223"/>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2092</v>
      </c>
      <c r="B31" s="734">
        <v>38106</v>
      </c>
      <c r="C31" s="735">
        <v>1459463</v>
      </c>
      <c r="D31" s="736">
        <v>6</v>
      </c>
      <c r="E31" s="735">
        <v>472366</v>
      </c>
      <c r="F31" s="735"/>
      <c r="G31" s="735"/>
      <c r="H31" s="735">
        <v>92579</v>
      </c>
      <c r="I31" s="1778">
        <f>((E31+F31)-H31)+G31</f>
        <v>379787</v>
      </c>
      <c r="J31" s="735">
        <v>313189</v>
      </c>
      <c r="K31" s="737"/>
    </row>
    <row r="32" spans="1:11" ht="12" customHeight="1" x14ac:dyDescent="0.2">
      <c r="A32" s="733" t="s">
        <v>2093</v>
      </c>
      <c r="B32" s="734">
        <v>41207</v>
      </c>
      <c r="C32" s="735">
        <v>3740000</v>
      </c>
      <c r="D32" s="736">
        <v>1</v>
      </c>
      <c r="E32" s="735">
        <v>1910000</v>
      </c>
      <c r="F32" s="735"/>
      <c r="G32" s="735"/>
      <c r="H32" s="735">
        <v>480000</v>
      </c>
      <c r="I32" s="1778">
        <f>((E32+F32)-H32)+G32</f>
        <v>1430000</v>
      </c>
      <c r="J32" s="735">
        <v>1179243</v>
      </c>
      <c r="K32" s="737"/>
    </row>
    <row r="33" spans="1:11" ht="12" customHeight="1" x14ac:dyDescent="0.2">
      <c r="A33" s="733" t="s">
        <v>2094</v>
      </c>
      <c r="B33" s="734">
        <v>42283</v>
      </c>
      <c r="C33" s="735">
        <v>4310000</v>
      </c>
      <c r="D33" s="736">
        <v>3</v>
      </c>
      <c r="E33" s="735">
        <v>3485000</v>
      </c>
      <c r="F33" s="735"/>
      <c r="G33" s="735"/>
      <c r="H33" s="735">
        <v>800000</v>
      </c>
      <c r="I33" s="1778">
        <f t="shared" ref="I33:I48" si="1">((E33+F33)-H33)+G33</f>
        <v>2685000</v>
      </c>
      <c r="J33" s="735">
        <v>2214172</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9509463</v>
      </c>
      <c r="D49" s="746"/>
      <c r="E49" s="1778">
        <f t="shared" ref="E49:J49" si="2">SUM(E31:E48)</f>
        <v>5867366</v>
      </c>
      <c r="F49" s="1778">
        <f t="shared" si="2"/>
        <v>0</v>
      </c>
      <c r="G49" s="1778">
        <f t="shared" si="2"/>
        <v>0</v>
      </c>
      <c r="H49" s="1778">
        <f t="shared" si="2"/>
        <v>1372579</v>
      </c>
      <c r="I49" s="1778">
        <f t="shared" si="2"/>
        <v>4494787</v>
      </c>
      <c r="J49" s="1778">
        <f t="shared" si="2"/>
        <v>3706604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5" t="s">
        <v>605</v>
      </c>
      <c r="C52" s="2206"/>
      <c r="D52" s="2206"/>
      <c r="E52" s="750" t="s">
        <v>900</v>
      </c>
      <c r="F52" s="2207"/>
      <c r="G52" s="2208"/>
      <c r="H52" s="737"/>
      <c r="I52" s="737"/>
      <c r="J52" s="747"/>
    </row>
    <row r="53" spans="1:11" ht="11.25" customHeight="1" x14ac:dyDescent="0.2">
      <c r="A53" s="751" t="s">
        <v>969</v>
      </c>
      <c r="B53" s="752" t="s">
        <v>1008</v>
      </c>
      <c r="C53" s="747"/>
      <c r="D53" s="738"/>
      <c r="E53" s="750" t="s">
        <v>518</v>
      </c>
      <c r="F53" s="2209"/>
      <c r="G53" s="2210"/>
      <c r="H53" s="737"/>
      <c r="I53" s="737"/>
      <c r="J53" s="747"/>
    </row>
    <row r="54" spans="1:11" ht="11.25" customHeight="1" x14ac:dyDescent="0.2">
      <c r="A54" s="753" t="s">
        <v>970</v>
      </c>
      <c r="B54" s="748" t="s">
        <v>1009</v>
      </c>
      <c r="C54" s="747"/>
      <c r="D54" s="738"/>
      <c r="E54" s="750" t="s">
        <v>519</v>
      </c>
      <c r="F54" s="2209"/>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52"/>
      <c r="I1" s="761"/>
      <c r="J1" s="433"/>
    </row>
    <row r="2" spans="1:11" ht="26.25" x14ac:dyDescent="0.2">
      <c r="A2" s="2253" t="s">
        <v>1776</v>
      </c>
      <c r="B2" s="2254"/>
      <c r="C2" s="2254"/>
      <c r="D2" s="2254"/>
      <c r="E2" s="2255"/>
      <c r="F2" s="762" t="s">
        <v>960</v>
      </c>
      <c r="G2" s="763" t="s">
        <v>1773</v>
      </c>
      <c r="H2" s="763" t="s">
        <v>430</v>
      </c>
      <c r="I2" s="763" t="s">
        <v>1220</v>
      </c>
      <c r="J2" s="763" t="s">
        <v>1919</v>
      </c>
      <c r="K2" s="763" t="s">
        <v>140</v>
      </c>
    </row>
    <row r="3" spans="1:11" x14ac:dyDescent="0.2">
      <c r="A3" s="2256" t="s">
        <v>1698</v>
      </c>
      <c r="B3" s="2257"/>
      <c r="C3" s="2257"/>
      <c r="D3" s="2257"/>
      <c r="E3" s="2258"/>
      <c r="F3" s="764"/>
      <c r="G3" s="765"/>
      <c r="H3" s="765"/>
      <c r="I3" s="765"/>
      <c r="J3" s="766"/>
      <c r="K3" s="766"/>
    </row>
    <row r="4" spans="1:11" x14ac:dyDescent="0.2">
      <c r="A4" s="2259" t="s">
        <v>387</v>
      </c>
      <c r="B4" s="2260"/>
      <c r="C4" s="2260"/>
      <c r="D4" s="2260"/>
      <c r="E4" s="2206"/>
      <c r="F4" s="767"/>
      <c r="G4" s="768"/>
      <c r="H4" s="769"/>
      <c r="I4" s="768"/>
      <c r="J4" s="770"/>
      <c r="K4" s="770"/>
    </row>
    <row r="5" spans="1:11" x14ac:dyDescent="0.2">
      <c r="A5" s="2237" t="s">
        <v>1129</v>
      </c>
      <c r="B5" s="2238"/>
      <c r="C5" s="2238"/>
      <c r="D5" s="2238"/>
      <c r="E5" s="2239"/>
      <c r="F5" s="771" t="s">
        <v>903</v>
      </c>
      <c r="G5" s="772"/>
      <c r="H5" s="765">
        <f>83812+0</f>
        <v>83812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7" t="s">
        <v>1920</v>
      </c>
      <c r="B10" s="2238"/>
      <c r="C10" s="2238"/>
      <c r="D10" s="2238"/>
      <c r="E10" s="2240"/>
      <c r="F10" s="784" t="s">
        <v>917</v>
      </c>
      <c r="G10" s="783"/>
      <c r="H10" s="785"/>
      <c r="I10" s="765"/>
      <c r="J10" s="766"/>
      <c r="K10" s="766"/>
    </row>
    <row r="11" spans="1:11" x14ac:dyDescent="0.2">
      <c r="A11" s="2237" t="s">
        <v>162</v>
      </c>
      <c r="B11" s="2238"/>
      <c r="C11" s="2238"/>
      <c r="D11" s="2238"/>
      <c r="E11" s="2239"/>
      <c r="F11" s="771" t="s">
        <v>907</v>
      </c>
      <c r="G11" s="772"/>
      <c r="H11" s="765"/>
      <c r="I11" s="765"/>
      <c r="J11" s="766"/>
      <c r="K11" s="774"/>
    </row>
    <row r="12" spans="1:11" ht="13.5" thickBot="1" x14ac:dyDescent="0.25">
      <c r="A12" s="2264" t="s">
        <v>961</v>
      </c>
      <c r="B12" s="2265"/>
      <c r="C12" s="2265"/>
      <c r="D12" s="2265"/>
      <c r="E12" s="2266"/>
      <c r="F12" s="1779"/>
      <c r="G12" s="1780">
        <f>SUM(G5:G11)</f>
        <v>0</v>
      </c>
      <c r="H12" s="1780">
        <f>SUM(H5:H11)</f>
        <v>83812</v>
      </c>
      <c r="I12" s="1780">
        <f>SUM(I5:I11)</f>
        <v>0</v>
      </c>
      <c r="J12" s="1780">
        <f>SUM(J5:J11)</f>
        <v>0</v>
      </c>
      <c r="K12" s="1780">
        <f>SUM(K5:K11)</f>
        <v>0</v>
      </c>
    </row>
    <row r="13" spans="1:11" ht="13.5" thickTop="1" x14ac:dyDescent="0.2">
      <c r="A13" s="2261" t="s">
        <v>388</v>
      </c>
      <c r="B13" s="2262"/>
      <c r="C13" s="2262"/>
      <c r="D13" s="2262"/>
      <c r="E13" s="2263"/>
      <c r="F13" s="786"/>
      <c r="G13" s="787"/>
      <c r="H13" s="788"/>
      <c r="I13" s="789"/>
      <c r="J13" s="789"/>
      <c r="K13" s="789"/>
    </row>
    <row r="14" spans="1:11" x14ac:dyDescent="0.2">
      <c r="A14" s="2244" t="s">
        <v>476</v>
      </c>
      <c r="B14" s="2244"/>
      <c r="C14" s="2244"/>
      <c r="D14" s="2244"/>
      <c r="E14" s="2245"/>
      <c r="F14" s="790" t="s">
        <v>909</v>
      </c>
      <c r="G14" s="783"/>
      <c r="H14" s="765"/>
      <c r="I14" s="772"/>
      <c r="J14" s="774"/>
      <c r="K14" s="766"/>
    </row>
    <row r="15" spans="1:11" x14ac:dyDescent="0.2">
      <c r="A15" s="2238" t="s">
        <v>4</v>
      </c>
      <c r="B15" s="2238"/>
      <c r="C15" s="2238"/>
      <c r="D15" s="2238"/>
      <c r="E15" s="2239"/>
      <c r="F15" s="790" t="s">
        <v>910</v>
      </c>
      <c r="G15" s="772"/>
      <c r="H15" s="765"/>
      <c r="I15" s="765"/>
      <c r="J15" s="766"/>
      <c r="K15" s="766"/>
    </row>
    <row r="16" spans="1:11" x14ac:dyDescent="0.2">
      <c r="A16" s="2238" t="s">
        <v>316</v>
      </c>
      <c r="B16" s="2238"/>
      <c r="C16" s="2238"/>
      <c r="D16" s="2238"/>
      <c r="E16" s="2239"/>
      <c r="F16" s="790" t="s">
        <v>980</v>
      </c>
      <c r="G16" s="773"/>
      <c r="H16" s="768"/>
      <c r="I16" s="768"/>
      <c r="J16" s="770"/>
      <c r="K16" s="770"/>
    </row>
    <row r="17" spans="1:11" x14ac:dyDescent="0.2">
      <c r="A17" s="2269" t="s">
        <v>992</v>
      </c>
      <c r="B17" s="2269"/>
      <c r="C17" s="2269"/>
      <c r="D17" s="2269"/>
      <c r="E17" s="2270"/>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46" t="s">
        <v>1916</v>
      </c>
      <c r="B19" s="2246"/>
      <c r="C19" s="2246"/>
      <c r="D19" s="2246"/>
      <c r="E19" s="2247"/>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67" t="s">
        <v>659</v>
      </c>
      <c r="B21" s="2267"/>
      <c r="C21" s="2267"/>
      <c r="D21" s="2267"/>
      <c r="E21" s="2267"/>
      <c r="F21" s="1781"/>
      <c r="G21" s="793"/>
      <c r="H21" s="797"/>
      <c r="I21" s="797"/>
      <c r="J21" s="1782">
        <f>SUM(J18:J20)</f>
        <v>0</v>
      </c>
      <c r="K21" s="794"/>
    </row>
    <row r="22" spans="1:11" ht="13.5" thickTop="1" x14ac:dyDescent="0.2">
      <c r="A22" s="2238" t="s">
        <v>1922</v>
      </c>
      <c r="B22" s="2238"/>
      <c r="C22" s="2238"/>
      <c r="D22" s="2238"/>
      <c r="E22" s="2239"/>
      <c r="F22" s="790" t="s">
        <v>917</v>
      </c>
      <c r="G22" s="783"/>
      <c r="H22" s="765"/>
      <c r="I22" s="765"/>
      <c r="J22" s="798"/>
      <c r="K22" s="766"/>
    </row>
    <row r="23" spans="1:11" ht="13.5" thickBot="1" x14ac:dyDescent="0.25">
      <c r="A23" s="2268" t="s">
        <v>962</v>
      </c>
      <c r="B23" s="2267"/>
      <c r="C23" s="2267"/>
      <c r="D23" s="2267"/>
      <c r="E23" s="2267"/>
      <c r="F23" s="1783"/>
      <c r="G23" s="1780">
        <f>SUM(G14:G16,G21,G22)</f>
        <v>0</v>
      </c>
      <c r="H23" s="1780">
        <f>SUM(H14:H16,H21,H22)</f>
        <v>0</v>
      </c>
      <c r="I23" s="1780">
        <f>SUM(I14:I16,I21,I22)</f>
        <v>0</v>
      </c>
      <c r="J23" s="1780">
        <f>SUM(J14:J16,J21,J22)</f>
        <v>0</v>
      </c>
      <c r="K23" s="1780">
        <f>SUM(K14:K16,K21,K22)</f>
        <v>0</v>
      </c>
    </row>
    <row r="24" spans="1:11" ht="14.25" thickTop="1" thickBot="1" x14ac:dyDescent="0.25">
      <c r="A24" s="2268" t="s">
        <v>2024</v>
      </c>
      <c r="B24" s="2267"/>
      <c r="C24" s="2267"/>
      <c r="D24" s="2267"/>
      <c r="E24" s="2267"/>
      <c r="F24" s="1784"/>
      <c r="G24" s="1785">
        <f>SUM(G3,G12)-G23</f>
        <v>0</v>
      </c>
      <c r="H24" s="1785">
        <f>SUM(H3,H12)-H23</f>
        <v>83812</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83812</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1"/>
      <c r="I31" s="2242"/>
      <c r="J31" s="2242"/>
      <c r="K31" s="2242"/>
    </row>
    <row r="32" spans="1:11" x14ac:dyDescent="0.2">
      <c r="A32" s="810"/>
      <c r="B32" s="237"/>
      <c r="C32" s="237"/>
      <c r="D32" s="237"/>
      <c r="E32" s="806"/>
      <c r="F32" s="812" t="s">
        <v>561</v>
      </c>
      <c r="G32" s="765"/>
      <c r="H32" s="2243"/>
      <c r="I32" s="2242"/>
      <c r="J32" s="2242"/>
      <c r="K32" s="2242"/>
    </row>
    <row r="33" spans="1:11" ht="1.5" customHeight="1" x14ac:dyDescent="0.2">
      <c r="A33" s="813" t="s">
        <v>1231</v>
      </c>
      <c r="B33" s="364"/>
      <c r="C33" s="364"/>
      <c r="D33" s="364"/>
      <c r="E33" s="364"/>
      <c r="F33" s="364"/>
      <c r="G33" s="814"/>
      <c r="H33" s="2243"/>
      <c r="I33" s="2242"/>
      <c r="J33" s="2242"/>
      <c r="K33" s="224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51"/>
      <c r="C41" s="2251"/>
      <c r="D41" s="2251"/>
      <c r="E41" s="2251"/>
      <c r="F41" s="225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13" sqref="K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2033</v>
      </c>
      <c r="B1" s="2274"/>
      <c r="C1" s="2275"/>
      <c r="D1" s="827"/>
      <c r="E1" s="828"/>
      <c r="F1" s="828"/>
      <c r="G1" s="829"/>
      <c r="H1" s="830"/>
      <c r="I1" s="831"/>
      <c r="J1" s="2271"/>
      <c r="K1" s="2272"/>
      <c r="L1" s="2272"/>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57292</v>
      </c>
      <c r="D5" s="842"/>
      <c r="E5" s="842"/>
      <c r="F5" s="1782">
        <f>(C5+D5)-E5</f>
        <v>57292</v>
      </c>
      <c r="G5" s="838"/>
      <c r="H5" s="843"/>
      <c r="I5" s="843"/>
      <c r="J5" s="843"/>
      <c r="K5" s="794"/>
      <c r="L5" s="1791">
        <f>F5-K5</f>
        <v>57292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17376946</v>
      </c>
      <c r="D8" s="845">
        <v>2383</v>
      </c>
      <c r="E8" s="845"/>
      <c r="F8" s="1782">
        <f>(C8+D8)-E8</f>
        <v>17379329</v>
      </c>
      <c r="G8" s="844">
        <v>50</v>
      </c>
      <c r="H8" s="766">
        <v>7784674</v>
      </c>
      <c r="I8" s="766">
        <v>409695</v>
      </c>
      <c r="J8" s="766"/>
      <c r="K8" s="1791">
        <f>(H8+I8)-J8</f>
        <v>8194369</v>
      </c>
      <c r="L8" s="1791">
        <f>F8-K8</f>
        <v>9184960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398913</v>
      </c>
      <c r="D10" s="847"/>
      <c r="E10" s="847"/>
      <c r="F10" s="1786">
        <f>(C10+D10)-E10</f>
        <v>398913</v>
      </c>
      <c r="G10" s="844">
        <v>20</v>
      </c>
      <c r="H10" s="848">
        <v>347903</v>
      </c>
      <c r="I10" s="848">
        <v>8435</v>
      </c>
      <c r="J10" s="848"/>
      <c r="K10" s="1791">
        <f>(H10+I10)-J10</f>
        <v>356338</v>
      </c>
      <c r="L10" s="1791">
        <f>F10-K10</f>
        <v>42575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1943389</v>
      </c>
      <c r="D12" s="845">
        <v>21371</v>
      </c>
      <c r="E12" s="845"/>
      <c r="F12" s="1782">
        <f>(C12+D12)-E12</f>
        <v>1964760</v>
      </c>
      <c r="G12" s="844">
        <v>10</v>
      </c>
      <c r="H12" s="766">
        <v>1473141</v>
      </c>
      <c r="I12" s="766">
        <v>57848</v>
      </c>
      <c r="J12" s="766"/>
      <c r="K12" s="1791">
        <f>(H12+I12)-J12</f>
        <v>1530989</v>
      </c>
      <c r="L12" s="1791">
        <f>F12-K12</f>
        <v>433771</v>
      </c>
    </row>
    <row r="13" spans="1:14" ht="14.25" thickTop="1" thickBot="1" x14ac:dyDescent="0.25">
      <c r="A13" s="849" t="s">
        <v>1184</v>
      </c>
      <c r="B13" s="841">
        <v>252</v>
      </c>
      <c r="C13" s="845">
        <v>995670</v>
      </c>
      <c r="D13" s="845">
        <v>51114</v>
      </c>
      <c r="E13" s="845">
        <v>49900</v>
      </c>
      <c r="F13" s="1782">
        <f>(C13+D13)-E13</f>
        <v>996884</v>
      </c>
      <c r="G13" s="844">
        <v>5</v>
      </c>
      <c r="H13" s="766">
        <v>568886</v>
      </c>
      <c r="I13" s="766">
        <v>72059</v>
      </c>
      <c r="J13" s="766">
        <v>25262</v>
      </c>
      <c r="K13" s="1791">
        <f>(H13+I13)-J13</f>
        <v>615683</v>
      </c>
      <c r="L13" s="1791">
        <f>F13-K13</f>
        <v>381201</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20772210</v>
      </c>
      <c r="D16" s="1782">
        <f>SUM(D3,D5:D6,D8:D10,D12:D15)</f>
        <v>74868</v>
      </c>
      <c r="E16" s="1782">
        <f>SUM(E3,E5:E6,E8:E10,E12:E15)</f>
        <v>49900</v>
      </c>
      <c r="F16" s="1782">
        <f>SUM(F3,F5:F6,F8:F10,F12:F15)</f>
        <v>20797178</v>
      </c>
      <c r="G16" s="844"/>
      <c r="H16" s="1782">
        <f>SUM(H3,H6,H8:H10,H12:H14,)</f>
        <v>10174604</v>
      </c>
      <c r="I16" s="1782">
        <f>SUM(I3,I6,I8:I10,I12:I14,)</f>
        <v>548037</v>
      </c>
      <c r="J16" s="1782">
        <f>SUM(J3,J6,J8:J10,J12:J14,)</f>
        <v>25262</v>
      </c>
      <c r="K16" s="1782">
        <f>(H16+I16)-J16</f>
        <v>10697379</v>
      </c>
      <c r="L16" s="1782">
        <f>F16-K16</f>
        <v>10099799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548037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4" activePane="bottomLeft" state="frozen"/>
      <selection activeCell="A47" sqref="A47"/>
      <selection pane="bottomLeft" activeCell="O91" sqref="O9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8918304</v>
      </c>
      <c r="G8" s="866"/>
    </row>
    <row r="9" spans="1:7" x14ac:dyDescent="0.2">
      <c r="A9" s="870" t="s">
        <v>480</v>
      </c>
      <c r="B9" s="871" t="s">
        <v>1988</v>
      </c>
      <c r="C9" s="872"/>
      <c r="D9" s="870" t="s">
        <v>522</v>
      </c>
      <c r="E9" s="869"/>
      <c r="F9" s="1935">
        <f>'Expenditures 15-22'!K151</f>
        <v>863786</v>
      </c>
      <c r="G9" s="873"/>
    </row>
    <row r="10" spans="1:7" x14ac:dyDescent="0.2">
      <c r="A10" s="870" t="s">
        <v>520</v>
      </c>
      <c r="B10" s="871" t="s">
        <v>1989</v>
      </c>
      <c r="C10" s="872"/>
      <c r="D10" s="870" t="s">
        <v>522</v>
      </c>
      <c r="E10" s="869"/>
      <c r="F10" s="1935">
        <f>'Expenditures 15-22'!K174</f>
        <v>1707303</v>
      </c>
      <c r="G10" s="873"/>
    </row>
    <row r="11" spans="1:7" x14ac:dyDescent="0.2">
      <c r="A11" s="870" t="s">
        <v>481</v>
      </c>
      <c r="B11" s="871" t="s">
        <v>1990</v>
      </c>
      <c r="C11" s="872"/>
      <c r="D11" s="870" t="s">
        <v>522</v>
      </c>
      <c r="E11" s="869"/>
      <c r="F11" s="1935">
        <f>'Expenditures 15-22'!K210</f>
        <v>640821</v>
      </c>
      <c r="G11" s="873"/>
    </row>
    <row r="12" spans="1:7" x14ac:dyDescent="0.2">
      <c r="A12" s="870" t="s">
        <v>482</v>
      </c>
      <c r="B12" s="871" t="s">
        <v>1991</v>
      </c>
      <c r="C12" s="872"/>
      <c r="D12" s="870" t="s">
        <v>522</v>
      </c>
      <c r="E12" s="869"/>
      <c r="F12" s="1935">
        <f>'Expenditures 15-22'!K295</f>
        <v>418854</v>
      </c>
      <c r="G12" s="873"/>
    </row>
    <row r="13" spans="1:7" x14ac:dyDescent="0.2">
      <c r="A13" s="870" t="s">
        <v>108</v>
      </c>
      <c r="B13" s="871" t="s">
        <v>1992</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12549068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11109</v>
      </c>
      <c r="G52" s="866"/>
    </row>
    <row r="53" spans="1:7" x14ac:dyDescent="0.2">
      <c r="A53" s="870" t="s">
        <v>479</v>
      </c>
      <c r="B53" s="870" t="s">
        <v>1551</v>
      </c>
      <c r="C53" s="890">
        <f>'Expenditures 15-22'!B102</f>
        <v>4000</v>
      </c>
      <c r="D53" s="889" t="str">
        <f>'Expenditures 15-22'!A102</f>
        <v>Total Payments to Other Govt Units</v>
      </c>
      <c r="E53" s="869"/>
      <c r="F53" s="1939">
        <f>'Expenditures 15-22'!K102</f>
        <v>651947</v>
      </c>
      <c r="G53" s="866"/>
    </row>
    <row r="54" spans="1:7" x14ac:dyDescent="0.2">
      <c r="A54" s="870" t="s">
        <v>479</v>
      </c>
      <c r="B54" s="870" t="s">
        <v>1552</v>
      </c>
      <c r="C54" s="890" t="s">
        <v>1039</v>
      </c>
      <c r="D54" s="886" t="s">
        <v>1157</v>
      </c>
      <c r="E54" s="869"/>
      <c r="F54" s="1939">
        <f>'Expenditures 15-22'!G114</f>
        <v>21371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2383</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1372579</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51114</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379</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2110882</v>
      </c>
      <c r="G76" s="866"/>
    </row>
    <row r="77" spans="1:8" s="894" customFormat="1" ht="12" customHeight="1" thickTop="1" thickBot="1" x14ac:dyDescent="0.25">
      <c r="A77" s="1801"/>
      <c r="B77" s="1798"/>
      <c r="C77" s="1794"/>
      <c r="D77" s="1799" t="s">
        <v>2011</v>
      </c>
      <c r="E77" s="1796"/>
      <c r="F77" s="1802">
        <f>(F14-F76)</f>
        <v>10438186</v>
      </c>
      <c r="G77" s="870"/>
    </row>
    <row r="78" spans="1:8" s="894" customFormat="1" ht="12" customHeight="1" thickTop="1" x14ac:dyDescent="0.2">
      <c r="A78" s="1803"/>
      <c r="B78" s="1798"/>
      <c r="C78" s="1794"/>
      <c r="D78" s="1799" t="s">
        <v>2057</v>
      </c>
      <c r="E78" s="1796"/>
      <c r="F78" s="899">
        <v>689.15</v>
      </c>
      <c r="G78" s="900"/>
      <c r="H78" s="870"/>
    </row>
    <row r="79" spans="1:8" s="894" customFormat="1" ht="12" customHeight="1" thickBot="1" x14ac:dyDescent="0.25">
      <c r="A79" s="1804"/>
      <c r="B79" s="1798"/>
      <c r="C79" s="1794"/>
      <c r="D79" s="1799" t="s">
        <v>2012</v>
      </c>
      <c r="E79" s="1796" t="s">
        <v>1015</v>
      </c>
      <c r="F79" s="1805">
        <f>IF(F78&gt;0,F77/F78," Complete Line 78")</f>
        <v>15146.464485235436</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61692</v>
      </c>
      <c r="G94" s="913"/>
    </row>
    <row r="95" spans="1:7" x14ac:dyDescent="0.2">
      <c r="A95" s="909" t="s">
        <v>142</v>
      </c>
      <c r="B95" s="909" t="s">
        <v>177</v>
      </c>
      <c r="C95" s="911">
        <v>1700</v>
      </c>
      <c r="D95" s="919" t="str">
        <f>'Revenues 9-14'!A82</f>
        <v>Total District/School Activity Income</v>
      </c>
      <c r="E95" s="907"/>
      <c r="F95" s="1811">
        <f>SUM('Revenues 9-14'!C82,'Revenues 9-14'!D82)</f>
        <v>42877</v>
      </c>
      <c r="G95" s="913"/>
    </row>
    <row r="96" spans="1:7" x14ac:dyDescent="0.2">
      <c r="A96" s="909" t="s">
        <v>479</v>
      </c>
      <c r="B96" s="909" t="s">
        <v>178</v>
      </c>
      <c r="C96" s="911">
        <f>'Revenues 9-14'!B84</f>
        <v>1811</v>
      </c>
      <c r="D96" s="912" t="str">
        <f>'Revenues 9-14'!A84</f>
        <v>Rentals - Regular Textbooks</v>
      </c>
      <c r="E96" s="907"/>
      <c r="F96" s="1811">
        <f>'Revenues 9-14'!C84</f>
        <v>34747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4645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23606</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267733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3636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390778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242364</v>
      </c>
      <c r="G129" s="931"/>
    </row>
    <row r="130" spans="1:7" x14ac:dyDescent="0.2">
      <c r="A130" s="928" t="s">
        <v>689</v>
      </c>
      <c r="B130" s="928" t="s">
        <v>804</v>
      </c>
      <c r="C130" s="933">
        <v>4300</v>
      </c>
      <c r="D130" s="934" t="str">
        <f>'Revenues 9-14'!A211</f>
        <v>Total Title I</v>
      </c>
      <c r="E130" s="907"/>
      <c r="F130" s="1811">
        <f>SUM('Revenues 9-14'!C211,'Revenues 9-14'!D211,'Revenues 9-14'!F211,'Revenues 9-14'!G211)</f>
        <v>134939</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264586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17111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11037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34186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2500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1537187</v>
      </c>
    </row>
    <row r="179" spans="1:7" ht="12" customHeight="1" x14ac:dyDescent="0.2">
      <c r="A179" s="1792"/>
      <c r="B179" s="1806"/>
      <c r="C179" s="1807"/>
      <c r="D179" s="1808" t="s">
        <v>2014</v>
      </c>
      <c r="E179" s="1809"/>
      <c r="F179" s="1811">
        <f>'PCTC-OEPP 27-28'!F77-F178</f>
        <v>8900999</v>
      </c>
    </row>
    <row r="180" spans="1:7" ht="12" customHeight="1" x14ac:dyDescent="0.2">
      <c r="A180" s="1792"/>
      <c r="B180" s="1806"/>
      <c r="C180" s="1807"/>
      <c r="D180" s="1808" t="s">
        <v>1924</v>
      </c>
      <c r="E180" s="1809"/>
      <c r="F180" s="1811">
        <f>'Cap Outlay Deprec 26'!I18</f>
        <v>548037</v>
      </c>
    </row>
    <row r="181" spans="1:7" ht="12" customHeight="1" x14ac:dyDescent="0.2">
      <c r="A181" s="1792"/>
      <c r="B181" s="1806"/>
      <c r="C181" s="1807"/>
      <c r="D181" s="1808" t="s">
        <v>2015</v>
      </c>
      <c r="E181" s="1809"/>
      <c r="F181" s="1811">
        <f>F179+F180</f>
        <v>9449036</v>
      </c>
    </row>
    <row r="182" spans="1:7" ht="12" customHeight="1" x14ac:dyDescent="0.2">
      <c r="A182" s="1792"/>
      <c r="B182" s="1812"/>
      <c r="C182" s="1807"/>
      <c r="D182" s="1808" t="str">
        <f>D78</f>
        <v>9 Month ADA from District Average Daily Attendance/Prior General State Aid Inquiry 2017-2018</v>
      </c>
      <c r="E182" s="1809"/>
      <c r="F182" s="1813">
        <f>'PCTC-OEPP 27-28'!F78</f>
        <v>689.15</v>
      </c>
      <c r="G182" s="931"/>
    </row>
    <row r="183" spans="1:7" ht="12" customHeight="1" thickBot="1" x14ac:dyDescent="0.25">
      <c r="A183" s="1792"/>
      <c r="B183" s="1812"/>
      <c r="C183" s="1807"/>
      <c r="D183" s="1808" t="s">
        <v>2016</v>
      </c>
      <c r="E183" s="1809" t="s">
        <v>1626</v>
      </c>
      <c r="F183" s="1814">
        <f>F181/F182</f>
        <v>13711.145614162375</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2073</v>
      </c>
      <c r="B7" s="2297"/>
      <c r="C7" s="2297"/>
      <c r="D7" s="2297"/>
      <c r="E7" s="2297"/>
      <c r="F7" s="2297"/>
      <c r="G7" s="2298"/>
    </row>
    <row r="8" spans="1:7" ht="15.75" customHeight="1" x14ac:dyDescent="0.25">
      <c r="A8" s="2299" t="s">
        <v>2022</v>
      </c>
      <c r="B8" s="2300"/>
      <c r="C8" s="2300"/>
      <c r="D8" s="2300"/>
      <c r="E8" s="2300"/>
      <c r="F8" s="2300"/>
      <c r="G8" s="2301"/>
    </row>
    <row r="9" spans="1:7" ht="35.25" customHeight="1" x14ac:dyDescent="0.25">
      <c r="A9" s="2296" t="s">
        <v>2076</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2075</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2095</v>
      </c>
      <c r="B17" s="1958" t="s">
        <v>2097</v>
      </c>
      <c r="C17" s="1957" t="s">
        <v>2096</v>
      </c>
      <c r="D17" s="1867">
        <v>119539</v>
      </c>
      <c r="E17" s="1562">
        <f t="shared" ref="E17:E141" si="1">IF(D17&lt;=25000,D17,IF(D17&gt;25000,25000,0))</f>
        <v>25000</v>
      </c>
      <c r="F17" s="1815">
        <f t="shared" si="0"/>
        <v>25000</v>
      </c>
      <c r="G17" s="1816">
        <f>IF(F17=0,0,D17-F17)</f>
        <v>94539</v>
      </c>
      <c r="H17" s="1669"/>
    </row>
    <row r="18" spans="1:8" x14ac:dyDescent="0.25">
      <c r="A18" s="1960" t="s">
        <v>2102</v>
      </c>
      <c r="B18" s="1958" t="s">
        <v>2098</v>
      </c>
      <c r="C18" s="1959" t="s">
        <v>2099</v>
      </c>
      <c r="D18" s="1867">
        <v>64956</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39956</v>
      </c>
    </row>
    <row r="19" spans="1:8" x14ac:dyDescent="0.25">
      <c r="A19" s="1960" t="s">
        <v>2103</v>
      </c>
      <c r="B19" s="1958" t="s">
        <v>2100</v>
      </c>
      <c r="C19" s="1959" t="s">
        <v>2101</v>
      </c>
      <c r="D19" s="1867">
        <v>26536</v>
      </c>
      <c r="E19" s="1562">
        <f t="shared" si="2"/>
        <v>25000</v>
      </c>
      <c r="F19" s="1815">
        <f t="shared" si="3"/>
        <v>25000</v>
      </c>
      <c r="G19" s="1816">
        <f t="shared" si="4"/>
        <v>1536</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211031</v>
      </c>
      <c r="E141" s="1563">
        <f t="shared" si="1"/>
        <v>25000</v>
      </c>
      <c r="F141" s="1817">
        <f>SUM(F17:F140)</f>
        <v>75000</v>
      </c>
      <c r="G141" s="1818">
        <f>SUM(G17:G140)</f>
        <v>136031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7" t="s">
        <v>1944</v>
      </c>
      <c r="B11" s="2308"/>
      <c r="C11" s="2308"/>
      <c r="D11" s="230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5520831</v>
      </c>
      <c r="F19" s="1822"/>
      <c r="G19" s="1824">
        <f>'Expenditures 15-22'!K33-SUM('Expenditures 15-22'!G33,'Expenditures 15-22'!I33)+'Expenditures 15-22'!D229</f>
        <v>5520831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823007</v>
      </c>
      <c r="F21" s="1825"/>
      <c r="G21" s="1828">
        <f>'Expenditures 15-22'!K42-SUM('Expenditures 15-22'!G42,'Expenditures 15-22'!I42)+'Expenditures 15-22'!K120-SUM('Expenditures 15-22'!G120,'Expenditures 15-22'!I120)+'Expenditures 15-22'!K180-SUM('Expenditures 15-22'!G180,'Expenditures 15-22'!I180)+'Expenditures 15-22'!D238</f>
        <v>823007</v>
      </c>
      <c r="H21" s="988"/>
      <c r="I21" s="162"/>
    </row>
    <row r="22" spans="1:9" s="669" customFormat="1" ht="12" customHeight="1" x14ac:dyDescent="0.2">
      <c r="A22" s="995" t="s">
        <v>585</v>
      </c>
      <c r="B22" s="996"/>
      <c r="C22" s="994">
        <v>2200</v>
      </c>
      <c r="D22" s="1825"/>
      <c r="E22" s="1827">
        <f>'Expenditures 15-22'!K47-SUM('Expenditures 15-22'!G47,'Expenditures 15-22'!I47)+'Expenditures 15-22'!D243</f>
        <v>221425</v>
      </c>
      <c r="F22" s="1825"/>
      <c r="G22" s="1828">
        <f>'Expenditures 15-22'!K47-SUM('Expenditures 15-22'!G47,'Expenditures 15-22'!I47)+'Expenditures 15-22'!D243</f>
        <v>221425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387359</v>
      </c>
      <c r="F23" s="1825"/>
      <c r="G23" s="1827">
        <f>'Expenditures 15-22'!K53-SUM('Expenditures 15-22'!G53,'Expenditures 15-22'!I53)+'Expenditures 15-22'!D257+'Expenditures 15-22'!K330-SUM('Expenditures 15-22'!G330,'Expenditures 15-22'!I330)</f>
        <v>387359</v>
      </c>
      <c r="H23" s="988"/>
      <c r="I23" s="162"/>
    </row>
    <row r="24" spans="1:9" s="669" customFormat="1" ht="12" customHeight="1" x14ac:dyDescent="0.2">
      <c r="A24" s="995" t="s">
        <v>587</v>
      </c>
      <c r="B24" s="996"/>
      <c r="C24" s="994">
        <v>2400</v>
      </c>
      <c r="D24" s="1825"/>
      <c r="E24" s="1827">
        <f>'Expenditures 15-22'!K57-SUM('Expenditures 15-22'!G57,'Expenditures 15-22'!I57)+'Expenditures 15-22'!D261</f>
        <v>694064</v>
      </c>
      <c r="F24" s="1825"/>
      <c r="G24" s="1828">
        <f>'Expenditures 15-22'!K57-SUM('Expenditures 15-22'!G57,'Expenditures 15-22'!I57)+'Expenditures 15-22'!D261</f>
        <v>694064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254125</v>
      </c>
      <c r="E27" s="1827">
        <f>E8</f>
        <v>0</v>
      </c>
      <c r="F27" s="1827">
        <f>'Expenditures 15-22'!K60-SUM('Expenditures 15-22'!G60,'Expenditures 15-22'!I60)+'Expenditures 15-22'!D264-E8</f>
        <v>254125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917978</v>
      </c>
      <c r="F28" s="1829">
        <f>'Expenditures 15-22'!K61-SUM('Expenditures 15-22'!G61,'Expenditures 15-22'!I61)+'Expenditures 15-22'!K124-SUM('Expenditures 15-22'!G124,'Expenditures 15-22'!I124)+'Expenditures 15-22'!D266-E9</f>
        <v>917978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645892</v>
      </c>
      <c r="F29" s="1825"/>
      <c r="G29" s="1828">
        <f>'Expenditures 15-22'!K62-SUM('Expenditures 15-22'!G62,'Expenditures 15-22'!I62)+'Expenditures 15-22'!K125-SUM('Expenditures 15-22'!G125,'Expenditures 15-22'!I125)+'Expenditures 15-22'!K182-SUM('Expenditures 15-22'!G182,'Expenditures 15-22'!I182)+'Expenditures 15-22'!D267</f>
        <v>645892</v>
      </c>
      <c r="H29" s="986"/>
    </row>
    <row r="30" spans="1:9" ht="12" customHeight="1" x14ac:dyDescent="0.2">
      <c r="A30" s="995" t="s">
        <v>102</v>
      </c>
      <c r="B30" s="998"/>
      <c r="C30" s="994">
        <v>2560</v>
      </c>
      <c r="D30" s="1825"/>
      <c r="E30" s="1827">
        <f>'Expenditures 15-22'!K63-SUM('Expenditures 15-22'!G63,'Expenditures 15-22'!I63)+'Expenditures 15-22'!D268-E10</f>
        <v>462103</v>
      </c>
      <c r="F30" s="1825"/>
      <c r="G30" s="1827">
        <f>'Expenditures 15-22'!K63-SUM('Expenditures 15-22'!G63,'Expenditures 15-22'!I63)+'Expenditures 15-22'!D268-E10</f>
        <v>462103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11803</v>
      </c>
      <c r="E36" s="1827">
        <f>E13</f>
        <v>0</v>
      </c>
      <c r="F36" s="1827">
        <f>'Expenditures 15-22'!K70-SUM('Expenditures 15-22'!G70,'Expenditures 15-22'!I70)+'Expenditures 15-22'!D275-E13</f>
        <v>11803</v>
      </c>
      <c r="G36" s="1827">
        <f>E13</f>
        <v>0</v>
      </c>
    </row>
    <row r="37" spans="1:7" ht="12" customHeight="1" x14ac:dyDescent="0.2">
      <c r="A37" s="995" t="s">
        <v>424</v>
      </c>
      <c r="B37" s="998"/>
      <c r="C37" s="994">
        <v>2660</v>
      </c>
      <c r="D37" s="1827">
        <f>'Expenditures 15-22'!K71-SUM('Expenditures 15-22'!G71,'Expenditures 15-22'!I71)+'Expenditures 15-22'!D276-E14</f>
        <v>159689</v>
      </c>
      <c r="E37" s="1827">
        <f>E14</f>
        <v>0</v>
      </c>
      <c r="F37" s="1827">
        <f>'Expenditures 15-22'!K71-SUM('Expenditures 15-22'!G71,'Expenditures 15-22'!I71)+'Expenditures 15-22'!D276-E14</f>
        <v>159689</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5186</v>
      </c>
      <c r="F38" s="1825"/>
      <c r="G38" s="1827">
        <f>'Expenditures 15-22'!K73-SUM('Expenditures 15-22'!G73,'Expenditures 15-22'!I73)+'Expenditures 15-22'!K128-SUM('Expenditures 15-22'!G128,'Expenditures 15-22'!I128)+'Expenditures 15-22'!K183-SUM('Expenditures 15-22'!G183,'Expenditures 15-22'!I183)+'Expenditures 15-22'!D278</f>
        <v>5186</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11488</v>
      </c>
      <c r="F39" s="1825"/>
      <c r="G39" s="1827">
        <f>'Expenditures 15-22'!K75-SUM('Expenditures 15-22'!G75,'Expenditures 15-22'!I75)+'Expenditures 15-22'!K130-SUM('Expenditures 15-22'!G130,'Expenditures 15-22'!I130)+'Expenditures 15-22'!K185-SUM('Expenditures 15-22'!G185,'Expenditures 15-22'!I185)+'Expenditures 15-22'!D280</f>
        <v>11488</v>
      </c>
    </row>
    <row r="40" spans="1:7" ht="12" customHeight="1" x14ac:dyDescent="0.2">
      <c r="A40" s="991" t="s">
        <v>1930</v>
      </c>
      <c r="B40" s="992"/>
      <c r="C40" s="994"/>
      <c r="D40" s="1825"/>
      <c r="E40" s="1829">
        <f>-'Contracts Paid in CY 29'!G141</f>
        <v>-136031</v>
      </c>
      <c r="F40" s="1825"/>
      <c r="G40" s="1829">
        <f>-'Contracts Paid in CY 29'!G141</f>
        <v>-136031</v>
      </c>
    </row>
    <row r="41" spans="1:7" ht="12" customHeight="1" x14ac:dyDescent="0.2">
      <c r="A41" s="999" t="s">
        <v>158</v>
      </c>
      <c r="B41" s="1000"/>
      <c r="C41" s="1001"/>
      <c r="D41" s="1829">
        <f>SUM(D19:D39)</f>
        <v>425617</v>
      </c>
      <c r="E41" s="1829">
        <f>SUM(E19:E40)</f>
        <v>9553302</v>
      </c>
      <c r="F41" s="1829">
        <f>SUM(F19:F39)</f>
        <v>1343595</v>
      </c>
      <c r="G41" s="1829">
        <f>SUM(G19:G40)</f>
        <v>8635324</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425617</v>
      </c>
      <c r="F43" s="1830" t="s">
        <v>495</v>
      </c>
      <c r="G43" s="1831">
        <f>F41</f>
        <v>1343595</v>
      </c>
    </row>
    <row r="44" spans="1:7" ht="12" customHeight="1" x14ac:dyDescent="0.2">
      <c r="A44" s="988"/>
      <c r="B44" s="162"/>
      <c r="C44" s="1002"/>
      <c r="D44" s="1830" t="s">
        <v>494</v>
      </c>
      <c r="E44" s="1831">
        <f>E41</f>
        <v>9553302</v>
      </c>
      <c r="F44" s="1830" t="s">
        <v>494</v>
      </c>
      <c r="G44" s="1831">
        <f>G41</f>
        <v>8635324</v>
      </c>
    </row>
    <row r="45" spans="1:7" ht="12" customHeight="1" x14ac:dyDescent="0.2">
      <c r="A45" s="988"/>
      <c r="B45" s="162"/>
      <c r="C45" s="162"/>
      <c r="D45" s="1832" t="s">
        <v>1063</v>
      </c>
      <c r="E45" s="1833">
        <f>(E43/E44)</f>
        <v>4.455182093060598E-2</v>
      </c>
      <c r="F45" s="1832" t="s">
        <v>1063</v>
      </c>
      <c r="G45" s="1833">
        <f>(G43/G44)</f>
        <v>0.15559288800281262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portrait"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4" t="s">
        <v>1446</v>
      </c>
      <c r="B1" s="2324"/>
      <c r="C1" s="2324"/>
      <c r="D1" s="2324"/>
      <c r="E1" s="2324"/>
      <c r="F1" s="2324"/>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5" t="s">
        <v>1627</v>
      </c>
      <c r="B5" s="2326"/>
      <c r="C5" s="2327"/>
      <c r="D5" s="2327"/>
      <c r="E5" s="2327"/>
      <c r="F5" s="2327"/>
    </row>
    <row r="6" spans="1:10" ht="12" customHeight="1" x14ac:dyDescent="0.25">
      <c r="A6" s="1875"/>
      <c r="B6" s="1876"/>
      <c r="C6" s="2328" t="str">
        <f>COVER!A17</f>
        <v>Fox Lake GSD 114</v>
      </c>
      <c r="D6" s="2328"/>
      <c r="E6" s="2328"/>
      <c r="F6" s="1877"/>
    </row>
    <row r="7" spans="1:10" ht="11.25" customHeight="1" thickBot="1" x14ac:dyDescent="0.3">
      <c r="A7" s="1875"/>
      <c r="B7" s="1876"/>
      <c r="C7" s="2329">
        <f>COVER!A13</f>
        <v>34049114002</v>
      </c>
      <c r="D7" s="2329"/>
      <c r="E7" s="2329"/>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2091</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8"/>
      <c r="B39" s="1898"/>
      <c r="C39" s="1898"/>
      <c r="D39" s="1898"/>
      <c r="E39" s="1898"/>
      <c r="F39" s="1898"/>
    </row>
    <row r="40" spans="1:11" s="1895" customFormat="1" ht="12" customHeight="1" x14ac:dyDescent="0.25">
      <c r="A40" s="1899" t="s">
        <v>1458</v>
      </c>
      <c r="B40" s="1900"/>
      <c r="C40" s="2319"/>
      <c r="D40" s="2319"/>
      <c r="E40" s="2319"/>
      <c r="F40" s="2320"/>
      <c r="H40" s="1904"/>
      <c r="I40" s="1904"/>
      <c r="J40" s="1904"/>
      <c r="K40" s="1904"/>
    </row>
    <row r="41" spans="1:11" s="1895" customFormat="1" ht="12" customHeight="1" x14ac:dyDescent="0.25">
      <c r="A41" s="2321"/>
      <c r="B41" s="2322"/>
      <c r="C41" s="2322"/>
      <c r="D41" s="2322"/>
      <c r="E41" s="2322"/>
      <c r="F41" s="2323"/>
      <c r="H41" s="1904"/>
      <c r="I41" s="1904"/>
      <c r="J41" s="1904"/>
      <c r="K41" s="1904"/>
    </row>
    <row r="42" spans="1:11" s="1895" customFormat="1" ht="12" customHeight="1" x14ac:dyDescent="0.25">
      <c r="A42" s="2321"/>
      <c r="B42" s="2322"/>
      <c r="C42" s="2322"/>
      <c r="D42" s="2322"/>
      <c r="E42" s="2322"/>
      <c r="F42" s="2323"/>
      <c r="H42" s="1904"/>
      <c r="I42" s="1904"/>
      <c r="J42" s="1904"/>
      <c r="K42" s="1904"/>
    </row>
    <row r="43" spans="1:11" s="1895" customFormat="1" ht="15" x14ac:dyDescent="0.25">
      <c r="A43" s="2310"/>
      <c r="B43" s="2311"/>
      <c r="C43" s="2311"/>
      <c r="D43" s="2311"/>
      <c r="E43" s="2311"/>
      <c r="F43" s="2312"/>
      <c r="H43" s="1904"/>
      <c r="I43" s="1904"/>
      <c r="J43" s="1904"/>
      <c r="K43" s="1904"/>
    </row>
    <row r="44" spans="1:11" s="1895" customFormat="1" ht="12" hidden="1" customHeight="1" x14ac:dyDescent="0.25">
      <c r="A44" s="2310"/>
      <c r="B44" s="2311"/>
      <c r="C44" s="2311"/>
      <c r="D44" s="2311"/>
      <c r="E44" s="2311"/>
      <c r="F44" s="231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R24" sqref="R2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Fox Lake GSD 114</v>
      </c>
      <c r="J6" s="2338"/>
      <c r="Q6" s="1686"/>
    </row>
    <row r="7" spans="1:17" x14ac:dyDescent="0.2">
      <c r="A7" s="2339" t="s">
        <v>924</v>
      </c>
      <c r="B7" s="2340"/>
      <c r="C7" s="2340"/>
      <c r="D7" s="2340"/>
      <c r="E7" s="2341"/>
      <c r="F7" s="1018"/>
      <c r="G7" s="1010"/>
      <c r="H7" s="1017" t="s">
        <v>390</v>
      </c>
      <c r="I7" s="2342">
        <f>COVER!A13</f>
        <v>34049114002</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175633</v>
      </c>
      <c r="F12" s="1040"/>
      <c r="G12" s="1834">
        <f t="shared" ref="G12:G18" si="0">SUM(E12:F12)</f>
        <v>175633</v>
      </c>
      <c r="H12" s="1041">
        <v>290616</v>
      </c>
      <c r="I12" s="1040"/>
      <c r="J12" s="1834">
        <f t="shared" ref="J12:J18" si="1">SUM(H12:I12)</f>
        <v>290616</v>
      </c>
    </row>
    <row r="13" spans="1:17" ht="15" customHeight="1" x14ac:dyDescent="0.2">
      <c r="A13" s="1036">
        <v>2</v>
      </c>
      <c r="B13" s="1037" t="s">
        <v>44</v>
      </c>
      <c r="C13" s="1038"/>
      <c r="D13" s="1039">
        <v>2330</v>
      </c>
      <c r="E13" s="1834">
        <f>'Expenditures 15-22'!K51</f>
        <v>56</v>
      </c>
      <c r="F13" s="1040"/>
      <c r="G13" s="1834">
        <f t="shared" si="0"/>
        <v>56</v>
      </c>
      <c r="H13" s="1041">
        <v>80863</v>
      </c>
      <c r="I13" s="1040"/>
      <c r="J13" s="1834">
        <f t="shared" si="1"/>
        <v>80863</v>
      </c>
    </row>
    <row r="14" spans="1:17" ht="15" customHeight="1" x14ac:dyDescent="0.2">
      <c r="A14" s="1036">
        <v>3</v>
      </c>
      <c r="B14" s="1037" t="s">
        <v>45</v>
      </c>
      <c r="C14" s="1038"/>
      <c r="D14" s="1042">
        <v>2490</v>
      </c>
      <c r="E14" s="1834">
        <f>'Expenditures 15-22'!K56</f>
        <v>54559</v>
      </c>
      <c r="F14" s="1040"/>
      <c r="G14" s="1834">
        <f t="shared" si="0"/>
        <v>54559</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230248</v>
      </c>
      <c r="F19" s="1836">
        <f t="shared" si="2"/>
        <v>0</v>
      </c>
      <c r="G19" s="1836">
        <f t="shared" si="2"/>
        <v>230248</v>
      </c>
      <c r="H19" s="1836">
        <f t="shared" si="2"/>
        <v>371479</v>
      </c>
      <c r="I19" s="1836">
        <f t="shared" si="2"/>
        <v>0</v>
      </c>
      <c r="J19" s="1836">
        <f t="shared" si="2"/>
        <v>371479</v>
      </c>
    </row>
    <row r="20" spans="1:10" ht="13.5" thickTop="1" x14ac:dyDescent="0.2">
      <c r="A20" s="1036">
        <v>9</v>
      </c>
      <c r="B20" s="2349" t="s">
        <v>1703</v>
      </c>
      <c r="C20" s="2349"/>
      <c r="D20" s="2350"/>
      <c r="E20" s="1047"/>
      <c r="F20" s="1047"/>
      <c r="G20" s="1047"/>
      <c r="H20" s="1047"/>
      <c r="I20" s="1047"/>
      <c r="J20" s="1837">
        <f>IF(AND(G19&gt;0,J19&gt;0),(((J19-G19)/G19)),"Enter Budget Data")</f>
        <v>0.61338643549563954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1943</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Fox Lake GSD 114</v>
      </c>
    </row>
    <row r="65" spans="2:2" x14ac:dyDescent="0.2">
      <c r="B65" s="1071">
        <f>COVER!A13</f>
        <v>34049114002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18" sqref="E1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4</xdr:row>
                <xdr:rowOff>0</xdr:rowOff>
              </from>
              <to>
                <xdr:col>3</xdr:col>
                <xdr:colOff>304800</xdr:colOff>
                <xdr:row>8</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5</xdr:col>
                <xdr:colOff>0</xdr:colOff>
                <xdr:row>6</xdr:row>
                <xdr:rowOff>0</xdr:rowOff>
              </from>
              <to>
                <xdr:col>6</xdr:col>
                <xdr:colOff>304800</xdr:colOff>
                <xdr:row>10</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15" sqref="I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2054</v>
      </c>
      <c r="B4" s="2377"/>
      <c r="C4" s="2377"/>
      <c r="D4" s="2377"/>
      <c r="E4" s="2377"/>
      <c r="F4" s="2378"/>
      <c r="G4" s="1075"/>
      <c r="H4" s="1075"/>
    </row>
    <row r="5" spans="1:8" ht="14.25" customHeight="1" x14ac:dyDescent="0.2">
      <c r="A5" s="2379" t="s">
        <v>2055</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7636797</v>
      </c>
      <c r="C8" s="1838">
        <f>'Acct Summary 7-8'!D8</f>
        <v>1013749</v>
      </c>
      <c r="D8" s="1838">
        <f>'Acct Summary 7-8'!F8</f>
        <v>641819</v>
      </c>
      <c r="E8" s="1838">
        <f>'Acct Summary 7-8'!I8</f>
        <v>116881</v>
      </c>
      <c r="F8" s="1838">
        <f>SUM(B8:E8)</f>
        <v>9409246</v>
      </c>
    </row>
    <row r="9" spans="1:8" s="1080" customFormat="1" ht="14.25" customHeight="1" thickBot="1" x14ac:dyDescent="0.25">
      <c r="A9" s="1079" t="s">
        <v>1436</v>
      </c>
      <c r="B9" s="1839">
        <f>'Acct Summary 7-8'!C17</f>
        <v>8918304</v>
      </c>
      <c r="C9" s="1839">
        <f>'Acct Summary 7-8'!D17</f>
        <v>863786</v>
      </c>
      <c r="D9" s="1839">
        <f>'Acct Summary 7-8'!F17</f>
        <v>640821</v>
      </c>
      <c r="E9" s="1838"/>
      <c r="F9" s="1838">
        <f>SUM(B9:E9)</f>
        <v>10422911</v>
      </c>
    </row>
    <row r="10" spans="1:8" s="1080" customFormat="1" ht="14.25" thickTop="1" thickBot="1" x14ac:dyDescent="0.25">
      <c r="A10" s="1081" t="s">
        <v>1437</v>
      </c>
      <c r="B10" s="1840">
        <f>(B8-B9)</f>
        <v>-1281507</v>
      </c>
      <c r="C10" s="1840">
        <f>(C8-C9)</f>
        <v>149963</v>
      </c>
      <c r="D10" s="1840">
        <f>(D8-D9)</f>
        <v>998</v>
      </c>
      <c r="E10" s="1839">
        <f>(E8-E9)</f>
        <v>116881</v>
      </c>
      <c r="F10" s="1841">
        <f>SUM(F8-F9)</f>
        <v>-1013665</v>
      </c>
    </row>
    <row r="11" spans="1:8" s="1080" customFormat="1" ht="14.25" thickTop="1" thickBot="1" x14ac:dyDescent="0.25">
      <c r="A11" s="1082" t="s">
        <v>1785</v>
      </c>
      <c r="B11" s="1842">
        <f>'Acct Summary 7-8'!C81</f>
        <v>-2666508</v>
      </c>
      <c r="C11" s="1842">
        <f>'Acct Summary 7-8'!D81</f>
        <v>253991</v>
      </c>
      <c r="D11" s="1842">
        <f>'Acct Summary 7-8'!F81</f>
        <v>94580</v>
      </c>
      <c r="E11" s="1842">
        <f>'Acct Summary 7-8'!I81</f>
        <v>4038595</v>
      </c>
      <c r="F11" s="1843">
        <f>SUM(B11:E11)</f>
        <v>1720658</v>
      </c>
    </row>
    <row r="12" spans="1:8" ht="16.5" customHeight="1" thickTop="1" x14ac:dyDescent="0.2">
      <c r="A12" s="1083"/>
      <c r="B12" s="1084"/>
      <c r="C12" s="2361"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34049114002</v>
      </c>
    </row>
    <row r="3" spans="1:2" x14ac:dyDescent="0.2">
      <c r="A3" t="s">
        <v>1013</v>
      </c>
      <c r="B3" s="138" t="str">
        <f>COVER!A15</f>
        <v>Lake</v>
      </c>
    </row>
    <row r="4" spans="1:2" x14ac:dyDescent="0.2">
      <c r="A4" t="s">
        <v>1064</v>
      </c>
      <c r="B4" s="138" t="str">
        <f>COVER!A17</f>
        <v>Fox Lake GSD 114</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Illinois</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130504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2666508</v>
      </c>
      <c r="C91" s="2" t="s">
        <v>594</v>
      </c>
      <c r="D91" s="2" t="str">
        <f t="shared" si="0"/>
        <v>Error?</v>
      </c>
    </row>
    <row r="92" spans="1:4" x14ac:dyDescent="0.2">
      <c r="A92" s="5">
        <v>31</v>
      </c>
      <c r="B92" s="138">
        <f>'Assets-Liab 5-6'!C39</f>
        <v>-2666508</v>
      </c>
      <c r="D92" s="2" t="str">
        <f t="shared" si="0"/>
        <v>Error?</v>
      </c>
    </row>
    <row r="93" spans="1:4" x14ac:dyDescent="0.2">
      <c r="A93" s="5">
        <v>32</v>
      </c>
      <c r="B93" s="138">
        <f>'Assets-Liab 5-6'!C41</f>
        <v>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253991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253991</v>
      </c>
      <c r="D123" s="2" t="str">
        <f t="shared" si="0"/>
        <v>Error?</v>
      </c>
    </row>
    <row r="124" spans="1:4" x14ac:dyDescent="0.2">
      <c r="A124" s="5">
        <v>63</v>
      </c>
      <c r="B124" s="138">
        <f>'Assets-Liab 5-6'!D41</f>
        <v>253991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788183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788183</v>
      </c>
      <c r="D140" s="2" t="str">
        <f t="shared" si="1"/>
        <v>Error?</v>
      </c>
    </row>
    <row r="141" spans="1:4" x14ac:dyDescent="0.2">
      <c r="A141" s="5">
        <v>80</v>
      </c>
      <c r="B141" s="138">
        <f>'Assets-Liab 5-6'!E41</f>
        <v>788183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94580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94580</v>
      </c>
      <c r="D170" s="2" t="str">
        <f t="shared" si="1"/>
        <v>Error?</v>
      </c>
    </row>
    <row r="171" spans="1:4" x14ac:dyDescent="0.2">
      <c r="A171" s="5">
        <v>110</v>
      </c>
      <c r="B171" s="138">
        <f>'Assets-Liab 5-6'!F41</f>
        <v>94580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17177</v>
      </c>
      <c r="C188" s="2" t="s">
        <v>594</v>
      </c>
      <c r="D188" s="2" t="str">
        <f t="shared" si="1"/>
        <v>Error?</v>
      </c>
    </row>
    <row r="189" spans="1:4" x14ac:dyDescent="0.2">
      <c r="A189" s="5">
        <v>128</v>
      </c>
      <c r="B189" s="138">
        <f>'Assets-Liab 5-6'!G39</f>
        <v>-17177</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57292</v>
      </c>
      <c r="D273" s="2" t="str">
        <f t="shared" si="3"/>
        <v>Error?</v>
      </c>
    </row>
    <row r="274" spans="1:4" x14ac:dyDescent="0.2">
      <c r="A274" s="5">
        <v>213</v>
      </c>
      <c r="B274" s="138">
        <f>'Assets-Liab 5-6'!M17</f>
        <v>17379329</v>
      </c>
      <c r="D274" s="2" t="str">
        <f t="shared" si="3"/>
        <v>Error?</v>
      </c>
    </row>
    <row r="275" spans="1:4" x14ac:dyDescent="0.2">
      <c r="A275" s="5">
        <v>214</v>
      </c>
      <c r="B275" s="138">
        <f>'Assets-Liab 5-6'!M18</f>
        <v>398913</v>
      </c>
      <c r="D275" s="2" t="str">
        <f t="shared" si="3"/>
        <v>Error?</v>
      </c>
    </row>
    <row r="276" spans="1:4" x14ac:dyDescent="0.2">
      <c r="A276" s="5">
        <v>215</v>
      </c>
      <c r="B276" s="138">
        <f>'Assets-Liab 5-6'!M19</f>
        <v>2961644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20797178</v>
      </c>
      <c r="C279" s="2" t="s">
        <v>594</v>
      </c>
      <c r="D279" s="2" t="str">
        <f t="shared" si="3"/>
        <v>Error?</v>
      </c>
    </row>
    <row r="280" spans="1:4" x14ac:dyDescent="0.2">
      <c r="A280" s="5">
        <v>219</v>
      </c>
      <c r="B280" s="138">
        <f>'Assets-Liab 5-6'!M40</f>
        <v>20797178</v>
      </c>
      <c r="D280" s="2" t="str">
        <f t="shared" si="3"/>
        <v>Error?</v>
      </c>
    </row>
    <row r="281" spans="1:4" x14ac:dyDescent="0.2">
      <c r="A281" s="5">
        <v>220</v>
      </c>
      <c r="B281" s="138">
        <f>'Assets-Liab 5-6'!M41</f>
        <v>20797178</v>
      </c>
      <c r="C281" s="2" t="s">
        <v>594</v>
      </c>
      <c r="D281" s="2" t="str">
        <f t="shared" si="3"/>
        <v>Error?</v>
      </c>
    </row>
    <row r="282" spans="1:4" x14ac:dyDescent="0.2">
      <c r="A282" s="5">
        <v>221</v>
      </c>
      <c r="B282" s="138">
        <f>'Assets-Liab 5-6'!N21</f>
        <v>788183</v>
      </c>
      <c r="D282" s="2" t="str">
        <f t="shared" si="3"/>
        <v>Error?</v>
      </c>
    </row>
    <row r="283" spans="1:4" x14ac:dyDescent="0.2">
      <c r="A283" s="5">
        <v>222</v>
      </c>
      <c r="B283" s="138">
        <f>'Assets-Liab 5-6'!N22</f>
        <v>3706604</v>
      </c>
      <c r="D283" s="2" t="str">
        <f t="shared" si="3"/>
        <v>Error?</v>
      </c>
    </row>
    <row r="284" spans="1:4" x14ac:dyDescent="0.2">
      <c r="A284" s="5">
        <v>223</v>
      </c>
      <c r="B284" s="138">
        <f>'Assets-Liab 5-6'!N23</f>
        <v>4494787</v>
      </c>
      <c r="C284" s="2" t="s">
        <v>594</v>
      </c>
      <c r="D284" s="2" t="str">
        <f t="shared" si="3"/>
        <v>Error?</v>
      </c>
    </row>
    <row r="285" spans="1:4" x14ac:dyDescent="0.2">
      <c r="A285" s="5">
        <v>224</v>
      </c>
      <c r="B285" s="138">
        <f>'Assets-Liab 5-6'!N36</f>
        <v>4494787</v>
      </c>
      <c r="D285" s="2" t="str">
        <f t="shared" si="3"/>
        <v>Error?</v>
      </c>
    </row>
    <row r="286" spans="1:4" x14ac:dyDescent="0.2">
      <c r="A286" s="10">
        <v>225</v>
      </c>
      <c r="D286" s="2" t="str">
        <f t="shared" si="3"/>
        <v>OK</v>
      </c>
    </row>
    <row r="287" spans="1:4" x14ac:dyDescent="0.2">
      <c r="A287" s="5">
        <v>226</v>
      </c>
      <c r="B287" s="138">
        <f>'Assets-Liab 5-6'!N37</f>
        <v>4494787</v>
      </c>
      <c r="C287" s="2" t="s">
        <v>594</v>
      </c>
      <c r="D287" s="2" t="str">
        <f t="shared" si="3"/>
        <v>Error?</v>
      </c>
    </row>
    <row r="288" spans="1:4" x14ac:dyDescent="0.2">
      <c r="A288" s="5">
        <v>227</v>
      </c>
      <c r="B288" s="138">
        <f>'Assets-Liab 5-6'!N41</f>
        <v>4494787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4250000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2815445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76386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148070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4335237</v>
      </c>
      <c r="C720" s="2" t="s">
        <v>594</v>
      </c>
      <c r="D720" s="2" t="str">
        <f t="shared" si="10"/>
        <v>Error?</v>
      </c>
    </row>
    <row r="721" spans="1:4" x14ac:dyDescent="0.2">
      <c r="A721" s="5">
        <v>660</v>
      </c>
      <c r="B721" s="138">
        <f>'Expenditures 15-22'!C36</f>
        <v>230476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54035</v>
      </c>
      <c r="D723" s="2" t="str">
        <f t="shared" si="10"/>
        <v>Error?</v>
      </c>
    </row>
    <row r="724" spans="1:4" x14ac:dyDescent="0.2">
      <c r="A724" s="5">
        <v>663</v>
      </c>
      <c r="B724" s="138">
        <f>'Expenditures 15-22'!C39</f>
        <v>85050</v>
      </c>
      <c r="D724" s="2" t="str">
        <f t="shared" si="10"/>
        <v>Error?</v>
      </c>
    </row>
    <row r="725" spans="1:4" x14ac:dyDescent="0.2">
      <c r="A725" s="5">
        <v>664</v>
      </c>
      <c r="B725" s="138">
        <f>'Expenditures 15-22'!C40</f>
        <v>227647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597208</v>
      </c>
      <c r="C727" s="2" t="s">
        <v>594</v>
      </c>
      <c r="D727" s="2" t="str">
        <f t="shared" si="10"/>
        <v>Error?</v>
      </c>
    </row>
    <row r="728" spans="1:4" x14ac:dyDescent="0.2">
      <c r="A728" s="5">
        <v>667</v>
      </c>
      <c r="B728" s="138">
        <f>'Expenditures 15-22'!C44</f>
        <v>637</v>
      </c>
      <c r="D728" s="2" t="str">
        <f t="shared" si="10"/>
        <v>Error?</v>
      </c>
    </row>
    <row r="729" spans="1:4" x14ac:dyDescent="0.2">
      <c r="A729" s="5">
        <v>668</v>
      </c>
      <c r="B729" s="138">
        <f>'Expenditures 15-22'!C45</f>
        <v>133574</v>
      </c>
      <c r="D729" s="2" t="str">
        <f t="shared" si="10"/>
        <v>Error?</v>
      </c>
    </row>
    <row r="730" spans="1:4" x14ac:dyDescent="0.2">
      <c r="A730" s="5">
        <v>669</v>
      </c>
      <c r="B730" s="138">
        <f>'Expenditures 15-22'!C46</f>
        <v>15992</v>
      </c>
      <c r="D730" s="2" t="str">
        <f t="shared" si="10"/>
        <v>Error?</v>
      </c>
    </row>
    <row r="731" spans="1:4" x14ac:dyDescent="0.2">
      <c r="A731" s="5">
        <v>670</v>
      </c>
      <c r="B731" s="138">
        <f>'Expenditures 15-22'!C47</f>
        <v>150203</v>
      </c>
      <c r="C731" s="2" t="s">
        <v>594</v>
      </c>
      <c r="D731" s="2" t="str">
        <f t="shared" si="10"/>
        <v>Error?</v>
      </c>
    </row>
    <row r="732" spans="1:4" x14ac:dyDescent="0.2">
      <c r="A732" s="5">
        <v>671</v>
      </c>
      <c r="B732" s="138">
        <f>'Expenditures 15-22'!C49</f>
        <v>4607</v>
      </c>
      <c r="D732" s="2" t="str">
        <f t="shared" si="10"/>
        <v>Error?</v>
      </c>
    </row>
    <row r="733" spans="1:4" x14ac:dyDescent="0.2">
      <c r="A733" s="5">
        <v>672</v>
      </c>
      <c r="B733" s="138">
        <f>'Expenditures 15-22'!C50</f>
        <v>134167</v>
      </c>
      <c r="D733" s="2" t="str">
        <f t="shared" si="10"/>
        <v>Error?</v>
      </c>
    </row>
    <row r="734" spans="1:4" x14ac:dyDescent="0.2">
      <c r="A734" s="5">
        <v>673</v>
      </c>
      <c r="B734" s="138">
        <f>'Expenditures 15-22'!C53</f>
        <v>138820</v>
      </c>
      <c r="C734" s="2" t="s">
        <v>594</v>
      </c>
      <c r="D734" s="2" t="str">
        <f t="shared" si="10"/>
        <v>Error?</v>
      </c>
    </row>
    <row r="735" spans="1:4" x14ac:dyDescent="0.2">
      <c r="A735" s="5">
        <v>674</v>
      </c>
      <c r="B735" s="138">
        <f>'Expenditures 15-22'!C55</f>
        <v>489122</v>
      </c>
      <c r="D735" s="2" t="str">
        <f t="shared" si="10"/>
        <v>Error?</v>
      </c>
    </row>
    <row r="736" spans="1:4" x14ac:dyDescent="0.2">
      <c r="A736" s="5">
        <v>675</v>
      </c>
      <c r="B736" s="138">
        <f>'Expenditures 15-22'!C56</f>
        <v>50017</v>
      </c>
      <c r="D736" s="2" t="str">
        <f t="shared" si="10"/>
        <v>Error?</v>
      </c>
    </row>
    <row r="737" spans="1:4" x14ac:dyDescent="0.2">
      <c r="A737" s="5">
        <v>676</v>
      </c>
      <c r="B737" s="138">
        <f>'Expenditures 15-22'!C57</f>
        <v>539139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68727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182682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251409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124532</v>
      </c>
      <c r="D751" s="2" t="str">
        <f t="shared" si="10"/>
        <v>Error?</v>
      </c>
    </row>
    <row r="752" spans="1:4" x14ac:dyDescent="0.2">
      <c r="A752" s="10">
        <v>691</v>
      </c>
      <c r="D752" s="2" t="str">
        <f t="shared" si="10"/>
        <v>OK</v>
      </c>
    </row>
    <row r="753" spans="1:4" x14ac:dyDescent="0.2">
      <c r="A753" s="5">
        <v>692</v>
      </c>
      <c r="B753" s="138">
        <f>'Expenditures 15-22'!C72</f>
        <v>124532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1801311</v>
      </c>
      <c r="C755" s="2" t="s">
        <v>594</v>
      </c>
      <c r="D755" s="2" t="str">
        <f t="shared" si="10"/>
        <v>Error?</v>
      </c>
    </row>
    <row r="756" spans="1:4" x14ac:dyDescent="0.2">
      <c r="A756" s="5">
        <v>695</v>
      </c>
      <c r="B756" s="138">
        <f>'Expenditures 15-22'!C75</f>
        <v>4181</v>
      </c>
      <c r="D756" s="2" t="str">
        <f t="shared" si="10"/>
        <v>Error?</v>
      </c>
    </row>
    <row r="757" spans="1:4" x14ac:dyDescent="0.2">
      <c r="A757" s="5">
        <v>696</v>
      </c>
      <c r="B757" s="138">
        <f>'Expenditures 15-22'!C114</f>
        <v>6140729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388386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12921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1109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573898</v>
      </c>
      <c r="C778" s="2" t="s">
        <v>594</v>
      </c>
      <c r="D778" s="2" t="str">
        <f t="shared" si="11"/>
        <v>Error?</v>
      </c>
    </row>
    <row r="779" spans="1:4" x14ac:dyDescent="0.2">
      <c r="A779" s="5">
        <v>718</v>
      </c>
      <c r="B779" s="138">
        <f>'Expenditures 15-22'!D36</f>
        <v>8788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1199</v>
      </c>
      <c r="D781" s="2" t="str">
        <f t="shared" si="11"/>
        <v>Error?</v>
      </c>
    </row>
    <row r="782" spans="1:4" x14ac:dyDescent="0.2">
      <c r="A782" s="5">
        <v>721</v>
      </c>
      <c r="B782" s="138">
        <f>'Expenditures 15-22'!D39</f>
        <v>6853</v>
      </c>
      <c r="D782" s="2" t="str">
        <f t="shared" si="11"/>
        <v>Error?</v>
      </c>
    </row>
    <row r="783" spans="1:4" x14ac:dyDescent="0.2">
      <c r="A783" s="5">
        <v>722</v>
      </c>
      <c r="B783" s="138">
        <f>'Expenditures 15-22'!D40</f>
        <v>16900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33740</v>
      </c>
      <c r="C785" s="2" t="s">
        <v>594</v>
      </c>
      <c r="D785" s="2" t="str">
        <f t="shared" si="11"/>
        <v>Error?</v>
      </c>
    </row>
    <row r="786" spans="1:4" x14ac:dyDescent="0.2">
      <c r="A786" s="5">
        <v>725</v>
      </c>
      <c r="B786" s="138">
        <f>'Expenditures 15-22'!D44</f>
        <v>6</v>
      </c>
      <c r="D786" s="2" t="str">
        <f t="shared" si="11"/>
        <v>Error?</v>
      </c>
    </row>
    <row r="787" spans="1:4" x14ac:dyDescent="0.2">
      <c r="A787" s="5">
        <v>726</v>
      </c>
      <c r="B787" s="138">
        <f>'Expenditures 15-22'!D45</f>
        <v>9697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9703</v>
      </c>
      <c r="C789" s="2" t="s">
        <v>594</v>
      </c>
      <c r="D789" s="2" t="str">
        <f t="shared" si="11"/>
        <v>Error?</v>
      </c>
    </row>
    <row r="790" spans="1:4" x14ac:dyDescent="0.2">
      <c r="A790" s="5">
        <v>729</v>
      </c>
      <c r="B790" s="138">
        <f>'Expenditures 15-22'!D49</f>
        <v>31578</v>
      </c>
      <c r="D790" s="2" t="str">
        <f t="shared" si="11"/>
        <v>Error?</v>
      </c>
    </row>
    <row r="791" spans="1:4" x14ac:dyDescent="0.2">
      <c r="A791" s="5">
        <v>730</v>
      </c>
      <c r="B791" s="138">
        <f>'Expenditures 15-22'!D50</f>
        <v>28200</v>
      </c>
      <c r="D791" s="2" t="str">
        <f t="shared" si="11"/>
        <v>Error?</v>
      </c>
    </row>
    <row r="792" spans="1:4" x14ac:dyDescent="0.2">
      <c r="A792" s="5">
        <v>731</v>
      </c>
      <c r="B792" s="138">
        <f>'Expenditures 15-22'!D53</f>
        <v>59788</v>
      </c>
      <c r="C792" s="2" t="s">
        <v>594</v>
      </c>
      <c r="D792" s="2" t="str">
        <f t="shared" si="11"/>
        <v>Error?</v>
      </c>
    </row>
    <row r="793" spans="1:4" x14ac:dyDescent="0.2">
      <c r="A793" s="5">
        <v>732</v>
      </c>
      <c r="B793" s="138">
        <f>'Expenditures 15-22'!D55</f>
        <v>105591</v>
      </c>
      <c r="D793" s="2" t="str">
        <f t="shared" si="11"/>
        <v>Error?</v>
      </c>
    </row>
    <row r="794" spans="1:4" x14ac:dyDescent="0.2">
      <c r="A794" s="5">
        <v>733</v>
      </c>
      <c r="B794" s="138">
        <f>'Expenditures 15-22'!D56</f>
        <v>4542</v>
      </c>
      <c r="D794" s="2" t="str">
        <f t="shared" si="11"/>
        <v>Error?</v>
      </c>
    </row>
    <row r="795" spans="1:4" x14ac:dyDescent="0.2">
      <c r="A795" s="5">
        <v>734</v>
      </c>
      <c r="B795" s="138">
        <f>'Expenditures 15-22'!D57</f>
        <v>110133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4863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19189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24052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14616</v>
      </c>
      <c r="D809" s="2" t="str">
        <f t="shared" si="11"/>
        <v>Error?</v>
      </c>
    </row>
    <row r="810" spans="1:4" x14ac:dyDescent="0.2">
      <c r="A810" s="10">
        <v>749</v>
      </c>
      <c r="D810" s="2" t="str">
        <f t="shared" si="11"/>
        <v>OK</v>
      </c>
    </row>
    <row r="811" spans="1:4" x14ac:dyDescent="0.2">
      <c r="A811" s="5">
        <v>750</v>
      </c>
      <c r="B811" s="138">
        <f>'Expenditures 15-22'!D72</f>
        <v>14616</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252032</v>
      </c>
      <c r="C813" s="2" t="s">
        <v>594</v>
      </c>
      <c r="D813" s="2" t="str">
        <f t="shared" si="11"/>
        <v>Error?</v>
      </c>
    </row>
    <row r="814" spans="1:4" x14ac:dyDescent="0.2">
      <c r="A814" s="5">
        <v>753</v>
      </c>
      <c r="B814" s="138">
        <f>'Expenditures 15-22'!D75</f>
        <v>28</v>
      </c>
      <c r="D814" s="2" t="str">
        <f t="shared" si="11"/>
        <v>Error?</v>
      </c>
    </row>
    <row r="815" spans="1:4" x14ac:dyDescent="0.2">
      <c r="A815" s="5">
        <v>754</v>
      </c>
      <c r="B815" s="138">
        <f>'Expenditures 15-22'!D114</f>
        <v>825958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192334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4995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198760</v>
      </c>
      <c r="C836" s="2" t="s">
        <v>594</v>
      </c>
      <c r="D836" s="2" t="str">
        <f t="shared" si="12"/>
        <v>Error?</v>
      </c>
    </row>
    <row r="837" spans="1:4" x14ac:dyDescent="0.2">
      <c r="A837" s="5">
        <v>776</v>
      </c>
      <c r="B837" s="138">
        <f>'Expenditures 15-22'!E36</f>
        <v>17160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102271</v>
      </c>
      <c r="D839" s="2" t="str">
        <f t="shared" si="12"/>
        <v>Error?</v>
      </c>
    </row>
    <row r="840" spans="1:4" x14ac:dyDescent="0.2">
      <c r="A840" s="5">
        <v>779</v>
      </c>
      <c r="B840" s="138">
        <f>'Expenditures 15-22'!E39</f>
        <v>528</v>
      </c>
      <c r="D840" s="2" t="str">
        <f t="shared" si="12"/>
        <v>Error?</v>
      </c>
    </row>
    <row r="841" spans="1:4" x14ac:dyDescent="0.2">
      <c r="A841" s="5">
        <v>780</v>
      </c>
      <c r="B841" s="138">
        <f>'Expenditures 15-22'!E40</f>
        <v>47518</v>
      </c>
      <c r="D841" s="2" t="str">
        <f t="shared" si="12"/>
        <v>Error?</v>
      </c>
    </row>
    <row r="842" spans="1:4" x14ac:dyDescent="0.2">
      <c r="A842" s="5">
        <v>781</v>
      </c>
      <c r="B842" s="138">
        <f>'Expenditures 15-22'!E41</f>
        <v>4999</v>
      </c>
      <c r="D842" s="2" t="str">
        <f t="shared" si="12"/>
        <v>Error?</v>
      </c>
    </row>
    <row r="843" spans="1:4" x14ac:dyDescent="0.2">
      <c r="A843" s="5">
        <v>782</v>
      </c>
      <c r="B843" s="138">
        <f>'Expenditures 15-22'!E42</f>
        <v>172476</v>
      </c>
      <c r="C843" s="2" t="s">
        <v>594</v>
      </c>
      <c r="D843" s="2" t="str">
        <f t="shared" si="12"/>
        <v>Error?</v>
      </c>
    </row>
    <row r="844" spans="1:4" x14ac:dyDescent="0.2">
      <c r="A844" s="5">
        <v>783</v>
      </c>
      <c r="B844" s="138">
        <f>'Expenditures 15-22'!E44</f>
        <v>26626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26626</v>
      </c>
      <c r="C847" s="2" t="s">
        <v>594</v>
      </c>
      <c r="D847" s="2" t="str">
        <f t="shared" si="12"/>
        <v>Error?</v>
      </c>
    </row>
    <row r="848" spans="1:4" x14ac:dyDescent="0.2">
      <c r="A848" s="5">
        <v>787</v>
      </c>
      <c r="B848" s="138">
        <f>'Expenditures 15-22'!E49</f>
        <v>165600</v>
      </c>
      <c r="D848" s="2" t="str">
        <f t="shared" si="12"/>
        <v>Error?</v>
      </c>
    </row>
    <row r="849" spans="1:4" x14ac:dyDescent="0.2">
      <c r="A849" s="5">
        <v>788</v>
      </c>
      <c r="B849" s="138">
        <f>'Expenditures 15-22'!E50</f>
        <v>4921</v>
      </c>
      <c r="D849" s="2" t="str">
        <f t="shared" si="12"/>
        <v>Error?</v>
      </c>
    </row>
    <row r="850" spans="1:4" x14ac:dyDescent="0.2">
      <c r="A850" s="5">
        <v>789</v>
      </c>
      <c r="B850" s="138">
        <f>'Expenditures 15-22'!E53</f>
        <v>170521</v>
      </c>
      <c r="C850" s="2" t="s">
        <v>594</v>
      </c>
      <c r="D850" s="2" t="str">
        <f t="shared" si="12"/>
        <v>Error?</v>
      </c>
    </row>
    <row r="851" spans="1:4" x14ac:dyDescent="0.2">
      <c r="A851" s="5">
        <v>790</v>
      </c>
      <c r="B851" s="138">
        <f>'Expenditures 15-22'!E55</f>
        <v>4256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4256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140381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143381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11803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11803</v>
      </c>
      <c r="C869" s="2" t="s">
        <v>594</v>
      </c>
      <c r="D869" s="2" t="str">
        <f t="shared" si="12"/>
        <v>Error?</v>
      </c>
    </row>
    <row r="870" spans="1:4" x14ac:dyDescent="0.2">
      <c r="A870" s="5">
        <v>809</v>
      </c>
      <c r="B870" s="138">
        <f>'Expenditures 15-22'!E73</f>
        <v>4960</v>
      </c>
      <c r="D870" s="2" t="str">
        <f t="shared" si="12"/>
        <v>Error?</v>
      </c>
    </row>
    <row r="871" spans="1:4" x14ac:dyDescent="0.2">
      <c r="A871" s="5">
        <v>810</v>
      </c>
      <c r="B871" s="138">
        <f>'Expenditures 15-22'!E74</f>
        <v>534023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738678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221308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908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238893</v>
      </c>
      <c r="C894" s="2" t="s">
        <v>594</v>
      </c>
      <c r="D894" s="2" t="str">
        <f t="shared" si="12"/>
        <v>Error?</v>
      </c>
    </row>
    <row r="895" spans="1:4" x14ac:dyDescent="0.2">
      <c r="A895" s="5">
        <v>834</v>
      </c>
      <c r="B895" s="138">
        <f>'Expenditures 15-22'!F36</f>
        <v>52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974</v>
      </c>
      <c r="D897" s="2" t="str">
        <f t="shared" si="13"/>
        <v>Error?</v>
      </c>
    </row>
    <row r="898" spans="1:4" x14ac:dyDescent="0.2">
      <c r="A898" s="5">
        <v>837</v>
      </c>
      <c r="B898" s="138">
        <f>'Expenditures 15-22'!F39</f>
        <v>573</v>
      </c>
      <c r="D898" s="2" t="str">
        <f t="shared" si="13"/>
        <v>Error?</v>
      </c>
    </row>
    <row r="899" spans="1:4" x14ac:dyDescent="0.2">
      <c r="A899" s="5">
        <v>838</v>
      </c>
      <c r="B899" s="138">
        <f>'Expenditures 15-22'!F40</f>
        <v>1015</v>
      </c>
      <c r="D899" s="2" t="str">
        <f t="shared" si="13"/>
        <v>Error?</v>
      </c>
    </row>
    <row r="900" spans="1:4" x14ac:dyDescent="0.2">
      <c r="A900" s="5">
        <v>839</v>
      </c>
      <c r="B900" s="138">
        <f>'Expenditures 15-22'!F41</f>
        <v>7095</v>
      </c>
      <c r="D900" s="2" t="str">
        <f t="shared" si="13"/>
        <v>Error?</v>
      </c>
    </row>
    <row r="901" spans="1:4" x14ac:dyDescent="0.2">
      <c r="A901" s="5">
        <v>840</v>
      </c>
      <c r="B901" s="138">
        <f>'Expenditures 15-22'!F42</f>
        <v>9709</v>
      </c>
      <c r="C901" s="2" t="s">
        <v>594</v>
      </c>
      <c r="D901" s="2" t="str">
        <f t="shared" si="13"/>
        <v>Error?</v>
      </c>
    </row>
    <row r="902" spans="1:4" x14ac:dyDescent="0.2">
      <c r="A902" s="5">
        <v>841</v>
      </c>
      <c r="B902" s="138">
        <f>'Expenditures 15-22'!F44</f>
        <v>2208</v>
      </c>
      <c r="D902" s="2" t="str">
        <f t="shared" si="13"/>
        <v>Error?</v>
      </c>
    </row>
    <row r="903" spans="1:4" x14ac:dyDescent="0.2">
      <c r="A903" s="5">
        <v>842</v>
      </c>
      <c r="B903" s="138">
        <f>'Expenditures 15-22'!F45</f>
        <v>10862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13070</v>
      </c>
      <c r="C905" s="2" t="s">
        <v>594</v>
      </c>
      <c r="D905" s="2" t="str">
        <f t="shared" si="13"/>
        <v>Error?</v>
      </c>
    </row>
    <row r="906" spans="1:4" x14ac:dyDescent="0.2">
      <c r="A906" s="5">
        <v>845</v>
      </c>
      <c r="B906" s="138">
        <f>'Expenditures 15-22'!F49</f>
        <v>2437</v>
      </c>
      <c r="D906" s="2" t="str">
        <f t="shared" si="13"/>
        <v>Error?</v>
      </c>
    </row>
    <row r="907" spans="1:4" x14ac:dyDescent="0.2">
      <c r="A907" s="5">
        <v>846</v>
      </c>
      <c r="B907" s="138">
        <f>'Expenditures 15-22'!F50</f>
        <v>1208</v>
      </c>
      <c r="D907" s="2" t="str">
        <f t="shared" si="13"/>
        <v>Error?</v>
      </c>
    </row>
    <row r="908" spans="1:4" x14ac:dyDescent="0.2">
      <c r="A908" s="5">
        <v>847</v>
      </c>
      <c r="B908" s="138">
        <f>'Expenditures 15-22'!F53</f>
        <v>3645</v>
      </c>
      <c r="C908" s="2" t="s">
        <v>594</v>
      </c>
      <c r="D908" s="2" t="str">
        <f t="shared" si="13"/>
        <v>Error?</v>
      </c>
    </row>
    <row r="909" spans="1:4" x14ac:dyDescent="0.2">
      <c r="A909" s="5">
        <v>848</v>
      </c>
      <c r="B909" s="138">
        <f>'Expenditures 15-22'!F55</f>
        <v>2302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2302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7360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225133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232493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226</v>
      </c>
      <c r="D928" s="2" t="str">
        <f t="shared" si="13"/>
        <v>Error?</v>
      </c>
    </row>
    <row r="929" spans="1:4" x14ac:dyDescent="0.2">
      <c r="A929" s="5">
        <v>868</v>
      </c>
      <c r="B929" s="138">
        <f>'Expenditures 15-22'!F74</f>
        <v>261445</v>
      </c>
      <c r="C929" s="2" t="s">
        <v>594</v>
      </c>
      <c r="D929" s="2" t="str">
        <f t="shared" si="13"/>
        <v>Error?</v>
      </c>
    </row>
    <row r="930" spans="1:4" x14ac:dyDescent="0.2">
      <c r="A930" s="5">
        <v>869</v>
      </c>
      <c r="B930" s="138">
        <f>'Expenditures 15-22'!F75</f>
        <v>6900</v>
      </c>
      <c r="D930" s="2" t="str">
        <f t="shared" si="13"/>
        <v>Error?</v>
      </c>
    </row>
    <row r="931" spans="1:4" x14ac:dyDescent="0.2">
      <c r="A931" s="5">
        <v>870</v>
      </c>
      <c r="B931" s="138">
        <f>'Expenditures 15-22'!F114</f>
        <v>507238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17622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17622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3749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3749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3749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21371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3351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2638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5989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4500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4500</v>
      </c>
      <c r="C1021" s="2" t="s">
        <v>594</v>
      </c>
      <c r="D1021" s="2" t="str">
        <f t="shared" si="14"/>
        <v>Error?</v>
      </c>
    </row>
    <row r="1022" spans="1:4" x14ac:dyDescent="0.2">
      <c r="A1022" s="5">
        <v>961</v>
      </c>
      <c r="B1022" s="138">
        <f>'Expenditures 15-22'!H49</f>
        <v>7072</v>
      </c>
      <c r="D1022" s="2" t="str">
        <f t="shared" si="14"/>
        <v>Error?</v>
      </c>
    </row>
    <row r="1023" spans="1:4" x14ac:dyDescent="0.2">
      <c r="A1023" s="5">
        <v>962</v>
      </c>
      <c r="B1023" s="138">
        <f>'Expenditures 15-22'!H50</f>
        <v>7137</v>
      </c>
      <c r="D1023" s="2" t="str">
        <f t="shared" ref="D1023:D1086" si="15">IF(ISBLANK(B1023),"OK",IF(A1023-B1023=0,"OK","Error?"))</f>
        <v>Error?</v>
      </c>
    </row>
    <row r="1024" spans="1:4" x14ac:dyDescent="0.2">
      <c r="A1024" s="5">
        <v>963</v>
      </c>
      <c r="B1024" s="138">
        <f>'Expenditures 15-22'!H53</f>
        <v>14209</v>
      </c>
      <c r="C1024" s="2" t="s">
        <v>594</v>
      </c>
      <c r="D1024" s="2" t="str">
        <f t="shared" si="15"/>
        <v>Error?</v>
      </c>
    </row>
    <row r="1025" spans="1:4" x14ac:dyDescent="0.2">
      <c r="A1025" s="5">
        <v>964</v>
      </c>
      <c r="B1025" s="138">
        <f>'Expenditures 15-22'!H55</f>
        <v>1803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1803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11777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11777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32289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646052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684330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3638446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89307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157720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5370399</v>
      </c>
      <c r="C1108" s="2" t="s">
        <v>594</v>
      </c>
      <c r="D1108" s="2" t="str">
        <f t="shared" si="16"/>
        <v>Error?</v>
      </c>
    </row>
    <row r="1109" spans="1:4" x14ac:dyDescent="0.2">
      <c r="A1109" s="5">
        <v>1048</v>
      </c>
      <c r="B1109" s="138">
        <f>'Expenditures 15-22'!K36</f>
        <v>256476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158479</v>
      </c>
      <c r="C1111" s="2" t="s">
        <v>594</v>
      </c>
      <c r="D1111" s="2" t="str">
        <f t="shared" si="16"/>
        <v>Error?</v>
      </c>
    </row>
    <row r="1112" spans="1:4" x14ac:dyDescent="0.2">
      <c r="A1112" s="5">
        <v>1051</v>
      </c>
      <c r="B1112" s="138">
        <f>'Expenditures 15-22'!K39</f>
        <v>93004</v>
      </c>
      <c r="C1112" s="2" t="s">
        <v>594</v>
      </c>
      <c r="D1112" s="2" t="str">
        <f t="shared" si="16"/>
        <v>Error?</v>
      </c>
    </row>
    <row r="1113" spans="1:4" x14ac:dyDescent="0.2">
      <c r="A1113" s="5">
        <v>1052</v>
      </c>
      <c r="B1113" s="138">
        <f>'Expenditures 15-22'!K40</f>
        <v>293080</v>
      </c>
      <c r="C1113" s="2" t="s">
        <v>594</v>
      </c>
      <c r="D1113" s="2" t="str">
        <f t="shared" si="16"/>
        <v>Error?</v>
      </c>
    </row>
    <row r="1114" spans="1:4" x14ac:dyDescent="0.2">
      <c r="A1114" s="5">
        <v>1053</v>
      </c>
      <c r="B1114" s="138">
        <f>'Expenditures 15-22'!K41</f>
        <v>12094</v>
      </c>
      <c r="C1114" s="2" t="s">
        <v>594</v>
      </c>
      <c r="D1114" s="2" t="str">
        <f t="shared" si="16"/>
        <v>Error?</v>
      </c>
    </row>
    <row r="1115" spans="1:4" x14ac:dyDescent="0.2">
      <c r="A1115" s="5">
        <v>1054</v>
      </c>
      <c r="B1115" s="138">
        <f>'Expenditures 15-22'!K42</f>
        <v>813133</v>
      </c>
      <c r="C1115" s="2" t="s">
        <v>594</v>
      </c>
      <c r="D1115" s="2" t="str">
        <f t="shared" si="16"/>
        <v>Error?</v>
      </c>
    </row>
    <row r="1116" spans="1:4" x14ac:dyDescent="0.2">
      <c r="A1116" s="5">
        <v>1055</v>
      </c>
      <c r="B1116" s="138">
        <f>'Expenditures 15-22'!K44</f>
        <v>33977</v>
      </c>
      <c r="C1116" s="2" t="s">
        <v>594</v>
      </c>
      <c r="D1116" s="2" t="str">
        <f t="shared" si="16"/>
        <v>Error?</v>
      </c>
    </row>
    <row r="1117" spans="1:4" x14ac:dyDescent="0.2">
      <c r="A1117" s="5">
        <v>1056</v>
      </c>
      <c r="B1117" s="138">
        <f>'Expenditures 15-22'!K45</f>
        <v>154133</v>
      </c>
      <c r="C1117" s="2" t="s">
        <v>594</v>
      </c>
      <c r="D1117" s="2" t="str">
        <f t="shared" si="16"/>
        <v>Error?</v>
      </c>
    </row>
    <row r="1118" spans="1:4" x14ac:dyDescent="0.2">
      <c r="A1118" s="5">
        <v>1057</v>
      </c>
      <c r="B1118" s="138">
        <f>'Expenditures 15-22'!K46</f>
        <v>15992</v>
      </c>
      <c r="C1118" s="2" t="s">
        <v>594</v>
      </c>
      <c r="D1118" s="2" t="str">
        <f t="shared" si="16"/>
        <v>Error?</v>
      </c>
    </row>
    <row r="1119" spans="1:4" x14ac:dyDescent="0.2">
      <c r="A1119" s="5">
        <v>1058</v>
      </c>
      <c r="B1119" s="138">
        <f>'Expenditures 15-22'!K47</f>
        <v>204102</v>
      </c>
      <c r="C1119" s="2" t="s">
        <v>594</v>
      </c>
      <c r="D1119" s="2" t="str">
        <f t="shared" si="16"/>
        <v>Error?</v>
      </c>
    </row>
    <row r="1120" spans="1:4" x14ac:dyDescent="0.2">
      <c r="A1120" s="5">
        <v>1059</v>
      </c>
      <c r="B1120" s="138">
        <f>'Expenditures 15-22'!K49</f>
        <v>211294</v>
      </c>
      <c r="C1120" s="2" t="s">
        <v>594</v>
      </c>
      <c r="D1120" s="2" t="str">
        <f t="shared" si="16"/>
        <v>Error?</v>
      </c>
    </row>
    <row r="1121" spans="1:4" x14ac:dyDescent="0.2">
      <c r="A1121" s="5">
        <v>1060</v>
      </c>
      <c r="B1121" s="138">
        <f>'Expenditures 15-22'!K50</f>
        <v>175633</v>
      </c>
      <c r="C1121" s="2" t="s">
        <v>594</v>
      </c>
      <c r="D1121" s="2" t="str">
        <f t="shared" si="16"/>
        <v>Error?</v>
      </c>
    </row>
    <row r="1122" spans="1:4" x14ac:dyDescent="0.2">
      <c r="A1122" s="5">
        <v>1061</v>
      </c>
      <c r="B1122" s="138">
        <f>'Expenditures 15-22'!K53</f>
        <v>386983</v>
      </c>
      <c r="C1122" s="2" t="s">
        <v>594</v>
      </c>
      <c r="D1122" s="2" t="str">
        <f t="shared" si="16"/>
        <v>Error?</v>
      </c>
    </row>
    <row r="1123" spans="1:4" x14ac:dyDescent="0.2">
      <c r="A1123" s="5">
        <v>1062</v>
      </c>
      <c r="B1123" s="138">
        <f>'Expenditures 15-22'!K55</f>
        <v>603074</v>
      </c>
      <c r="C1123" s="2" t="s">
        <v>594</v>
      </c>
      <c r="D1123" s="2" t="str">
        <f t="shared" si="16"/>
        <v>Error?</v>
      </c>
    </row>
    <row r="1124" spans="1:4" x14ac:dyDescent="0.2">
      <c r="A1124" s="5">
        <v>1063</v>
      </c>
      <c r="B1124" s="138">
        <f>'Expenditures 15-22'!K56</f>
        <v>54559</v>
      </c>
      <c r="C1124" s="2" t="s">
        <v>594</v>
      </c>
      <c r="D1124" s="2" t="str">
        <f t="shared" si="16"/>
        <v>Error?</v>
      </c>
    </row>
    <row r="1125" spans="1:4" x14ac:dyDescent="0.2">
      <c r="A1125" s="5">
        <v>1064</v>
      </c>
      <c r="B1125" s="138">
        <f>'Expenditures 15-22'!K57</f>
        <v>657633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233108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433753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666861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11803</v>
      </c>
      <c r="C1137" s="2" t="s">
        <v>594</v>
      </c>
      <c r="D1137" s="2" t="str">
        <f t="shared" si="16"/>
        <v>Error?</v>
      </c>
    </row>
    <row r="1138" spans="1:4" x14ac:dyDescent="0.2">
      <c r="A1138" s="10">
        <v>1077</v>
      </c>
      <c r="D1138" s="2" t="str">
        <f t="shared" si="16"/>
        <v>OK</v>
      </c>
    </row>
    <row r="1139" spans="1:4" x14ac:dyDescent="0.2">
      <c r="A1139" s="5">
        <v>1078</v>
      </c>
      <c r="B1139" s="138">
        <f>'Expenditures 15-22'!K71</f>
        <v>139148</v>
      </c>
      <c r="C1139" s="2" t="s">
        <v>594</v>
      </c>
      <c r="D1139" s="2" t="str">
        <f t="shared" si="16"/>
        <v>Error?</v>
      </c>
    </row>
    <row r="1140" spans="1:4" x14ac:dyDescent="0.2">
      <c r="A1140" s="10">
        <v>1079</v>
      </c>
      <c r="D1140" s="2" t="str">
        <f t="shared" si="16"/>
        <v>OK</v>
      </c>
    </row>
    <row r="1141" spans="1:4" x14ac:dyDescent="0.2">
      <c r="A1141" s="5">
        <v>1080</v>
      </c>
      <c r="B1141" s="138">
        <f>'Expenditures 15-22'!K72</f>
        <v>150951</v>
      </c>
      <c r="C1141" s="2" t="s">
        <v>594</v>
      </c>
      <c r="D1141" s="2" t="str">
        <f t="shared" si="16"/>
        <v>Error?</v>
      </c>
    </row>
    <row r="1142" spans="1:4" x14ac:dyDescent="0.2">
      <c r="A1142" s="5">
        <v>1081</v>
      </c>
      <c r="B1142" s="138">
        <f>'Expenditures 15-22'!K73</f>
        <v>5186</v>
      </c>
      <c r="C1142" s="2" t="s">
        <v>594</v>
      </c>
      <c r="D1142" s="2" t="str">
        <f t="shared" si="16"/>
        <v>Error?</v>
      </c>
    </row>
    <row r="1143" spans="1:4" x14ac:dyDescent="0.2">
      <c r="A1143" s="5">
        <v>1082</v>
      </c>
      <c r="B1143" s="138">
        <f>'Expenditures 15-22'!K74</f>
        <v>2884849</v>
      </c>
      <c r="C1143" s="2" t="s">
        <v>594</v>
      </c>
      <c r="D1143" s="2" t="str">
        <f t="shared" si="16"/>
        <v>Error?</v>
      </c>
    </row>
    <row r="1144" spans="1:4" x14ac:dyDescent="0.2">
      <c r="A1144" s="5">
        <v>1083</v>
      </c>
      <c r="B1144" s="138">
        <f>'Expenditures 15-22'!K75</f>
        <v>11109</v>
      </c>
      <c r="C1144" s="2" t="s">
        <v>594</v>
      </c>
      <c r="D1144" s="2" t="str">
        <f t="shared" si="16"/>
        <v>Error?</v>
      </c>
    </row>
    <row r="1145" spans="1:4" x14ac:dyDescent="0.2">
      <c r="A1145" s="5">
        <v>1084</v>
      </c>
      <c r="B1145" s="138">
        <f>'Expenditures 15-22'!K102</f>
        <v>651947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8918304</v>
      </c>
      <c r="C1152" s="2" t="s">
        <v>594</v>
      </c>
      <c r="D1152" s="2" t="str">
        <f t="shared" si="17"/>
        <v>Error?</v>
      </c>
    </row>
    <row r="1153" spans="1:4" x14ac:dyDescent="0.2">
      <c r="A1153" s="5">
        <v>1092</v>
      </c>
      <c r="B1153" s="138">
        <f>'Expenditures 15-22'!K115</f>
        <v>-1281507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361501</v>
      </c>
      <c r="D1221" s="2" t="str">
        <f t="shared" si="18"/>
        <v>Error?</v>
      </c>
    </row>
    <row r="1222" spans="1:4" x14ac:dyDescent="0.2">
      <c r="A1222" s="10">
        <v>1161</v>
      </c>
      <c r="D1222" s="2" t="str">
        <f t="shared" si="18"/>
        <v>OK</v>
      </c>
    </row>
    <row r="1223" spans="1:4" x14ac:dyDescent="0.2">
      <c r="A1223" s="5">
        <v>1162</v>
      </c>
      <c r="B1223" s="138">
        <f>'Expenditures 15-22'!C127</f>
        <v>361501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361501</v>
      </c>
      <c r="C1225" s="2" t="s">
        <v>594</v>
      </c>
      <c r="D1225" s="2" t="str">
        <f t="shared" si="18"/>
        <v>Error?</v>
      </c>
    </row>
    <row r="1226" spans="1:4" x14ac:dyDescent="0.2">
      <c r="A1226" s="5">
        <v>1165</v>
      </c>
      <c r="B1226" s="138">
        <f>'Expenditures 15-22'!C151</f>
        <v>361501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48248</v>
      </c>
      <c r="D1229" s="2" t="str">
        <f t="shared" si="18"/>
        <v>Error?</v>
      </c>
    </row>
    <row r="1230" spans="1:4" x14ac:dyDescent="0.2">
      <c r="A1230" s="10">
        <v>1169</v>
      </c>
      <c r="D1230" s="2" t="str">
        <f t="shared" si="18"/>
        <v>OK</v>
      </c>
    </row>
    <row r="1231" spans="1:4" x14ac:dyDescent="0.2">
      <c r="A1231" s="5">
        <v>1170</v>
      </c>
      <c r="B1231" s="138">
        <f>'Expenditures 15-22'!D127</f>
        <v>48248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48248</v>
      </c>
      <c r="C1233" s="2" t="s">
        <v>594</v>
      </c>
      <c r="D1233" s="2" t="str">
        <f t="shared" si="18"/>
        <v>Error?</v>
      </c>
    </row>
    <row r="1234" spans="1:4" x14ac:dyDescent="0.2">
      <c r="A1234" s="5">
        <v>1173</v>
      </c>
      <c r="B1234" s="138">
        <f>'Expenditures 15-22'!D151</f>
        <v>48248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188663</v>
      </c>
      <c r="D1237" s="2" t="str">
        <f t="shared" si="18"/>
        <v>Error?</v>
      </c>
    </row>
    <row r="1238" spans="1:4" x14ac:dyDescent="0.2">
      <c r="A1238" s="10">
        <v>1177</v>
      </c>
      <c r="D1238" s="2" t="str">
        <f t="shared" si="18"/>
        <v>OK</v>
      </c>
    </row>
    <row r="1239" spans="1:4" x14ac:dyDescent="0.2">
      <c r="A1239" s="5">
        <v>1178</v>
      </c>
      <c r="B1239" s="138">
        <f>'Expenditures 15-22'!E127</f>
        <v>188663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188663</v>
      </c>
      <c r="C1241" s="2" t="s">
        <v>594</v>
      </c>
      <c r="D1241" s="2" t="str">
        <f t="shared" si="18"/>
        <v>Error?</v>
      </c>
    </row>
    <row r="1242" spans="1:4" x14ac:dyDescent="0.2">
      <c r="A1242" s="5">
        <v>1181</v>
      </c>
      <c r="B1242" s="138">
        <f>'Expenditures 15-22'!E151</f>
        <v>188663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262772</v>
      </c>
      <c r="D1245" s="2" t="str">
        <f t="shared" si="18"/>
        <v>Error?</v>
      </c>
    </row>
    <row r="1246" spans="1:4" x14ac:dyDescent="0.2">
      <c r="A1246" s="10">
        <v>1185</v>
      </c>
      <c r="D1246" s="2" t="str">
        <f t="shared" si="18"/>
        <v>OK</v>
      </c>
    </row>
    <row r="1247" spans="1:4" x14ac:dyDescent="0.2">
      <c r="A1247" s="5">
        <v>1186</v>
      </c>
      <c r="B1247" s="138">
        <f>'Expenditures 15-22'!F127</f>
        <v>262772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262772</v>
      </c>
      <c r="C1249" s="2" t="s">
        <v>594</v>
      </c>
      <c r="D1249" s="2" t="str">
        <f t="shared" si="18"/>
        <v>Error?</v>
      </c>
    </row>
    <row r="1250" spans="1:4" x14ac:dyDescent="0.2">
      <c r="A1250" s="5">
        <v>1189</v>
      </c>
      <c r="B1250" s="138">
        <f>'Expenditures 15-22'!F151</f>
        <v>262772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2383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2383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2383</v>
      </c>
      <c r="C1258" s="2" t="s">
        <v>594</v>
      </c>
      <c r="D1258" s="2" t="str">
        <f t="shared" si="18"/>
        <v>Error?</v>
      </c>
    </row>
    <row r="1259" spans="1:4" x14ac:dyDescent="0.2">
      <c r="A1259" s="5">
        <v>1198</v>
      </c>
      <c r="B1259" s="138">
        <f>'Expenditures 15-22'!G151</f>
        <v>2383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219</v>
      </c>
      <c r="D1262" s="2" t="str">
        <f t="shared" si="18"/>
        <v>Error?</v>
      </c>
    </row>
    <row r="1263" spans="1:4" x14ac:dyDescent="0.2">
      <c r="A1263" s="10">
        <v>1202</v>
      </c>
      <c r="D1263" s="2" t="str">
        <f t="shared" si="18"/>
        <v>OK</v>
      </c>
    </row>
    <row r="1264" spans="1:4" x14ac:dyDescent="0.2">
      <c r="A1264" s="5">
        <v>1203</v>
      </c>
      <c r="B1264" s="138">
        <f>'Expenditures 15-22'!H127</f>
        <v>219</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219</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219</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863786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863786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863786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863786</v>
      </c>
      <c r="C1288" s="2" t="s">
        <v>594</v>
      </c>
      <c r="D1288" s="2" t="str">
        <f t="shared" si="19"/>
        <v>Error?</v>
      </c>
    </row>
    <row r="1289" spans="1:4" x14ac:dyDescent="0.2">
      <c r="A1289" s="5">
        <v>1228</v>
      </c>
      <c r="B1289" s="138">
        <f>'Expenditures 15-22'!K152</f>
        <v>149963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331096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1372579</v>
      </c>
      <c r="D1315" s="2" t="str">
        <f t="shared" si="19"/>
        <v>Error?</v>
      </c>
    </row>
    <row r="1316" spans="1:4" x14ac:dyDescent="0.2">
      <c r="A1316" s="5">
        <v>1255</v>
      </c>
      <c r="B1316" s="138">
        <f>'Expenditures 15-22'!H171</f>
        <v>3628</v>
      </c>
      <c r="D1316" s="2" t="str">
        <f t="shared" si="19"/>
        <v>Error?</v>
      </c>
    </row>
    <row r="1317" spans="1:4" x14ac:dyDescent="0.2">
      <c r="A1317" s="5">
        <v>1256</v>
      </c>
      <c r="B1317" s="138">
        <f>'Expenditures 15-22'!H172</f>
        <v>1707303</v>
      </c>
      <c r="C1317" s="2" t="s">
        <v>594</v>
      </c>
      <c r="D1317" s="2" t="str">
        <f t="shared" si="19"/>
        <v>Error?</v>
      </c>
    </row>
    <row r="1318" spans="1:4" x14ac:dyDescent="0.2">
      <c r="A1318" s="5">
        <v>1257</v>
      </c>
      <c r="B1318" s="138">
        <f>'Expenditures 15-22'!H174</f>
        <v>1707303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331096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1372579</v>
      </c>
      <c r="C1329" s="2" t="s">
        <v>594</v>
      </c>
      <c r="D1329" s="2" t="str">
        <f t="shared" si="19"/>
        <v>Error?</v>
      </c>
    </row>
    <row r="1330" spans="1:4" x14ac:dyDescent="0.2">
      <c r="A1330" s="5">
        <v>1269</v>
      </c>
      <c r="B1330" s="138">
        <f>'Expenditures 15-22'!K171</f>
        <v>3628</v>
      </c>
      <c r="C1330" s="2" t="s">
        <v>594</v>
      </c>
      <c r="D1330" s="2" t="str">
        <f t="shared" si="19"/>
        <v>Error?</v>
      </c>
    </row>
    <row r="1331" spans="1:4" x14ac:dyDescent="0.2">
      <c r="A1331" s="5">
        <v>1270</v>
      </c>
      <c r="B1331" s="138">
        <f>'Expenditures 15-22'!K172</f>
        <v>1707303</v>
      </c>
      <c r="C1331" s="2" t="s">
        <v>594</v>
      </c>
      <c r="D1331" s="2" t="str">
        <f t="shared" si="19"/>
        <v>Error?</v>
      </c>
    </row>
    <row r="1332" spans="1:4" x14ac:dyDescent="0.2">
      <c r="A1332" s="5">
        <v>1271</v>
      </c>
      <c r="B1332" s="138">
        <f>'Expenditures 15-22'!K174</f>
        <v>1707303</v>
      </c>
      <c r="C1332" s="2" t="s">
        <v>594</v>
      </c>
      <c r="D1332" s="2" t="str">
        <f t="shared" si="19"/>
        <v>Error?</v>
      </c>
    </row>
    <row r="1333" spans="1:4" x14ac:dyDescent="0.2">
      <c r="A1333" s="5">
        <v>1272</v>
      </c>
      <c r="B1333" s="138">
        <f>'Expenditures 15-22'!K175</f>
        <v>-4064</v>
      </c>
      <c r="C1333" s="2" t="s">
        <v>594</v>
      </c>
      <c r="D1333" s="2" t="str">
        <f t="shared" si="19"/>
        <v>Error?</v>
      </c>
    </row>
    <row r="1334" spans="1:4" x14ac:dyDescent="0.2">
      <c r="A1334" s="10">
        <v>1273</v>
      </c>
      <c r="D1334" s="2" t="str">
        <f t="shared" si="19"/>
        <v>OK</v>
      </c>
    </row>
    <row r="1335" spans="1:4" x14ac:dyDescent="0.2">
      <c r="A1335" s="5">
        <v>1274</v>
      </c>
      <c r="B1335" s="138">
        <f>'Expenditures 15-22'!C182</f>
        <v>322143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322143</v>
      </c>
      <c r="C1339" s="2" t="s">
        <v>594</v>
      </c>
      <c r="D1339" s="2" t="str">
        <f t="shared" si="19"/>
        <v>Error?</v>
      </c>
    </row>
    <row r="1340" spans="1:4" x14ac:dyDescent="0.2">
      <c r="A1340" s="5">
        <v>1279</v>
      </c>
      <c r="B1340" s="138">
        <f>'Expenditures 15-22'!C210</f>
        <v>322143</v>
      </c>
      <c r="C1340" s="2" t="s">
        <v>594</v>
      </c>
      <c r="D1340" s="2" t="str">
        <f t="shared" si="19"/>
        <v>Error?</v>
      </c>
    </row>
    <row r="1341" spans="1:4" x14ac:dyDescent="0.2">
      <c r="A1341" s="5">
        <v>1280</v>
      </c>
      <c r="B1341" s="138">
        <f>'Expenditures 15-22'!D182</f>
        <v>60119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60119</v>
      </c>
      <c r="C1345" s="2" t="s">
        <v>594</v>
      </c>
      <c r="D1345" s="2" t="str">
        <f t="shared" si="20"/>
        <v>Error?</v>
      </c>
    </row>
    <row r="1346" spans="1:4" x14ac:dyDescent="0.2">
      <c r="A1346" s="5">
        <v>1285</v>
      </c>
      <c r="B1346" s="138">
        <f>'Expenditures 15-22'!D210</f>
        <v>60119</v>
      </c>
      <c r="C1346" s="2" t="s">
        <v>594</v>
      </c>
      <c r="D1346" s="2" t="str">
        <f t="shared" si="20"/>
        <v>Error?</v>
      </c>
    </row>
    <row r="1347" spans="1:4" x14ac:dyDescent="0.2">
      <c r="A1347" s="5">
        <v>1286</v>
      </c>
      <c r="B1347" s="138">
        <f>'Expenditures 15-22'!E182</f>
        <v>133035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133035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133035</v>
      </c>
      <c r="C1353" s="2" t="s">
        <v>594</v>
      </c>
      <c r="D1353" s="2" t="str">
        <f t="shared" si="20"/>
        <v>Error?</v>
      </c>
    </row>
    <row r="1354" spans="1:4" x14ac:dyDescent="0.2">
      <c r="A1354" s="5">
        <v>1293</v>
      </c>
      <c r="B1354" s="138">
        <f>'Expenditures 15-22'!F182</f>
        <v>73660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73660</v>
      </c>
      <c r="C1358" s="2" t="s">
        <v>594</v>
      </c>
      <c r="D1358" s="2" t="str">
        <f t="shared" si="20"/>
        <v>Error?</v>
      </c>
    </row>
    <row r="1359" spans="1:4" x14ac:dyDescent="0.2">
      <c r="A1359" s="5">
        <v>1298</v>
      </c>
      <c r="B1359" s="138">
        <f>'Expenditures 15-22'!F210</f>
        <v>73660</v>
      </c>
      <c r="C1359" s="2" t="s">
        <v>594</v>
      </c>
      <c r="D1359" s="2" t="str">
        <f t="shared" si="20"/>
        <v>Error?</v>
      </c>
    </row>
    <row r="1360" spans="1:4" x14ac:dyDescent="0.2">
      <c r="A1360" s="5">
        <v>1299</v>
      </c>
      <c r="B1360" s="138">
        <f>'Expenditures 15-22'!G182</f>
        <v>51114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51114</v>
      </c>
      <c r="C1364" s="2" t="s">
        <v>594</v>
      </c>
      <c r="D1364" s="2" t="str">
        <f t="shared" si="20"/>
        <v>Error?</v>
      </c>
    </row>
    <row r="1365" spans="1:4" x14ac:dyDescent="0.2">
      <c r="A1365" s="5">
        <v>1304</v>
      </c>
      <c r="B1365" s="138">
        <f>'Expenditures 15-22'!G210</f>
        <v>51114</v>
      </c>
      <c r="C1365" s="2" t="s">
        <v>594</v>
      </c>
      <c r="D1365" s="2" t="str">
        <f t="shared" si="20"/>
        <v>Error?</v>
      </c>
    </row>
    <row r="1366" spans="1:4" x14ac:dyDescent="0.2">
      <c r="A1366" s="5">
        <v>1305</v>
      </c>
      <c r="B1366" s="138">
        <f>'Expenditures 15-22'!H182</f>
        <v>750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750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750</v>
      </c>
      <c r="C1376" s="2" t="s">
        <v>594</v>
      </c>
      <c r="D1376" s="2" t="str">
        <f t="shared" si="20"/>
        <v>Error?</v>
      </c>
    </row>
    <row r="1377" spans="1:4" x14ac:dyDescent="0.2">
      <c r="A1377" s="5">
        <v>1316</v>
      </c>
      <c r="B1377" s="138">
        <f>'Expenditures 15-22'!K182</f>
        <v>640821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640821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640821</v>
      </c>
      <c r="C1388" s="2" t="s">
        <v>594</v>
      </c>
      <c r="D1388" s="2" t="str">
        <f t="shared" si="20"/>
        <v>Error?</v>
      </c>
    </row>
    <row r="1389" spans="1:4" x14ac:dyDescent="0.2">
      <c r="A1389" s="5">
        <v>1328</v>
      </c>
      <c r="B1389" s="138">
        <f>'Expenditures 15-22'!K211</f>
        <v>998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2601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6293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168054</v>
      </c>
      <c r="C1410" s="2" t="s">
        <v>594</v>
      </c>
      <c r="D1410" s="2" t="str">
        <f t="shared" si="21"/>
        <v>Error?</v>
      </c>
    </row>
    <row r="1411" spans="1:4" x14ac:dyDescent="0.2">
      <c r="A1411" s="5">
        <v>1350</v>
      </c>
      <c r="B1411" s="138">
        <f>'Expenditures 15-22'!D232</f>
        <v>3335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2142</v>
      </c>
      <c r="D1413" s="2" t="str">
        <f t="shared" si="21"/>
        <v>Error?</v>
      </c>
    </row>
    <row r="1414" spans="1:4" x14ac:dyDescent="0.2">
      <c r="A1414" s="5">
        <v>1353</v>
      </c>
      <c r="B1414" s="138">
        <f>'Expenditures 15-22'!D235</f>
        <v>1198</v>
      </c>
      <c r="D1414" s="2" t="str">
        <f t="shared" si="21"/>
        <v>Error?</v>
      </c>
    </row>
    <row r="1415" spans="1:4" x14ac:dyDescent="0.2">
      <c r="A1415" s="5">
        <v>1354</v>
      </c>
      <c r="B1415" s="138">
        <f>'Expenditures 15-22'!D236</f>
        <v>3199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9874</v>
      </c>
      <c r="C1417" s="2" t="s">
        <v>594</v>
      </c>
      <c r="D1417" s="2" t="str">
        <f t="shared" si="21"/>
        <v>Error?</v>
      </c>
    </row>
    <row r="1418" spans="1:4" x14ac:dyDescent="0.2">
      <c r="A1418" s="5">
        <v>1357</v>
      </c>
      <c r="B1418" s="138">
        <f>'Expenditures 15-22'!D240</f>
        <v>9</v>
      </c>
      <c r="D1418" s="2" t="str">
        <f t="shared" si="21"/>
        <v>Error?</v>
      </c>
    </row>
    <row r="1419" spans="1:4" x14ac:dyDescent="0.2">
      <c r="A1419" s="5">
        <v>1358</v>
      </c>
      <c r="B1419" s="138">
        <f>'Expenditures 15-22'!D241</f>
        <v>17314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17323</v>
      </c>
      <c r="C1421" s="2" t="s">
        <v>594</v>
      </c>
      <c r="D1421" s="2" t="str">
        <f t="shared" si="21"/>
        <v>Error?</v>
      </c>
    </row>
    <row r="1422" spans="1:4" x14ac:dyDescent="0.2">
      <c r="A1422" s="5">
        <v>1361</v>
      </c>
      <c r="B1422" s="138">
        <f>'Expenditures 15-22'!D245</f>
        <v>376</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376</v>
      </c>
      <c r="C1424" s="2" t="s">
        <v>594</v>
      </c>
      <c r="D1424" s="2" t="str">
        <f t="shared" si="21"/>
        <v>Error?</v>
      </c>
    </row>
    <row r="1425" spans="1:4" x14ac:dyDescent="0.2">
      <c r="A1425" s="5">
        <v>1364</v>
      </c>
      <c r="B1425" s="138">
        <f>'Expenditures 15-22'!D259</f>
        <v>27439</v>
      </c>
      <c r="D1425" s="2" t="str">
        <f t="shared" si="21"/>
        <v>Error?</v>
      </c>
    </row>
    <row r="1426" spans="1:4" x14ac:dyDescent="0.2">
      <c r="A1426" s="5">
        <v>1365</v>
      </c>
      <c r="B1426" s="138">
        <f>'Expenditures 15-22'!D260</f>
        <v>8992</v>
      </c>
      <c r="D1426" s="2" t="str">
        <f t="shared" si="21"/>
        <v>Error?</v>
      </c>
    </row>
    <row r="1427" spans="1:4" x14ac:dyDescent="0.2">
      <c r="A1427" s="5">
        <v>1366</v>
      </c>
      <c r="B1427" s="138">
        <f>'Expenditures 15-22'!D261</f>
        <v>36431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21017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56575</v>
      </c>
      <c r="D1431" s="2" t="str">
        <f t="shared" si="21"/>
        <v>Error?</v>
      </c>
    </row>
    <row r="1432" spans="1:4" x14ac:dyDescent="0.2">
      <c r="A1432" s="5">
        <v>1371</v>
      </c>
      <c r="B1432" s="138">
        <f>'Expenditures 15-22'!D267</f>
        <v>56185</v>
      </c>
      <c r="D1432" s="2" t="str">
        <f t="shared" si="21"/>
        <v>Error?</v>
      </c>
    </row>
    <row r="1433" spans="1:4" x14ac:dyDescent="0.2">
      <c r="A1433" s="5">
        <v>1372</v>
      </c>
      <c r="B1433" s="138">
        <f>'Expenditures 15-22'!D268</f>
        <v>32099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165876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20541</v>
      </c>
      <c r="D1442" s="2" t="str">
        <f t="shared" si="21"/>
        <v>Error?</v>
      </c>
    </row>
    <row r="1443" spans="1:4" x14ac:dyDescent="0.2">
      <c r="A1443" s="10">
        <v>1382</v>
      </c>
      <c r="D1443" s="2" t="str">
        <f t="shared" si="21"/>
        <v>OK</v>
      </c>
    </row>
    <row r="1444" spans="1:4" x14ac:dyDescent="0.2">
      <c r="A1444" s="5">
        <v>1383</v>
      </c>
      <c r="B1444" s="138">
        <f>'Expenditures 15-22'!D277</f>
        <v>20541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250421</v>
      </c>
      <c r="C1446" s="2" t="s">
        <v>594</v>
      </c>
      <c r="D1446" s="2" t="str">
        <f t="shared" si="21"/>
        <v>Error?</v>
      </c>
    </row>
    <row r="1447" spans="1:4" x14ac:dyDescent="0.2">
      <c r="A1447" s="5">
        <v>1386</v>
      </c>
      <c r="B1447" s="138">
        <f>'Expenditures 15-22'!D280</f>
        <v>379</v>
      </c>
      <c r="D1447" s="2" t="str">
        <f t="shared" si="21"/>
        <v>Error?</v>
      </c>
    </row>
    <row r="1448" spans="1:4" x14ac:dyDescent="0.2">
      <c r="A1448" s="5">
        <v>1387</v>
      </c>
      <c r="B1448" s="138">
        <f>'Expenditures 15-22'!D295</f>
        <v>418854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2601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6293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168054</v>
      </c>
      <c r="C1474" s="2" t="s">
        <v>594</v>
      </c>
      <c r="D1474" s="2" t="str">
        <f t="shared" si="22"/>
        <v>Error?</v>
      </c>
    </row>
    <row r="1475" spans="1:4" x14ac:dyDescent="0.2">
      <c r="A1475" s="5">
        <v>1414</v>
      </c>
      <c r="B1475" s="138">
        <f>'Expenditures 15-22'!K232</f>
        <v>3335</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2142</v>
      </c>
      <c r="C1477" s="2" t="s">
        <v>594</v>
      </c>
      <c r="D1477" s="2" t="str">
        <f t="shared" si="22"/>
        <v>Error?</v>
      </c>
    </row>
    <row r="1478" spans="1:4" x14ac:dyDescent="0.2">
      <c r="A1478" s="5">
        <v>1417</v>
      </c>
      <c r="B1478" s="138">
        <f>'Expenditures 15-22'!K235</f>
        <v>1198</v>
      </c>
      <c r="C1478" s="2" t="s">
        <v>594</v>
      </c>
      <c r="D1478" s="2" t="str">
        <f t="shared" si="22"/>
        <v>Error?</v>
      </c>
    </row>
    <row r="1479" spans="1:4" x14ac:dyDescent="0.2">
      <c r="A1479" s="5">
        <v>1418</v>
      </c>
      <c r="B1479" s="138">
        <f>'Expenditures 15-22'!K236</f>
        <v>3199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9874</v>
      </c>
      <c r="C1481" s="2" t="s">
        <v>594</v>
      </c>
      <c r="D1481" s="2" t="str">
        <f t="shared" si="22"/>
        <v>Error?</v>
      </c>
    </row>
    <row r="1482" spans="1:4" x14ac:dyDescent="0.2">
      <c r="A1482" s="5">
        <v>1421</v>
      </c>
      <c r="B1482" s="138">
        <f>'Expenditures 15-22'!K240</f>
        <v>9</v>
      </c>
      <c r="C1482" s="2" t="s">
        <v>594</v>
      </c>
      <c r="D1482" s="2" t="str">
        <f t="shared" si="22"/>
        <v>Error?</v>
      </c>
    </row>
    <row r="1483" spans="1:4" x14ac:dyDescent="0.2">
      <c r="A1483" s="5">
        <v>1422</v>
      </c>
      <c r="B1483" s="138">
        <f>'Expenditures 15-22'!K241</f>
        <v>17314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17323</v>
      </c>
      <c r="C1485" s="2" t="s">
        <v>594</v>
      </c>
      <c r="D1485" s="2" t="str">
        <f t="shared" si="22"/>
        <v>Error?</v>
      </c>
    </row>
    <row r="1486" spans="1:4" x14ac:dyDescent="0.2">
      <c r="A1486" s="5">
        <v>1425</v>
      </c>
      <c r="B1486" s="138">
        <f>'Expenditures 15-22'!K245</f>
        <v>376</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376</v>
      </c>
      <c r="C1488" s="2" t="s">
        <v>594</v>
      </c>
      <c r="D1488" s="2" t="str">
        <f t="shared" si="22"/>
        <v>Error?</v>
      </c>
    </row>
    <row r="1489" spans="1:4" x14ac:dyDescent="0.2">
      <c r="A1489" s="5">
        <v>1428</v>
      </c>
      <c r="B1489" s="138">
        <f>'Expenditures 15-22'!K259</f>
        <v>27439</v>
      </c>
      <c r="C1489" s="2" t="s">
        <v>594</v>
      </c>
      <c r="D1489" s="2" t="str">
        <f t="shared" si="22"/>
        <v>Error?</v>
      </c>
    </row>
    <row r="1490" spans="1:4" x14ac:dyDescent="0.2">
      <c r="A1490" s="5">
        <v>1429</v>
      </c>
      <c r="B1490" s="138">
        <f>'Expenditures 15-22'!K260</f>
        <v>8992</v>
      </c>
      <c r="C1490" s="2" t="s">
        <v>594</v>
      </c>
      <c r="D1490" s="2" t="str">
        <f t="shared" si="22"/>
        <v>Error?</v>
      </c>
    </row>
    <row r="1491" spans="1:4" x14ac:dyDescent="0.2">
      <c r="A1491" s="5">
        <v>1430</v>
      </c>
      <c r="B1491" s="138">
        <f>'Expenditures 15-22'!K261</f>
        <v>36431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21017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56575</v>
      </c>
      <c r="C1495" s="2" t="s">
        <v>594</v>
      </c>
      <c r="D1495" s="2" t="str">
        <f t="shared" si="22"/>
        <v>Error?</v>
      </c>
    </row>
    <row r="1496" spans="1:4" x14ac:dyDescent="0.2">
      <c r="A1496" s="5">
        <v>1435</v>
      </c>
      <c r="B1496" s="138">
        <f>'Expenditures 15-22'!K267</f>
        <v>56185</v>
      </c>
      <c r="C1496" s="2" t="s">
        <v>594</v>
      </c>
      <c r="D1496" s="2" t="str">
        <f t="shared" si="22"/>
        <v>Error?</v>
      </c>
    </row>
    <row r="1497" spans="1:4" x14ac:dyDescent="0.2">
      <c r="A1497" s="5">
        <v>1436</v>
      </c>
      <c r="B1497" s="138">
        <f>'Expenditures 15-22'!K268</f>
        <v>32099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165876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20541</v>
      </c>
      <c r="C1506" s="2" t="s">
        <v>594</v>
      </c>
      <c r="D1506" s="2" t="str">
        <f t="shared" si="22"/>
        <v>Error?</v>
      </c>
    </row>
    <row r="1507" spans="1:4" x14ac:dyDescent="0.2">
      <c r="A1507" s="10">
        <v>1446</v>
      </c>
      <c r="D1507" s="2" t="str">
        <f t="shared" si="22"/>
        <v>OK</v>
      </c>
    </row>
    <row r="1508" spans="1:4" x14ac:dyDescent="0.2">
      <c r="A1508" s="5">
        <v>1447</v>
      </c>
      <c r="B1508" s="138">
        <f>'Expenditures 15-22'!K277</f>
        <v>20541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250421</v>
      </c>
      <c r="C1510" s="2" t="s">
        <v>594</v>
      </c>
      <c r="D1510" s="2" t="str">
        <f t="shared" si="22"/>
        <v>Error?</v>
      </c>
    </row>
    <row r="1511" spans="1:4" x14ac:dyDescent="0.2">
      <c r="A1511" s="5">
        <v>1450</v>
      </c>
      <c r="B1511" s="138">
        <f>'Expenditures 15-22'!K280</f>
        <v>379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418854</v>
      </c>
      <c r="C1517" s="2" t="s">
        <v>594</v>
      </c>
      <c r="D1517" s="2" t="str">
        <f t="shared" si="22"/>
        <v>Error?</v>
      </c>
    </row>
    <row r="1518" spans="1:4" x14ac:dyDescent="0.2">
      <c r="A1518" s="5">
        <v>1457</v>
      </c>
      <c r="B1518" s="138">
        <f>'Expenditures 15-22'!K296</f>
        <v>-33179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-5635001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-2666508</v>
      </c>
      <c r="C1630" s="2" t="s">
        <v>594</v>
      </c>
      <c r="D1630" s="2" t="str">
        <f t="shared" si="24"/>
        <v>Error?</v>
      </c>
    </row>
    <row r="1631" spans="1:4" x14ac:dyDescent="0.2">
      <c r="A1631" s="5">
        <v>1570</v>
      </c>
      <c r="B1631" s="138">
        <f>'Acct Summary 7-8'!D79</f>
        <v>104028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253991</v>
      </c>
      <c r="C1644" s="2" t="s">
        <v>594</v>
      </c>
      <c r="D1644" s="2" t="str">
        <f t="shared" si="24"/>
        <v>Error?</v>
      </c>
    </row>
    <row r="1645" spans="1:4" x14ac:dyDescent="0.2">
      <c r="A1645" s="5">
        <v>1584</v>
      </c>
      <c r="B1645" s="138">
        <f>'Acct Summary 7-8'!E79</f>
        <v>792247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788183</v>
      </c>
      <c r="C1658" s="2" t="s">
        <v>594</v>
      </c>
      <c r="D1658" s="2" t="str">
        <f t="shared" si="24"/>
        <v>Error?</v>
      </c>
    </row>
    <row r="1659" spans="1:4" x14ac:dyDescent="0.2">
      <c r="A1659" s="5">
        <v>1598</v>
      </c>
      <c r="B1659" s="138">
        <f>'Acct Summary 7-8'!F79</f>
        <v>93582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94580</v>
      </c>
      <c r="C1672" s="2" t="s">
        <v>594</v>
      </c>
      <c r="D1672" s="2" t="str">
        <f t="shared" si="25"/>
        <v>Error?</v>
      </c>
    </row>
    <row r="1673" spans="1:4" x14ac:dyDescent="0.2">
      <c r="A1673" s="5">
        <v>1612</v>
      </c>
      <c r="B1673" s="138">
        <f>'Acct Summary 7-8'!G79</f>
        <v>16002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-17177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4791465</v>
      </c>
      <c r="C1744" s="2" t="s">
        <v>594</v>
      </c>
      <c r="D1744" s="2" t="str">
        <f t="shared" si="26"/>
        <v>Error?</v>
      </c>
    </row>
    <row r="1745" spans="1:5" x14ac:dyDescent="0.2">
      <c r="A1745" s="5">
        <v>1684</v>
      </c>
      <c r="B1745" s="138">
        <f>'Tax Sched 23'!B5</f>
        <v>1005167</v>
      </c>
      <c r="C1745" s="2" t="s">
        <v>594</v>
      </c>
      <c r="D1745" s="2" t="str">
        <f t="shared" si="26"/>
        <v>Error?</v>
      </c>
    </row>
    <row r="1746" spans="1:5" x14ac:dyDescent="0.2">
      <c r="A1746" s="5">
        <v>1685</v>
      </c>
      <c r="B1746" s="138">
        <f>'Tax Sched 23'!B6</f>
        <v>1700846</v>
      </c>
      <c r="C1746" s="2" t="s">
        <v>594</v>
      </c>
      <c r="D1746" s="2" t="str">
        <f t="shared" si="26"/>
        <v>Error?</v>
      </c>
    </row>
    <row r="1747" spans="1:5" x14ac:dyDescent="0.2">
      <c r="A1747" s="5">
        <v>1686</v>
      </c>
      <c r="B1747" s="138">
        <f>'Tax Sched 23'!B7</f>
        <v>248086</v>
      </c>
      <c r="C1747" s="2" t="s">
        <v>594</v>
      </c>
      <c r="D1747" s="2" t="str">
        <f t="shared" si="26"/>
        <v>Error?</v>
      </c>
    </row>
    <row r="1748" spans="1:5" x14ac:dyDescent="0.2">
      <c r="A1748" s="5">
        <v>1687</v>
      </c>
      <c r="B1748" s="138">
        <f>'Tax Sched 23'!B8</f>
        <v>193281</v>
      </c>
      <c r="C1748" s="2" t="s">
        <v>594</v>
      </c>
      <c r="D1748" s="2" t="str">
        <f t="shared" si="26"/>
        <v>Error?</v>
      </c>
    </row>
    <row r="1749" spans="1:5" x14ac:dyDescent="0.2">
      <c r="A1749" s="5">
        <v>1688</v>
      </c>
      <c r="B1749" s="138">
        <f>'Tax Sched 23'!B10</f>
        <v>91116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83812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8289932</v>
      </c>
      <c r="C1759" s="2" t="s">
        <v>594</v>
      </c>
      <c r="D1759" s="2" t="str">
        <f t="shared" si="26"/>
        <v>Error?</v>
      </c>
    </row>
    <row r="1760" spans="1:5" x14ac:dyDescent="0.2">
      <c r="A1760" s="5">
        <v>1699</v>
      </c>
      <c r="B1760" s="138">
        <f>'Tax Sched 23'!D4</f>
        <v>2244791</v>
      </c>
      <c r="C1760" s="2" t="s">
        <v>594</v>
      </c>
      <c r="D1760" s="2" t="str">
        <f t="shared" si="26"/>
        <v>Error?</v>
      </c>
    </row>
    <row r="1761" spans="1:5" x14ac:dyDescent="0.2">
      <c r="A1761" s="5">
        <v>1700</v>
      </c>
      <c r="B1761" s="138">
        <f>'Tax Sched 23'!D5</f>
        <v>470927</v>
      </c>
      <c r="C1761" s="2" t="s">
        <v>594</v>
      </c>
      <c r="D1761" s="2" t="str">
        <f t="shared" si="26"/>
        <v>Error?</v>
      </c>
    </row>
    <row r="1762" spans="1:5" s="8" customFormat="1" x14ac:dyDescent="0.2">
      <c r="A1762" s="5">
        <v>1701</v>
      </c>
      <c r="B1762" s="138">
        <f>'Tax Sched 23'!D6</f>
        <v>798278</v>
      </c>
      <c r="C1762" s="2" t="s">
        <v>594</v>
      </c>
      <c r="D1762" s="2" t="str">
        <f t="shared" si="26"/>
        <v>Error?</v>
      </c>
      <c r="E1762" s="9"/>
    </row>
    <row r="1763" spans="1:5" x14ac:dyDescent="0.2">
      <c r="A1763" s="5">
        <v>1702</v>
      </c>
      <c r="B1763" s="138">
        <f>'Tax Sched 23'!D7</f>
        <v>116227</v>
      </c>
      <c r="C1763" s="2" t="s">
        <v>594</v>
      </c>
      <c r="D1763" s="2" t="str">
        <f t="shared" si="26"/>
        <v>Error?</v>
      </c>
    </row>
    <row r="1764" spans="1:5" x14ac:dyDescent="0.2">
      <c r="A1764" s="5">
        <v>1703</v>
      </c>
      <c r="B1764" s="138">
        <f>'Tax Sched 23'!D8</f>
        <v>61387</v>
      </c>
      <c r="C1764" s="2" t="s">
        <v>594</v>
      </c>
      <c r="D1764" s="2" t="str">
        <f t="shared" si="26"/>
        <v>Error?</v>
      </c>
    </row>
    <row r="1765" spans="1:5" x14ac:dyDescent="0.2">
      <c r="A1765" s="5">
        <v>1704</v>
      </c>
      <c r="B1765" s="138">
        <f>'Tax Sched 23'!D10</f>
        <v>42676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39268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3885247</v>
      </c>
      <c r="C1775" s="2" t="s">
        <v>594</v>
      </c>
      <c r="D1775" s="2" t="str">
        <f t="shared" si="26"/>
        <v>Error?</v>
      </c>
    </row>
    <row r="1776" spans="1:5" x14ac:dyDescent="0.2">
      <c r="A1776" s="5">
        <v>1715</v>
      </c>
      <c r="B1776" s="138">
        <f>'Tax Sched 23'!C4</f>
        <v>2546674</v>
      </c>
      <c r="D1776" s="2" t="str">
        <f t="shared" si="26"/>
        <v>Error?</v>
      </c>
    </row>
    <row r="1777" spans="1:4" x14ac:dyDescent="0.2">
      <c r="A1777" s="5">
        <v>1716</v>
      </c>
      <c r="B1777" s="138">
        <f>'Tax Sched 23'!C5</f>
        <v>534240</v>
      </c>
      <c r="D1777" s="2" t="str">
        <f t="shared" si="26"/>
        <v>Error?</v>
      </c>
    </row>
    <row r="1778" spans="1:4" x14ac:dyDescent="0.2">
      <c r="A1778" s="5">
        <v>1717</v>
      </c>
      <c r="B1778" s="138">
        <f>'Tax Sched 23'!C6</f>
        <v>902568</v>
      </c>
      <c r="D1778" s="2" t="str">
        <f t="shared" si="26"/>
        <v>Error?</v>
      </c>
    </row>
    <row r="1779" spans="1:4" x14ac:dyDescent="0.2">
      <c r="A1779" s="5">
        <v>1718</v>
      </c>
      <c r="B1779" s="138">
        <f>'Tax Sched 23'!C7</f>
        <v>131859</v>
      </c>
      <c r="D1779" s="2" t="str">
        <f t="shared" si="26"/>
        <v>Error?</v>
      </c>
    </row>
    <row r="1780" spans="1:4" x14ac:dyDescent="0.2">
      <c r="A1780" s="5">
        <v>1719</v>
      </c>
      <c r="B1780" s="138">
        <f>'Tax Sched 23'!C8</f>
        <v>131894</v>
      </c>
      <c r="D1780" s="2" t="str">
        <f t="shared" si="26"/>
        <v>Error?</v>
      </c>
    </row>
    <row r="1781" spans="1:4" x14ac:dyDescent="0.2">
      <c r="A1781" s="5">
        <v>1720</v>
      </c>
      <c r="B1781" s="138">
        <f>'Tax Sched 23'!C10</f>
        <v>48440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44544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4404685</v>
      </c>
      <c r="C1791" s="2" t="s">
        <v>594</v>
      </c>
      <c r="D1791" s="2" t="str">
        <f t="shared" ref="D1791:D1854" si="27">IF(ISBLANK(B1791),"OK",IF(A1791-B1791=0,"OK","Error?"))</f>
        <v>Error?</v>
      </c>
    </row>
    <row r="1792" spans="1:4" x14ac:dyDescent="0.2">
      <c r="A1792" s="5">
        <v>1731</v>
      </c>
      <c r="B1792" s="138">
        <f>'Tax Sched 23'!F4</f>
        <v>2239988</v>
      </c>
      <c r="C1792" s="2" t="s">
        <v>594</v>
      </c>
      <c r="D1792" s="2" t="str">
        <f t="shared" si="27"/>
        <v>Error?</v>
      </c>
    </row>
    <row r="1793" spans="1:4" x14ac:dyDescent="0.2">
      <c r="A1793" s="5">
        <v>1732</v>
      </c>
      <c r="B1793" s="138">
        <f>'Tax Sched 23'!F5</f>
        <v>469906</v>
      </c>
      <c r="C1793" s="2" t="s">
        <v>594</v>
      </c>
      <c r="D1793" s="2" t="str">
        <f t="shared" si="27"/>
        <v>Error?</v>
      </c>
    </row>
    <row r="1794" spans="1:4" x14ac:dyDescent="0.2">
      <c r="A1794" s="5">
        <v>1733</v>
      </c>
      <c r="B1794" s="138">
        <f>'Tax Sched 23'!F6</f>
        <v>793880</v>
      </c>
      <c r="C1794" s="2" t="s">
        <v>594</v>
      </c>
      <c r="D1794" s="2" t="str">
        <f t="shared" si="27"/>
        <v>Error?</v>
      </c>
    </row>
    <row r="1795" spans="1:4" x14ac:dyDescent="0.2">
      <c r="A1795" s="5">
        <v>1734</v>
      </c>
      <c r="B1795" s="138">
        <f>'Tax Sched 23'!F7</f>
        <v>115980</v>
      </c>
      <c r="C1795" s="2" t="s">
        <v>594</v>
      </c>
      <c r="D1795" s="2" t="str">
        <f t="shared" si="27"/>
        <v>Error?</v>
      </c>
    </row>
    <row r="1796" spans="1:4" x14ac:dyDescent="0.2">
      <c r="A1796" s="5">
        <v>1735</v>
      </c>
      <c r="B1796" s="138">
        <f>'Tax Sched 23'!F8</f>
        <v>106272</v>
      </c>
      <c r="C1796" s="2" t="s">
        <v>594</v>
      </c>
      <c r="D1796" s="2" t="str">
        <f t="shared" si="27"/>
        <v>Error?</v>
      </c>
    </row>
    <row r="1797" spans="1:4" x14ac:dyDescent="0.2">
      <c r="A1797" s="5">
        <v>1736</v>
      </c>
      <c r="B1797" s="138">
        <f>'Tax Sched 23'!F10</f>
        <v>42607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39177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3874250</v>
      </c>
      <c r="C1807" s="2" t="s">
        <v>594</v>
      </c>
      <c r="D1807" s="2" t="str">
        <f t="shared" si="27"/>
        <v>Error?</v>
      </c>
    </row>
    <row r="1808" spans="1:4" x14ac:dyDescent="0.2">
      <c r="A1808" s="5">
        <v>1747</v>
      </c>
      <c r="B1808" s="138">
        <f>'Tax Sched 23'!E4</f>
        <v>4786662</v>
      </c>
      <c r="D1808" s="2" t="str">
        <f t="shared" si="27"/>
        <v>Error?</v>
      </c>
    </row>
    <row r="1809" spans="1:4" x14ac:dyDescent="0.2">
      <c r="A1809" s="5">
        <v>1748</v>
      </c>
      <c r="B1809" s="138">
        <f>'Tax Sched 23'!E5</f>
        <v>1004146</v>
      </c>
      <c r="D1809" s="2" t="str">
        <f t="shared" si="27"/>
        <v>Error?</v>
      </c>
    </row>
    <row r="1810" spans="1:4" x14ac:dyDescent="0.2">
      <c r="A1810" s="5">
        <v>1749</v>
      </c>
      <c r="B1810" s="138">
        <f>'Tax Sched 23'!E6</f>
        <v>1696448</v>
      </c>
      <c r="D1810" s="2" t="str">
        <f t="shared" si="27"/>
        <v>Error?</v>
      </c>
    </row>
    <row r="1811" spans="1:4" x14ac:dyDescent="0.2">
      <c r="A1811" s="5">
        <v>1750</v>
      </c>
      <c r="B1811" s="138">
        <f>'Tax Sched 23'!E7</f>
        <v>247839</v>
      </c>
      <c r="D1811" s="2" t="str">
        <f t="shared" si="27"/>
        <v>Error?</v>
      </c>
    </row>
    <row r="1812" spans="1:4" x14ac:dyDescent="0.2">
      <c r="A1812" s="5">
        <v>1751</v>
      </c>
      <c r="B1812" s="138">
        <f>'Tax Sched 23'!E8</f>
        <v>238166</v>
      </c>
      <c r="D1812" s="2" t="str">
        <f t="shared" si="27"/>
        <v>Error?</v>
      </c>
    </row>
    <row r="1813" spans="1:4" x14ac:dyDescent="0.2">
      <c r="A1813" s="5">
        <v>1752</v>
      </c>
      <c r="B1813" s="138">
        <f>'Tax Sched 23'!E10</f>
        <v>91047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83721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8278935</v>
      </c>
      <c r="C1823" s="2" t="s">
        <v>594</v>
      </c>
      <c r="D1823" s="2" t="str">
        <f t="shared" si="27"/>
        <v>Error?</v>
      </c>
    </row>
    <row r="1824" spans="1:4" x14ac:dyDescent="0.2">
      <c r="A1824" s="10">
        <v>1763</v>
      </c>
      <c r="D1824" s="2" t="str">
        <f t="shared" si="27"/>
        <v>OK</v>
      </c>
    </row>
    <row r="1825" spans="1:4" x14ac:dyDescent="0.2">
      <c r="A1825" s="5">
        <v>1764</v>
      </c>
      <c r="B1825" s="138">
        <f>'Short-Term Long-Term Debt 24'!C6</f>
        <v>600000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600000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600000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600000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5867366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83812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83812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83812</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57292</v>
      </c>
      <c r="D2008" s="2" t="str">
        <f t="shared" si="30"/>
        <v>Error?</v>
      </c>
    </row>
    <row r="2009" spans="1:4" x14ac:dyDescent="0.2">
      <c r="A2009" s="5">
        <v>1948</v>
      </c>
      <c r="B2009" s="138">
        <f>'Cap Outlay Deprec 26'!C8</f>
        <v>17376946</v>
      </c>
      <c r="D2009" s="2" t="str">
        <f t="shared" si="30"/>
        <v>Error?</v>
      </c>
    </row>
    <row r="2010" spans="1:4" x14ac:dyDescent="0.2">
      <c r="A2010" s="5">
        <v>1949</v>
      </c>
      <c r="B2010" s="138">
        <f>'Cap Outlay Deprec 26'!C10</f>
        <v>398913</v>
      </c>
      <c r="D2010" s="2" t="str">
        <f t="shared" si="30"/>
        <v>Error?</v>
      </c>
    </row>
    <row r="2011" spans="1:4" x14ac:dyDescent="0.2">
      <c r="A2011" s="5">
        <v>1950</v>
      </c>
      <c r="B2011" s="138">
        <f>'Cap Outlay Deprec 26'!C12</f>
        <v>1943389</v>
      </c>
      <c r="D2011" s="2" t="str">
        <f t="shared" si="30"/>
        <v>Error?</v>
      </c>
    </row>
    <row r="2012" spans="1:4" x14ac:dyDescent="0.2">
      <c r="A2012" s="5">
        <v>1951</v>
      </c>
      <c r="B2012" s="138">
        <f>'Cap Outlay Deprec 26'!C13</f>
        <v>995670</v>
      </c>
      <c r="D2012" s="2" t="str">
        <f t="shared" si="30"/>
        <v>Error?</v>
      </c>
    </row>
    <row r="2013" spans="1:4" x14ac:dyDescent="0.2">
      <c r="A2013" s="5">
        <v>1952</v>
      </c>
      <c r="B2013" s="138">
        <f>'Cap Outlay Deprec 26'!C16</f>
        <v>20772210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2383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21371</v>
      </c>
      <c r="D2017" s="2" t="str">
        <f t="shared" si="30"/>
        <v>Error?</v>
      </c>
    </row>
    <row r="2018" spans="1:4" x14ac:dyDescent="0.2">
      <c r="A2018" s="5">
        <v>1957</v>
      </c>
      <c r="B2018" s="138">
        <f>'Cap Outlay Deprec 26'!D13</f>
        <v>51114</v>
      </c>
      <c r="D2018" s="2" t="str">
        <f t="shared" si="30"/>
        <v>Error?</v>
      </c>
    </row>
    <row r="2019" spans="1:4" x14ac:dyDescent="0.2">
      <c r="A2019" s="5">
        <v>1958</v>
      </c>
      <c r="B2019" s="138">
        <f>'Cap Outlay Deprec 26'!D16</f>
        <v>74868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49900</v>
      </c>
      <c r="D2024" s="2" t="str">
        <f t="shared" si="30"/>
        <v>Error?</v>
      </c>
    </row>
    <row r="2025" spans="1:4" x14ac:dyDescent="0.2">
      <c r="A2025" s="5">
        <v>1964</v>
      </c>
      <c r="B2025" s="138">
        <f>'Cap Outlay Deprec 26'!E16</f>
        <v>49900</v>
      </c>
      <c r="C2025" s="2" t="s">
        <v>594</v>
      </c>
      <c r="D2025" s="2" t="str">
        <f t="shared" si="30"/>
        <v>Error?</v>
      </c>
    </row>
    <row r="2026" spans="1:4" x14ac:dyDescent="0.2">
      <c r="A2026" s="5">
        <v>1965</v>
      </c>
      <c r="B2026" s="138">
        <f>'Cap Outlay Deprec 26'!F5</f>
        <v>57292</v>
      </c>
      <c r="C2026" s="2" t="s">
        <v>594</v>
      </c>
      <c r="D2026" s="2" t="str">
        <f t="shared" si="30"/>
        <v>Error?</v>
      </c>
    </row>
    <row r="2027" spans="1:4" x14ac:dyDescent="0.2">
      <c r="A2027" s="5">
        <v>1966</v>
      </c>
      <c r="B2027" s="138">
        <f>'Cap Outlay Deprec 26'!F8</f>
        <v>17379329</v>
      </c>
      <c r="C2027" s="2" t="s">
        <v>594</v>
      </c>
      <c r="D2027" s="2" t="str">
        <f t="shared" si="30"/>
        <v>Error?</v>
      </c>
    </row>
    <row r="2028" spans="1:4" x14ac:dyDescent="0.2">
      <c r="A2028" s="5">
        <v>1967</v>
      </c>
      <c r="B2028" s="138">
        <f>'Cap Outlay Deprec 26'!F10</f>
        <v>398913</v>
      </c>
      <c r="C2028" s="2" t="s">
        <v>594</v>
      </c>
      <c r="D2028" s="2" t="str">
        <f t="shared" si="30"/>
        <v>Error?</v>
      </c>
    </row>
    <row r="2029" spans="1:4" x14ac:dyDescent="0.2">
      <c r="A2029" s="5">
        <v>1968</v>
      </c>
      <c r="B2029" s="138">
        <f>'Cap Outlay Deprec 26'!F12</f>
        <v>1964760</v>
      </c>
      <c r="C2029" s="2" t="s">
        <v>594</v>
      </c>
      <c r="D2029" s="2" t="str">
        <f t="shared" si="30"/>
        <v>Error?</v>
      </c>
    </row>
    <row r="2030" spans="1:4" x14ac:dyDescent="0.2">
      <c r="A2030" s="5">
        <v>1969</v>
      </c>
      <c r="B2030" s="138">
        <f>'Cap Outlay Deprec 26'!F13</f>
        <v>996884</v>
      </c>
      <c r="C2030" s="2" t="s">
        <v>594</v>
      </c>
      <c r="D2030" s="2" t="str">
        <f t="shared" si="30"/>
        <v>Error?</v>
      </c>
    </row>
    <row r="2031" spans="1:4" x14ac:dyDescent="0.2">
      <c r="A2031" s="5">
        <v>1970</v>
      </c>
      <c r="B2031" s="138">
        <f>'Cap Outlay Deprec 26'!F16</f>
        <v>20797178</v>
      </c>
      <c r="C2031" s="2" t="s">
        <v>594</v>
      </c>
      <c r="D2031" s="2" t="str">
        <f t="shared" si="30"/>
        <v>Error?</v>
      </c>
    </row>
    <row r="2032" spans="1:4" x14ac:dyDescent="0.2">
      <c r="A2032" s="10">
        <v>1971</v>
      </c>
      <c r="D2032" s="2" t="str">
        <f t="shared" si="30"/>
        <v>OK</v>
      </c>
    </row>
    <row r="2033" spans="1:4" x14ac:dyDescent="0.2">
      <c r="A2033" s="5">
        <v>1972</v>
      </c>
      <c r="B2033" s="138">
        <f>'Cap Outlay Deprec 26'!H8</f>
        <v>7784674</v>
      </c>
      <c r="D2033" s="2" t="str">
        <f t="shared" si="30"/>
        <v>Error?</v>
      </c>
    </row>
    <row r="2034" spans="1:4" x14ac:dyDescent="0.2">
      <c r="A2034" s="5">
        <v>1973</v>
      </c>
      <c r="B2034" s="138">
        <f>'Cap Outlay Deprec 26'!H10</f>
        <v>347903</v>
      </c>
      <c r="D2034" s="2" t="str">
        <f t="shared" si="30"/>
        <v>Error?</v>
      </c>
    </row>
    <row r="2035" spans="1:4" x14ac:dyDescent="0.2">
      <c r="A2035" s="5">
        <v>1974</v>
      </c>
      <c r="B2035" s="138">
        <f>'Cap Outlay Deprec 26'!H12</f>
        <v>1473141</v>
      </c>
      <c r="D2035" s="2" t="str">
        <f t="shared" si="30"/>
        <v>Error?</v>
      </c>
    </row>
    <row r="2036" spans="1:4" x14ac:dyDescent="0.2">
      <c r="A2036" s="5">
        <v>1975</v>
      </c>
      <c r="B2036" s="138">
        <f>'Cap Outlay Deprec 26'!H13</f>
        <v>568886</v>
      </c>
      <c r="D2036" s="2" t="str">
        <f t="shared" si="30"/>
        <v>Error?</v>
      </c>
    </row>
    <row r="2037" spans="1:4" x14ac:dyDescent="0.2">
      <c r="A2037" s="5">
        <v>1976</v>
      </c>
      <c r="B2037" s="138">
        <f>'Cap Outlay Deprec 26'!H16</f>
        <v>10174604</v>
      </c>
      <c r="C2037" s="2" t="s">
        <v>594</v>
      </c>
      <c r="D2037" s="2" t="str">
        <f t="shared" si="30"/>
        <v>Error?</v>
      </c>
    </row>
    <row r="2038" spans="1:4" x14ac:dyDescent="0.2">
      <c r="A2038" s="10">
        <v>1977</v>
      </c>
      <c r="D2038" s="2" t="str">
        <f t="shared" si="30"/>
        <v>OK</v>
      </c>
    </row>
    <row r="2039" spans="1:4" x14ac:dyDescent="0.2">
      <c r="A2039" s="5">
        <v>1978</v>
      </c>
      <c r="B2039" s="138">
        <f>'Cap Outlay Deprec 26'!I8</f>
        <v>409695</v>
      </c>
      <c r="D2039" s="2" t="str">
        <f t="shared" si="30"/>
        <v>Error?</v>
      </c>
    </row>
    <row r="2040" spans="1:4" x14ac:dyDescent="0.2">
      <c r="A2040" s="5">
        <v>1979</v>
      </c>
      <c r="B2040" s="138">
        <f>'Cap Outlay Deprec 26'!I10</f>
        <v>8435</v>
      </c>
      <c r="D2040" s="2" t="str">
        <f t="shared" si="30"/>
        <v>Error?</v>
      </c>
    </row>
    <row r="2041" spans="1:4" x14ac:dyDescent="0.2">
      <c r="A2041" s="5">
        <v>1980</v>
      </c>
      <c r="B2041" s="138">
        <f>'Cap Outlay Deprec 26'!I12</f>
        <v>57848</v>
      </c>
      <c r="D2041" s="2" t="str">
        <f t="shared" si="30"/>
        <v>Error?</v>
      </c>
    </row>
    <row r="2042" spans="1:4" x14ac:dyDescent="0.2">
      <c r="A2042" s="5">
        <v>1981</v>
      </c>
      <c r="B2042" s="138">
        <f>'Cap Outlay Deprec 26'!I13</f>
        <v>72059</v>
      </c>
      <c r="D2042" s="2" t="str">
        <f t="shared" si="30"/>
        <v>Error?</v>
      </c>
    </row>
    <row r="2043" spans="1:4" x14ac:dyDescent="0.2">
      <c r="A2043" s="5">
        <v>1982</v>
      </c>
      <c r="B2043" s="138">
        <f>'Cap Outlay Deprec 26'!I16</f>
        <v>548037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25262</v>
      </c>
      <c r="D2048" s="2" t="str">
        <f t="shared" si="31"/>
        <v>Error?</v>
      </c>
    </row>
    <row r="2049" spans="1:4" x14ac:dyDescent="0.2">
      <c r="A2049" s="5">
        <v>1988</v>
      </c>
      <c r="B2049" s="138">
        <f>'Cap Outlay Deprec 26'!J16</f>
        <v>25262</v>
      </c>
      <c r="C2049" s="2" t="s">
        <v>594</v>
      </c>
      <c r="D2049" s="2" t="str">
        <f t="shared" si="31"/>
        <v>Error?</v>
      </c>
    </row>
    <row r="2050" spans="1:4" x14ac:dyDescent="0.2">
      <c r="A2050" s="10">
        <v>1989</v>
      </c>
      <c r="D2050" s="2" t="str">
        <f t="shared" si="31"/>
        <v>OK</v>
      </c>
    </row>
    <row r="2051" spans="1:4" x14ac:dyDescent="0.2">
      <c r="A2051" s="5">
        <v>1990</v>
      </c>
      <c r="B2051" s="138">
        <f>'Cap Outlay Deprec 26'!K8</f>
        <v>8194369</v>
      </c>
      <c r="C2051" s="2" t="s">
        <v>594</v>
      </c>
      <c r="D2051" s="2" t="str">
        <f t="shared" si="31"/>
        <v>Error?</v>
      </c>
    </row>
    <row r="2052" spans="1:4" x14ac:dyDescent="0.2">
      <c r="A2052" s="5">
        <v>1991</v>
      </c>
      <c r="B2052" s="138">
        <f>'Cap Outlay Deprec 26'!K10</f>
        <v>356338</v>
      </c>
      <c r="C2052" s="2" t="s">
        <v>594</v>
      </c>
      <c r="D2052" s="2" t="str">
        <f t="shared" si="31"/>
        <v>Error?</v>
      </c>
    </row>
    <row r="2053" spans="1:4" x14ac:dyDescent="0.2">
      <c r="A2053" s="5">
        <v>1992</v>
      </c>
      <c r="B2053" s="138">
        <f>'Cap Outlay Deprec 26'!K12</f>
        <v>1530989</v>
      </c>
      <c r="C2053" s="2" t="s">
        <v>594</v>
      </c>
      <c r="D2053" s="2" t="str">
        <f t="shared" si="31"/>
        <v>Error?</v>
      </c>
    </row>
    <row r="2054" spans="1:4" x14ac:dyDescent="0.2">
      <c r="A2054" s="5">
        <v>1993</v>
      </c>
      <c r="B2054" s="138">
        <f>'Cap Outlay Deprec 26'!K13</f>
        <v>615683</v>
      </c>
      <c r="C2054" s="2" t="s">
        <v>594</v>
      </c>
      <c r="D2054" s="2" t="str">
        <f t="shared" si="31"/>
        <v>Error?</v>
      </c>
    </row>
    <row r="2055" spans="1:4" x14ac:dyDescent="0.2">
      <c r="A2055" s="5">
        <v>1994</v>
      </c>
      <c r="B2055" s="138">
        <f>'Cap Outlay Deprec 26'!K16</f>
        <v>10697379</v>
      </c>
      <c r="C2055" s="2" t="s">
        <v>594</v>
      </c>
      <c r="D2055" s="2" t="str">
        <f t="shared" si="31"/>
        <v>Error?</v>
      </c>
    </row>
    <row r="2056" spans="1:4" x14ac:dyDescent="0.2">
      <c r="A2056" s="5">
        <v>1995</v>
      </c>
      <c r="B2056" s="138">
        <f>'Cap Outlay Deprec 26'!L5</f>
        <v>57292</v>
      </c>
      <c r="C2056" s="2" t="s">
        <v>594</v>
      </c>
      <c r="D2056" s="2" t="str">
        <f t="shared" si="31"/>
        <v>Error?</v>
      </c>
    </row>
    <row r="2057" spans="1:4" x14ac:dyDescent="0.2">
      <c r="A2057" s="5">
        <v>1996</v>
      </c>
      <c r="B2057" s="138">
        <f>'Cap Outlay Deprec 26'!L8</f>
        <v>9184960</v>
      </c>
      <c r="C2057" s="2" t="s">
        <v>594</v>
      </c>
      <c r="D2057" s="2" t="str">
        <f t="shared" si="31"/>
        <v>Error?</v>
      </c>
    </row>
    <row r="2058" spans="1:4" x14ac:dyDescent="0.2">
      <c r="A2058" s="5">
        <v>1997</v>
      </c>
      <c r="B2058" s="138">
        <f>'Cap Outlay Deprec 26'!L10</f>
        <v>42575</v>
      </c>
      <c r="C2058" s="2" t="s">
        <v>594</v>
      </c>
      <c r="D2058" s="2" t="str">
        <f t="shared" si="31"/>
        <v>Error?</v>
      </c>
    </row>
    <row r="2059" spans="1:4" x14ac:dyDescent="0.2">
      <c r="A2059" s="5">
        <v>1998</v>
      </c>
      <c r="B2059" s="138">
        <f>'Cap Outlay Deprec 26'!L12</f>
        <v>433771</v>
      </c>
      <c r="C2059" s="2" t="s">
        <v>594</v>
      </c>
      <c r="D2059" s="2" t="str">
        <f t="shared" si="31"/>
        <v>Error?</v>
      </c>
    </row>
    <row r="2060" spans="1:4" x14ac:dyDescent="0.2">
      <c r="A2060" s="5">
        <v>1999</v>
      </c>
      <c r="B2060" s="138">
        <f>'Cap Outlay Deprec 26'!L13</f>
        <v>381201</v>
      </c>
      <c r="C2060" s="2" t="s">
        <v>594</v>
      </c>
      <c r="D2060" s="2" t="str">
        <f t="shared" si="31"/>
        <v>Error?</v>
      </c>
    </row>
    <row r="2061" spans="1:4" x14ac:dyDescent="0.2">
      <c r="A2061" s="5">
        <v>2000</v>
      </c>
      <c r="B2061" s="138">
        <f>'Cap Outlay Deprec 26'!L16</f>
        <v>10099799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371691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377586</v>
      </c>
      <c r="C2088" s="2" t="s">
        <v>594</v>
      </c>
      <c r="D2088" s="2" t="str">
        <f t="shared" si="31"/>
        <v>Error?</v>
      </c>
    </row>
    <row r="2089" spans="1:4" x14ac:dyDescent="0.2">
      <c r="A2089" s="5">
        <v>2028</v>
      </c>
      <c r="B2089" s="138">
        <f>'Expenditures 15-22'!K92</f>
        <v>274361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4250000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5219763</v>
      </c>
      <c r="C2551" s="2" t="s">
        <v>594</v>
      </c>
      <c r="D2551" s="2" t="str">
        <f t="shared" si="38"/>
        <v>Error?</v>
      </c>
    </row>
    <row r="2552" spans="1:4" x14ac:dyDescent="0.2">
      <c r="A2552" s="10">
        <v>2491</v>
      </c>
      <c r="D2552" s="2" t="str">
        <f t="shared" si="38"/>
        <v>OK</v>
      </c>
    </row>
    <row r="2553" spans="1:4" x14ac:dyDescent="0.2">
      <c r="A2553" s="5">
        <v>2492</v>
      </c>
      <c r="B2553" s="138">
        <f>'Acct Summary 7-8'!C6</f>
        <v>1699919</v>
      </c>
      <c r="C2553" s="2" t="s">
        <v>594</v>
      </c>
      <c r="D2553" s="2" t="str">
        <f t="shared" si="38"/>
        <v>Error?</v>
      </c>
    </row>
    <row r="2554" spans="1:4" x14ac:dyDescent="0.2">
      <c r="A2554" s="5">
        <v>2493</v>
      </c>
      <c r="B2554" s="138">
        <f>'Acct Summary 7-8'!C7</f>
        <v>717115</v>
      </c>
      <c r="C2554" s="2" t="s">
        <v>594</v>
      </c>
      <c r="D2554" s="2" t="str">
        <f t="shared" si="38"/>
        <v>Error?</v>
      </c>
    </row>
    <row r="2555" spans="1:4" x14ac:dyDescent="0.2">
      <c r="A2555" s="5">
        <v>2494</v>
      </c>
      <c r="B2555" s="138">
        <f>'Acct Summary 7-8'!C8</f>
        <v>7636797</v>
      </c>
      <c r="C2555" s="2" t="s">
        <v>594</v>
      </c>
      <c r="D2555" s="2" t="str">
        <f t="shared" si="38"/>
        <v>Error?</v>
      </c>
    </row>
    <row r="2556" spans="1:4" x14ac:dyDescent="0.2">
      <c r="A2556" s="5">
        <v>2495</v>
      </c>
      <c r="B2556" s="138">
        <f>'Acct Summary 7-8'!C12</f>
        <v>5370399</v>
      </c>
      <c r="C2556" s="2" t="s">
        <v>594</v>
      </c>
      <c r="D2556" s="2" t="str">
        <f t="shared" si="38"/>
        <v>Error?</v>
      </c>
    </row>
    <row r="2557" spans="1:4" x14ac:dyDescent="0.2">
      <c r="A2557" s="5">
        <v>2496</v>
      </c>
      <c r="B2557" s="138">
        <f>'Acct Summary 7-8'!C13</f>
        <v>2884849</v>
      </c>
      <c r="C2557" s="2" t="s">
        <v>594</v>
      </c>
      <c r="D2557" s="2" t="str">
        <f t="shared" si="38"/>
        <v>Error?</v>
      </c>
    </row>
    <row r="2558" spans="1:4" x14ac:dyDescent="0.2">
      <c r="A2558" s="5">
        <v>2497</v>
      </c>
      <c r="B2558" s="138">
        <f>'Acct Summary 7-8'!C14</f>
        <v>11109</v>
      </c>
      <c r="C2558" s="2" t="s">
        <v>594</v>
      </c>
      <c r="D2558" s="2" t="str">
        <f t="shared" si="38"/>
        <v>Error?</v>
      </c>
    </row>
    <row r="2559" spans="1:4" x14ac:dyDescent="0.2">
      <c r="A2559" s="5">
        <v>2498</v>
      </c>
      <c r="B2559" s="138">
        <f>'Acct Summary 7-8'!C15</f>
        <v>651947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8918304</v>
      </c>
      <c r="C2561" s="2" t="s">
        <v>594</v>
      </c>
      <c r="D2561" s="2" t="str">
        <f t="shared" si="39"/>
        <v>Error?</v>
      </c>
    </row>
    <row r="2562" spans="1:4" x14ac:dyDescent="0.2">
      <c r="A2562" s="5">
        <v>2501</v>
      </c>
      <c r="B2562" s="138">
        <f>'Acct Summary 7-8'!C20</f>
        <v>-1281507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1013749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1013749</v>
      </c>
      <c r="C2568" s="2" t="s">
        <v>594</v>
      </c>
      <c r="D2568" s="2" t="str">
        <f t="shared" si="39"/>
        <v>Error?</v>
      </c>
    </row>
    <row r="2569" spans="1:4" x14ac:dyDescent="0.2">
      <c r="A2569" s="5">
        <v>2508</v>
      </c>
      <c r="B2569" s="138">
        <f>'Acct Summary 7-8'!D13</f>
        <v>863786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863786</v>
      </c>
      <c r="C2573" s="2" t="s">
        <v>594</v>
      </c>
      <c r="D2573" s="2" t="str">
        <f t="shared" si="39"/>
        <v>Error?</v>
      </c>
    </row>
    <row r="2574" spans="1:4" x14ac:dyDescent="0.2">
      <c r="A2574" s="5">
        <v>2513</v>
      </c>
      <c r="B2574" s="138">
        <f>'Acct Summary 7-8'!D20</f>
        <v>149963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251041</v>
      </c>
      <c r="C2591" s="2" t="s">
        <v>594</v>
      </c>
      <c r="D2591" s="2" t="str">
        <f t="shared" si="39"/>
        <v>Error?</v>
      </c>
    </row>
    <row r="2592" spans="1:4" x14ac:dyDescent="0.2">
      <c r="A2592" s="10">
        <v>2531</v>
      </c>
      <c r="D2592" s="2" t="str">
        <f t="shared" si="39"/>
        <v>OK</v>
      </c>
    </row>
    <row r="2593" spans="1:4" x14ac:dyDescent="0.2">
      <c r="A2593" s="5">
        <v>2532</v>
      </c>
      <c r="B2593" s="138">
        <f>'Acct Summary 7-8'!F6</f>
        <v>390778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641819</v>
      </c>
      <c r="C2595" s="2" t="s">
        <v>594</v>
      </c>
      <c r="D2595" s="2" t="str">
        <f t="shared" si="39"/>
        <v>Error?</v>
      </c>
    </row>
    <row r="2596" spans="1:4" x14ac:dyDescent="0.2">
      <c r="A2596" s="5">
        <v>2535</v>
      </c>
      <c r="B2596" s="138">
        <f>'Acct Summary 7-8'!F13</f>
        <v>640821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640821</v>
      </c>
      <c r="C2600" s="2" t="s">
        <v>594</v>
      </c>
      <c r="D2600" s="2" t="str">
        <f t="shared" si="39"/>
        <v>Error?</v>
      </c>
    </row>
    <row r="2601" spans="1:4" x14ac:dyDescent="0.2">
      <c r="A2601" s="5">
        <v>2540</v>
      </c>
      <c r="B2601" s="138">
        <f>'Acct Summary 7-8'!F20</f>
        <v>998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385675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385675</v>
      </c>
      <c r="C2606" s="2" t="s">
        <v>594</v>
      </c>
      <c r="D2606" s="2" t="str">
        <f t="shared" si="39"/>
        <v>Error?</v>
      </c>
    </row>
    <row r="2607" spans="1:4" x14ac:dyDescent="0.2">
      <c r="A2607" s="5">
        <v>2546</v>
      </c>
      <c r="B2607" s="138">
        <f>'Acct Summary 7-8'!G12</f>
        <v>168054</v>
      </c>
      <c r="C2607" s="2" t="s">
        <v>594</v>
      </c>
      <c r="D2607" s="2" t="str">
        <f t="shared" si="39"/>
        <v>Error?</v>
      </c>
    </row>
    <row r="2608" spans="1:4" x14ac:dyDescent="0.2">
      <c r="A2608" s="5">
        <v>2547</v>
      </c>
      <c r="B2608" s="138">
        <f>'Acct Summary 7-8'!G13</f>
        <v>250421</v>
      </c>
      <c r="C2608" s="2" t="s">
        <v>594</v>
      </c>
      <c r="D2608" s="2" t="str">
        <f t="shared" si="39"/>
        <v>Error?</v>
      </c>
    </row>
    <row r="2609" spans="1:4" x14ac:dyDescent="0.2">
      <c r="A2609" s="5">
        <v>2548</v>
      </c>
      <c r="B2609" s="138">
        <f>'Acct Summary 7-8'!G14</f>
        <v>379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418854</v>
      </c>
      <c r="C2612" s="2" t="s">
        <v>594</v>
      </c>
      <c r="D2612" s="2" t="str">
        <f t="shared" si="39"/>
        <v>Error?</v>
      </c>
    </row>
    <row r="2613" spans="1:4" x14ac:dyDescent="0.2">
      <c r="A2613" s="5">
        <v>2552</v>
      </c>
      <c r="B2613" s="138">
        <f>'Acct Summary 7-8'!G20</f>
        <v>-33179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1703239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1703239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1707303</v>
      </c>
      <c r="C2634" s="2" t="s">
        <v>594</v>
      </c>
      <c r="D2634" s="2" t="str">
        <f t="shared" si="40"/>
        <v>Error?</v>
      </c>
    </row>
    <row r="2635" spans="1:4" x14ac:dyDescent="0.2">
      <c r="A2635" s="5">
        <v>2574</v>
      </c>
      <c r="B2635" s="138">
        <f>'Acct Summary 7-8'!E17</f>
        <v>1707303</v>
      </c>
      <c r="C2635" s="2" t="s">
        <v>594</v>
      </c>
      <c r="D2635" s="2" t="str">
        <f t="shared" si="40"/>
        <v>Error?</v>
      </c>
    </row>
    <row r="2636" spans="1:4" x14ac:dyDescent="0.2">
      <c r="A2636" s="5">
        <v>2575</v>
      </c>
      <c r="B2636" s="138">
        <f>'Acct Summary 7-8'!E20</f>
        <v>-4064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46</v>
      </c>
      <c r="D2718" s="2" t="str">
        <f t="shared" si="41"/>
        <v>Error?</v>
      </c>
    </row>
    <row r="2719" spans="1:4" x14ac:dyDescent="0.2">
      <c r="A2719" s="5">
        <v>2658</v>
      </c>
      <c r="B2719" s="138">
        <f>'Expenditures 15-22'!D51</f>
        <v>10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56</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5895</v>
      </c>
      <c r="C2789" s="2" t="s">
        <v>594</v>
      </c>
      <c r="D2789" s="2" t="str">
        <f t="shared" si="42"/>
        <v>Error?</v>
      </c>
    </row>
    <row r="2790" spans="1:4" x14ac:dyDescent="0.2">
      <c r="A2790" s="5">
        <v>2729</v>
      </c>
      <c r="B2790" s="138">
        <f>'Expenditures 15-22'!E102</f>
        <v>5895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4038595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46908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4038595</v>
      </c>
      <c r="D2912" s="2" t="str">
        <f t="shared" si="44"/>
        <v>Error?</v>
      </c>
    </row>
    <row r="2913" spans="1:4" x14ac:dyDescent="0.2">
      <c r="A2913" s="5">
        <v>2852</v>
      </c>
      <c r="B2913" s="138">
        <f>'Assets-Liab 5-6'!I41</f>
        <v>4038595</v>
      </c>
      <c r="C2913" s="2" t="s">
        <v>594</v>
      </c>
      <c r="D2913" s="2" t="str">
        <f t="shared" si="44"/>
        <v>Error?</v>
      </c>
    </row>
    <row r="2914" spans="1:4" x14ac:dyDescent="0.2">
      <c r="A2914" s="5">
        <v>2853</v>
      </c>
      <c r="B2914" s="138">
        <f>'Assets-Liab 5-6'!L33</f>
        <v>46908</v>
      </c>
      <c r="D2914" s="2" t="str">
        <f t="shared" si="44"/>
        <v>Error?</v>
      </c>
    </row>
    <row r="2915" spans="1:4" x14ac:dyDescent="0.2">
      <c r="A2915" s="10">
        <v>2854</v>
      </c>
      <c r="D2915" s="2" t="str">
        <f t="shared" si="44"/>
        <v>OK</v>
      </c>
    </row>
    <row r="2916" spans="1:4" x14ac:dyDescent="0.2">
      <c r="A2916" s="5">
        <v>2855</v>
      </c>
      <c r="B2916" s="138">
        <f>'Assets-Liab 5-6'!L34</f>
        <v>46908</v>
      </c>
      <c r="C2916" s="2" t="s">
        <v>594</v>
      </c>
      <c r="D2916" s="2" t="str">
        <f t="shared" si="44"/>
        <v>Error?</v>
      </c>
    </row>
    <row r="2917" spans="1:4" x14ac:dyDescent="0.2">
      <c r="A2917" s="5">
        <v>2856</v>
      </c>
      <c r="B2917" s="138">
        <f>'Assets-Liab 5-6'!L41</f>
        <v>46908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5895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371691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377586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5465</v>
      </c>
      <c r="D3055" s="2" t="str">
        <f t="shared" si="46"/>
        <v>Error?</v>
      </c>
    </row>
    <row r="3056" spans="1:4" x14ac:dyDescent="0.2">
      <c r="A3056" s="5">
        <v>2995</v>
      </c>
      <c r="B3056" s="138">
        <f>'Expenditures 15-22'!D10</f>
        <v>80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5545</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116881</v>
      </c>
      <c r="C3225" s="2" t="s">
        <v>594</v>
      </c>
      <c r="D3225" s="2" t="str">
        <f t="shared" si="49"/>
        <v>Error?</v>
      </c>
    </row>
    <row r="3226" spans="1:4" x14ac:dyDescent="0.2">
      <c r="A3226" s="5">
        <v>3165</v>
      </c>
      <c r="B3226" s="138">
        <f>'Acct Summary 7-8'!I8</f>
        <v>116881</v>
      </c>
      <c r="C3226" s="2" t="s">
        <v>594</v>
      </c>
      <c r="D3226" s="2" t="str">
        <f t="shared" si="49"/>
        <v>Error?</v>
      </c>
    </row>
    <row r="3227" spans="1:4" x14ac:dyDescent="0.2">
      <c r="A3227" s="5">
        <v>3166</v>
      </c>
      <c r="B3227" s="138">
        <f>'Acct Summary 7-8'!I20</f>
        <v>116881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4250000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4250000</v>
      </c>
      <c r="C3232" s="2" t="s">
        <v>594</v>
      </c>
      <c r="D3232" s="2" t="str">
        <f t="shared" si="49"/>
        <v>Error?</v>
      </c>
    </row>
    <row r="3233" spans="1:4" x14ac:dyDescent="0.2">
      <c r="A3233" s="5">
        <v>3172</v>
      </c>
      <c r="B3233" s="138">
        <f>'Acct Summary 7-8'!C78</f>
        <v>2968493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149963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998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-33179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-4064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4250000</v>
      </c>
      <c r="C3318" s="2" t="s">
        <v>594</v>
      </c>
      <c r="D3318" s="2" t="str">
        <f t="shared" si="50"/>
        <v>Error?</v>
      </c>
    </row>
    <row r="3319" spans="1:4" x14ac:dyDescent="0.2">
      <c r="A3319" s="5">
        <v>3258</v>
      </c>
      <c r="B3319" s="138">
        <f>'Acct Summary 7-8'!I77</f>
        <v>-4250000</v>
      </c>
      <c r="C3319" s="2" t="s">
        <v>594</v>
      </c>
      <c r="D3319" s="2" t="str">
        <f t="shared" si="50"/>
        <v>Error?</v>
      </c>
    </row>
    <row r="3320" spans="1:4" x14ac:dyDescent="0.2">
      <c r="A3320" s="5">
        <v>3259</v>
      </c>
      <c r="B3320" s="138">
        <f>'Acct Summary 7-8'!I78</f>
        <v>-4133119</v>
      </c>
      <c r="C3320" s="2" t="s">
        <v>594</v>
      </c>
      <c r="D3320" s="2" t="str">
        <f t="shared" si="50"/>
        <v>Error?</v>
      </c>
    </row>
    <row r="3321" spans="1:4" x14ac:dyDescent="0.2">
      <c r="A3321" s="5">
        <v>3260</v>
      </c>
      <c r="B3321" s="138">
        <f>'Acct Summary 7-8'!I79</f>
        <v>8171714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4038595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1289871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171402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16677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1479381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56080</v>
      </c>
      <c r="D3387" s="2" t="str">
        <f t="shared" si="51"/>
        <v>Error?</v>
      </c>
    </row>
    <row r="3388" spans="1:4" x14ac:dyDescent="0.2">
      <c r="A3388" s="5">
        <v>3327</v>
      </c>
      <c r="B3388" s="138">
        <f>'Expenditures 15-22'!D217</f>
        <v>103080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56080</v>
      </c>
      <c r="C3390" s="2" t="s">
        <v>594</v>
      </c>
      <c r="D3390" s="2" t="str">
        <f t="shared" si="51"/>
        <v>Error?</v>
      </c>
    </row>
    <row r="3391" spans="1:4" x14ac:dyDescent="0.2">
      <c r="A3391" s="5">
        <v>3330</v>
      </c>
      <c r="B3391" s="138">
        <f>'Expenditures 15-22'!K217</f>
        <v>103080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253991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788183</v>
      </c>
      <c r="D3417" s="2" t="str">
        <f t="shared" si="52"/>
        <v>Error?</v>
      </c>
    </row>
    <row r="3418" spans="1:4" x14ac:dyDescent="0.2">
      <c r="A3418" s="10">
        <v>3357</v>
      </c>
      <c r="D3418" s="2" t="str">
        <f t="shared" si="52"/>
        <v>OK</v>
      </c>
    </row>
    <row r="3419" spans="1:4" x14ac:dyDescent="0.2">
      <c r="A3419" s="5">
        <v>3358</v>
      </c>
      <c r="B3419" s="138">
        <f>'Assets-Liab 5-6'!F4</f>
        <v>94580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1485414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46908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176159</v>
      </c>
      <c r="C3446" s="2" t="s">
        <v>594</v>
      </c>
      <c r="D3446" s="2" t="str">
        <f t="shared" si="52"/>
        <v>Error?</v>
      </c>
    </row>
    <row r="3447" spans="1:4" x14ac:dyDescent="0.2">
      <c r="A3447" s="5">
        <v>3386</v>
      </c>
      <c r="B3447" s="138">
        <f>'Tax Sched 23'!D16</f>
        <v>111693</v>
      </c>
      <c r="C3447" s="2" t="s">
        <v>594</v>
      </c>
      <c r="D3447" s="2" t="str">
        <f t="shared" si="52"/>
        <v>Error?</v>
      </c>
    </row>
    <row r="3448" spans="1:4" x14ac:dyDescent="0.2">
      <c r="A3448" s="5">
        <v>3387</v>
      </c>
      <c r="B3448" s="138">
        <f>'Tax Sched 23'!C16</f>
        <v>64466</v>
      </c>
      <c r="D3448" s="2" t="str">
        <f t="shared" si="52"/>
        <v>Error?</v>
      </c>
    </row>
    <row r="3449" spans="1:4" x14ac:dyDescent="0.2">
      <c r="A3449" s="5">
        <v>3388</v>
      </c>
      <c r="B3449" s="138">
        <f>'Tax Sched 23'!F16</f>
        <v>66440</v>
      </c>
      <c r="C3449" s="2" t="s">
        <v>594</v>
      </c>
      <c r="D3449" s="2" t="str">
        <f t="shared" si="52"/>
        <v>Error?</v>
      </c>
    </row>
    <row r="3450" spans="1:4" x14ac:dyDescent="0.2">
      <c r="A3450" s="5">
        <v>3389</v>
      </c>
      <c r="B3450" s="138">
        <f>'Tax Sched 23'!E16</f>
        <v>130906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3490594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11127391</v>
      </c>
      <c r="C4122" s="2" t="s">
        <v>594</v>
      </c>
      <c r="D4122" s="2" t="str">
        <f t="shared" si="63"/>
        <v>Error?</v>
      </c>
    </row>
    <row r="4123" spans="1:4" x14ac:dyDescent="0.2">
      <c r="A4123" s="5">
        <v>4062</v>
      </c>
      <c r="B4123" s="138">
        <f>'Acct Summary 7-8'!D10</f>
        <v>1013749</v>
      </c>
      <c r="C4123" s="2" t="s">
        <v>594</v>
      </c>
      <c r="D4123" s="2" t="str">
        <f t="shared" si="63"/>
        <v>Error?</v>
      </c>
    </row>
    <row r="4124" spans="1:4" x14ac:dyDescent="0.2">
      <c r="A4124" s="5">
        <v>4063</v>
      </c>
      <c r="B4124" s="138">
        <f>'Acct Summary 7-8'!E10</f>
        <v>1703239</v>
      </c>
      <c r="C4124" s="2" t="s">
        <v>594</v>
      </c>
      <c r="D4124" s="2" t="str">
        <f t="shared" si="63"/>
        <v>Error?</v>
      </c>
    </row>
    <row r="4125" spans="1:4" x14ac:dyDescent="0.2">
      <c r="A4125" s="5">
        <v>4064</v>
      </c>
      <c r="B4125" s="138">
        <f>'Acct Summary 7-8'!F10</f>
        <v>641819</v>
      </c>
      <c r="C4125" s="2" t="s">
        <v>594</v>
      </c>
      <c r="D4125" s="2" t="str">
        <f t="shared" si="63"/>
        <v>Error?</v>
      </c>
    </row>
    <row r="4126" spans="1:4" x14ac:dyDescent="0.2">
      <c r="A4126" s="5">
        <v>4065</v>
      </c>
      <c r="B4126" s="138">
        <f>'Acct Summary 7-8'!G10</f>
        <v>385675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116881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3490594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12408898</v>
      </c>
      <c r="C4136" s="2" t="s">
        <v>594</v>
      </c>
      <c r="D4136" s="2" t="str">
        <f t="shared" si="63"/>
        <v>Error?</v>
      </c>
    </row>
    <row r="4137" spans="1:4" x14ac:dyDescent="0.2">
      <c r="A4137" s="5">
        <v>4076</v>
      </c>
      <c r="B4137" s="138">
        <f>'Acct Summary 7-8'!D19</f>
        <v>863786</v>
      </c>
      <c r="C4137" s="2" t="s">
        <v>594</v>
      </c>
      <c r="D4137" s="2" t="str">
        <f t="shared" si="63"/>
        <v>Error?</v>
      </c>
    </row>
    <row r="4138" spans="1:4" x14ac:dyDescent="0.2">
      <c r="A4138" s="5">
        <v>4077</v>
      </c>
      <c r="B4138" s="138">
        <f>'Acct Summary 7-8'!E19</f>
        <v>1707303</v>
      </c>
      <c r="C4138" s="2" t="s">
        <v>594</v>
      </c>
      <c r="D4138" s="2" t="str">
        <f t="shared" si="63"/>
        <v>Error?</v>
      </c>
    </row>
    <row r="4139" spans="1:4" x14ac:dyDescent="0.2">
      <c r="A4139" s="5">
        <v>4078</v>
      </c>
      <c r="B4139" s="138">
        <f>'Acct Summary 7-8'!F19</f>
        <v>640821</v>
      </c>
      <c r="C4139" s="2" t="s">
        <v>594</v>
      </c>
      <c r="D4139" s="2" t="str">
        <f t="shared" si="63"/>
        <v>Error?</v>
      </c>
    </row>
    <row r="4140" spans="1:4" x14ac:dyDescent="0.2">
      <c r="A4140" s="5">
        <v>4079</v>
      </c>
      <c r="B4140" s="138">
        <f>'Acct Summary 7-8'!G19</f>
        <v>418854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4494787</v>
      </c>
      <c r="C4171" s="2" t="s">
        <v>594</v>
      </c>
      <c r="D4171" s="2" t="str">
        <f t="shared" si="64"/>
        <v>Error?</v>
      </c>
    </row>
    <row r="4172" spans="1:4" x14ac:dyDescent="0.2">
      <c r="A4172" s="5">
        <v>4111</v>
      </c>
      <c r="B4172" s="138">
        <f>'Short-Term Long-Term Debt 24'!J49</f>
        <v>3706604</v>
      </c>
      <c r="C4172" s="2" t="s">
        <v>594</v>
      </c>
      <c r="D4172" s="2" t="str">
        <f t="shared" si="64"/>
        <v>Error?</v>
      </c>
    </row>
    <row r="4173" spans="1:4" x14ac:dyDescent="0.2">
      <c r="A4173" s="5">
        <v>4112</v>
      </c>
      <c r="B4173" s="138">
        <f>'Short-Term Long-Term Debt 24'!H49</f>
        <v>1372579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2296.1</v>
      </c>
      <c r="C4265" s="2" t="s">
        <v>594</v>
      </c>
      <c r="D4265" s="2" t="str">
        <f t="shared" si="65"/>
        <v>Error?</v>
      </c>
      <c r="E4265" s="128"/>
    </row>
    <row r="4266" spans="1:5" x14ac:dyDescent="0.2">
      <c r="A4266" s="12">
        <v>4205</v>
      </c>
      <c r="B4266" s="138">
        <f>('FP Info 3'!F10)*100000</f>
        <v>481.67599999999999</v>
      </c>
      <c r="C4266" s="2" t="s">
        <v>594</v>
      </c>
      <c r="D4266" s="2" t="str">
        <f t="shared" si="65"/>
        <v>Error?</v>
      </c>
      <c r="E4266" s="128"/>
    </row>
    <row r="4267" spans="1:5" x14ac:dyDescent="0.2">
      <c r="A4267" s="12">
        <v>4206</v>
      </c>
      <c r="B4267" s="138">
        <f>('FP Info 3'!H10)*100000</f>
        <v>118.88499999999999</v>
      </c>
      <c r="C4267" s="2" t="s">
        <v>594</v>
      </c>
      <c r="D4267" s="2" t="str">
        <f t="shared" si="65"/>
        <v>Error?</v>
      </c>
      <c r="E4267" s="128"/>
    </row>
    <row r="4268" spans="1:5" x14ac:dyDescent="0.2">
      <c r="A4268" s="12">
        <v>4207</v>
      </c>
      <c r="B4268" s="138">
        <f>('FP Info 3'!J10)*100000</f>
        <v>2897</v>
      </c>
      <c r="C4268" s="2" t="s">
        <v>594</v>
      </c>
      <c r="D4268" s="2" t="str">
        <f t="shared" si="65"/>
        <v>Error?</v>
      </c>
    </row>
    <row r="4269" spans="1:5" x14ac:dyDescent="0.2">
      <c r="A4269" s="12">
        <v>4208</v>
      </c>
      <c r="B4269" s="138">
        <f>'FP Info 3'!J16</f>
        <v>1720658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11037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34186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17111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43.673999999999999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2500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208469235</v>
      </c>
      <c r="D4995" s="2" t="str">
        <f t="shared" si="77"/>
        <v>Error?</v>
      </c>
    </row>
    <row r="4996" spans="1:4" x14ac:dyDescent="0.2">
      <c r="A4996" s="12">
        <v>4935</v>
      </c>
      <c r="B4996" s="138">
        <f>'FP Info 3'!H31</f>
        <v>14384377.215000002</v>
      </c>
      <c r="D4996" s="2" t="str">
        <f t="shared" si="77"/>
        <v>Error?</v>
      </c>
    </row>
    <row r="4997" spans="1:4" x14ac:dyDescent="0.2">
      <c r="A4997" s="12">
        <v>4936</v>
      </c>
      <c r="B4997" s="138">
        <f>'FP Info 3'!H37</f>
        <v>4494787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4791465</v>
      </c>
      <c r="D5061" s="2" t="str">
        <f t="shared" si="78"/>
        <v>Error?</v>
      </c>
    </row>
    <row r="5062" spans="1:4" x14ac:dyDescent="0.2">
      <c r="A5062" s="10">
        <v>5001</v>
      </c>
      <c r="D5062" s="2" t="str">
        <f t="shared" si="78"/>
        <v>OK</v>
      </c>
    </row>
    <row r="5063" spans="1:4" x14ac:dyDescent="0.2">
      <c r="A5063" s="5">
        <v>5002</v>
      </c>
      <c r="B5063" s="138">
        <f>'Revenues 9-14'!C7</f>
        <v>83812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4875277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74986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74986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10994</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6335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17329</v>
      </c>
      <c r="C5087" s="2" t="s">
        <v>594</v>
      </c>
      <c r="D5087" s="2" t="str">
        <f t="shared" si="78"/>
        <v>Error?</v>
      </c>
    </row>
    <row r="5088" spans="1:4" x14ac:dyDescent="0.2">
      <c r="A5088" s="5">
        <v>5027</v>
      </c>
      <c r="B5088" s="138">
        <f>'Revenues 9-14'!C65</f>
        <v>1765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1765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2178</v>
      </c>
      <c r="D5092" s="2" t="str">
        <f t="shared" si="78"/>
        <v>Error?</v>
      </c>
    </row>
    <row r="5093" spans="1:4" x14ac:dyDescent="0.2">
      <c r="A5093" s="5">
        <v>5032</v>
      </c>
      <c r="B5093" s="138">
        <f>'Revenues 9-14'!C72</f>
        <v>827</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4026</v>
      </c>
      <c r="D5095" s="2" t="str">
        <f t="shared" si="78"/>
        <v>Error?</v>
      </c>
    </row>
    <row r="5096" spans="1:4" x14ac:dyDescent="0.2">
      <c r="A5096" s="5">
        <v>5035</v>
      </c>
      <c r="B5096" s="138">
        <f>'Revenues 9-14'!C75</f>
        <v>61692</v>
      </c>
      <c r="C5096" s="2" t="s">
        <v>594</v>
      </c>
      <c r="D5096" s="2" t="str">
        <f t="shared" si="78"/>
        <v>Error?</v>
      </c>
    </row>
    <row r="5097" spans="1:4" x14ac:dyDescent="0.2">
      <c r="A5097" s="5">
        <v>5036</v>
      </c>
      <c r="B5097" s="138">
        <f>'Revenues 9-14'!C77</f>
        <v>2923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39954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42877</v>
      </c>
      <c r="C5102" s="2" t="s">
        <v>594</v>
      </c>
      <c r="D5102" s="2" t="str">
        <f t="shared" si="78"/>
        <v>Error?</v>
      </c>
    </row>
    <row r="5103" spans="1:4" x14ac:dyDescent="0.2">
      <c r="A5103" s="5">
        <v>5042</v>
      </c>
      <c r="B5103" s="138">
        <f>'Revenues 9-14'!C84</f>
        <v>34747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34747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5752</v>
      </c>
      <c r="D5114" s="2" t="str">
        <f t="shared" si="78"/>
        <v>Error?</v>
      </c>
    </row>
    <row r="5115" spans="1:4" x14ac:dyDescent="0.2">
      <c r="A5115" s="5">
        <v>5054</v>
      </c>
      <c r="B5115" s="138">
        <f>'Revenues 9-14'!C98</f>
        <v>21174</v>
      </c>
      <c r="D5115" s="2" t="str">
        <f t="shared" si="78"/>
        <v>Error?</v>
      </c>
    </row>
    <row r="5116" spans="1:4" x14ac:dyDescent="0.2">
      <c r="A5116" s="5">
        <v>5055</v>
      </c>
      <c r="B5116" s="138">
        <f>'Revenues 9-14'!C99</f>
        <v>7444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76720</v>
      </c>
      <c r="D5119" s="2" t="str">
        <f t="shared" ref="D5119:D5182" si="79">IF(ISBLANK(B5119),"OK",IF(A5119-B5119=0,"OK","Error?"))</f>
        <v>Error?</v>
      </c>
    </row>
    <row r="5120" spans="1:4" x14ac:dyDescent="0.2">
      <c r="A5120" s="5">
        <v>5059</v>
      </c>
      <c r="B5120" s="138">
        <f>'Revenues 9-14'!C108</f>
        <v>111090</v>
      </c>
      <c r="C5120" s="2" t="s">
        <v>594</v>
      </c>
      <c r="D5120" s="2" t="str">
        <f t="shared" si="79"/>
        <v>Error?</v>
      </c>
    </row>
    <row r="5121" spans="1:4" x14ac:dyDescent="0.2">
      <c r="A5121" s="5">
        <v>5060</v>
      </c>
      <c r="B5121" s="138">
        <f>'Revenues 9-14'!C109</f>
        <v>5219763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1162776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1162776</v>
      </c>
      <c r="C5132" s="2" t="s">
        <v>594</v>
      </c>
      <c r="D5132" s="2" t="str">
        <f t="shared" si="79"/>
        <v>Error?</v>
      </c>
    </row>
    <row r="5133" spans="1:4" x14ac:dyDescent="0.2">
      <c r="A5133" s="5">
        <v>5072</v>
      </c>
      <c r="B5133" s="138">
        <f>'Revenues 9-14'!C124</f>
        <v>101275</v>
      </c>
      <c r="D5133" s="2" t="str">
        <f t="shared" si="79"/>
        <v>Error?</v>
      </c>
    </row>
    <row r="5134" spans="1:4" x14ac:dyDescent="0.2">
      <c r="A5134" s="5">
        <v>5073</v>
      </c>
      <c r="B5134" s="138">
        <f>'Revenues 9-14'!C125</f>
        <v>51441</v>
      </c>
      <c r="D5134" s="2" t="str">
        <f t="shared" si="79"/>
        <v>Error?</v>
      </c>
    </row>
    <row r="5135" spans="1:4" x14ac:dyDescent="0.2">
      <c r="A5135" s="5">
        <v>5074</v>
      </c>
      <c r="B5135" s="138">
        <f>'Revenues 9-14'!C126</f>
        <v>113024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1993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267733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3636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265024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537143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1699919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188881</v>
      </c>
      <c r="D5239" s="2" t="str">
        <f t="shared" si="80"/>
        <v>Error?</v>
      </c>
    </row>
    <row r="5240" spans="1:4" x14ac:dyDescent="0.2">
      <c r="A5240" s="5">
        <v>5179</v>
      </c>
      <c r="B5240" s="138">
        <f>'Revenues 9-14'!C195</f>
        <v>814</v>
      </c>
      <c r="D5240" s="2" t="str">
        <f t="shared" si="80"/>
        <v>Error?</v>
      </c>
    </row>
    <row r="5241" spans="1:4" x14ac:dyDescent="0.2">
      <c r="A5241" s="5">
        <v>5180</v>
      </c>
      <c r="B5241" s="138">
        <f>'Revenues 9-14'!C196</f>
        <v>52669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242364</v>
      </c>
      <c r="C5246" s="2" t="s">
        <v>594</v>
      </c>
      <c r="D5246" s="2" t="str">
        <f t="shared" si="80"/>
        <v>Error?</v>
      </c>
    </row>
    <row r="5247" spans="1:4" x14ac:dyDescent="0.2">
      <c r="A5247" s="5">
        <v>5186</v>
      </c>
      <c r="B5247" s="138">
        <f>'Revenues 9-14'!C203</f>
        <v>134939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134939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10392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264586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274978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717115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717115</v>
      </c>
      <c r="C5326" s="2" t="s">
        <v>594</v>
      </c>
      <c r="D5326" s="2" t="str">
        <f t="shared" si="82"/>
        <v>Error?</v>
      </c>
    </row>
    <row r="5327" spans="1:4" x14ac:dyDescent="0.2">
      <c r="A5327" s="5">
        <v>5266</v>
      </c>
      <c r="B5327" s="138">
        <f>'Revenues 9-14'!C275</f>
        <v>7636797</v>
      </c>
      <c r="C5327" s="2" t="s">
        <v>594</v>
      </c>
      <c r="D5327" s="2" t="str">
        <f t="shared" si="82"/>
        <v>Error?</v>
      </c>
    </row>
    <row r="5328" spans="1:4" x14ac:dyDescent="0.2">
      <c r="A5328" s="5">
        <v>5267</v>
      </c>
      <c r="B5328" s="138">
        <f>'Revenues 9-14'!D5</f>
        <v>1005167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1005167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4645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1103</v>
      </c>
      <c r="D5354" s="2" t="str">
        <f t="shared" si="82"/>
        <v>Error?</v>
      </c>
    </row>
    <row r="5355" spans="1:4" x14ac:dyDescent="0.2">
      <c r="A5355" s="5">
        <v>5294</v>
      </c>
      <c r="B5355" s="138">
        <f>'Revenues 9-14'!D108</f>
        <v>8156</v>
      </c>
      <c r="C5355" s="2" t="s">
        <v>594</v>
      </c>
      <c r="D5355" s="2" t="str">
        <f t="shared" si="82"/>
        <v>Error?</v>
      </c>
    </row>
    <row r="5356" spans="1:4" x14ac:dyDescent="0.2">
      <c r="A5356" s="5">
        <v>5295</v>
      </c>
      <c r="B5356" s="138">
        <f>'Revenues 9-14'!D109</f>
        <v>1013749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1013749</v>
      </c>
      <c r="C5508" s="2" t="s">
        <v>594</v>
      </c>
      <c r="D5508" s="2" t="str">
        <f t="shared" si="85"/>
        <v>Error?</v>
      </c>
    </row>
    <row r="5509" spans="1:4" x14ac:dyDescent="0.2">
      <c r="A5509" s="5">
        <v>5448</v>
      </c>
      <c r="B5509" s="138">
        <f>'Revenues 9-14'!E5</f>
        <v>1700846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1700846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2393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2393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1703239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1703239</v>
      </c>
      <c r="C5552" s="2" t="s">
        <v>594</v>
      </c>
      <c r="D5552" s="2" t="str">
        <f t="shared" si="85"/>
        <v>Error?</v>
      </c>
    </row>
    <row r="5553" spans="1:4" x14ac:dyDescent="0.2">
      <c r="A5553" s="5">
        <v>5492</v>
      </c>
      <c r="B5553" s="138">
        <f>'Revenues 9-14'!F5</f>
        <v>248086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248086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123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2432</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400</v>
      </c>
      <c r="D5586" s="2" t="str">
        <f t="shared" si="86"/>
        <v>Error?</v>
      </c>
    </row>
    <row r="5587" spans="1:4" x14ac:dyDescent="0.2">
      <c r="A5587" s="5">
        <v>5526</v>
      </c>
      <c r="B5587" s="138">
        <f>'Revenues 9-14'!F108</f>
        <v>2832</v>
      </c>
      <c r="C5587" s="2" t="s">
        <v>594</v>
      </c>
      <c r="D5587" s="2" t="str">
        <f t="shared" si="86"/>
        <v>Error?</v>
      </c>
    </row>
    <row r="5588" spans="1:4" x14ac:dyDescent="0.2">
      <c r="A5588" s="5">
        <v>5527</v>
      </c>
      <c r="B5588" s="138">
        <f>'Revenues 9-14'!F109</f>
        <v>251041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58082</v>
      </c>
      <c r="D5615" s="2" t="str">
        <f t="shared" si="86"/>
        <v>Error?</v>
      </c>
    </row>
    <row r="5616" spans="1:4" x14ac:dyDescent="0.2">
      <c r="A5616" s="10">
        <v>5555</v>
      </c>
      <c r="D5616" s="2" t="str">
        <f t="shared" si="86"/>
        <v>OK</v>
      </c>
    </row>
    <row r="5617" spans="1:4" x14ac:dyDescent="0.2">
      <c r="A5617" s="5">
        <v>5556</v>
      </c>
      <c r="B5617" s="138">
        <f>'Revenues 9-14'!F152</f>
        <v>332696</v>
      </c>
      <c r="D5617" s="2" t="str">
        <f t="shared" si="86"/>
        <v>Error?</v>
      </c>
    </row>
    <row r="5618" spans="1:4" x14ac:dyDescent="0.2">
      <c r="A5618" s="5">
        <v>5557</v>
      </c>
      <c r="B5618" s="138">
        <f>'Revenues 9-14'!F154</f>
        <v>390778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390778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390778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641819</v>
      </c>
      <c r="C5720" s="2" t="s">
        <v>594</v>
      </c>
      <c r="D5720" s="2" t="str">
        <f t="shared" si="88"/>
        <v>Error?</v>
      </c>
    </row>
    <row r="5721" spans="1:4" x14ac:dyDescent="0.2">
      <c r="A5721" s="5">
        <v>5660</v>
      </c>
      <c r="B5721" s="138">
        <f>'Revenues 9-14'!G5</f>
        <v>193281</v>
      </c>
      <c r="D5721" s="2" t="str">
        <f t="shared" si="88"/>
        <v>Error?</v>
      </c>
    </row>
    <row r="5722" spans="1:4" x14ac:dyDescent="0.2">
      <c r="A5722" s="5">
        <v>5661</v>
      </c>
      <c r="B5722" s="138">
        <f>'Revenues 9-14'!G7</f>
        <v>0</v>
      </c>
      <c r="D5722" s="2" t="str">
        <f t="shared" si="88"/>
        <v>Error?</v>
      </c>
    </row>
    <row r="5723" spans="1:4" x14ac:dyDescent="0.2">
      <c r="A5723" s="5">
        <v>5662</v>
      </c>
      <c r="B5723" s="138">
        <f>'Revenues 9-14'!G8</f>
        <v>176159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369440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16052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16052</v>
      </c>
      <c r="C5730" s="2" t="s">
        <v>594</v>
      </c>
      <c r="D5730" s="2" t="str">
        <f t="shared" si="88"/>
        <v>Error?</v>
      </c>
    </row>
    <row r="5731" spans="1:4" x14ac:dyDescent="0.2">
      <c r="A5731" s="5">
        <v>5670</v>
      </c>
      <c r="B5731" s="138">
        <f>'Revenues 9-14'!G65</f>
        <v>183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385675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91116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91116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25765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25765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116881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385675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116881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54661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689.15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2553181</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2536004</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17177</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2968493</v>
      </c>
      <c r="D6267" s="2" t="str">
        <f t="shared" si="96"/>
        <v>Error?</v>
      </c>
      <c r="E6267" s="2" t="s">
        <v>199</v>
      </c>
    </row>
    <row r="6268" spans="1:5" x14ac:dyDescent="0.2">
      <c r="A6268">
        <v>6207</v>
      </c>
      <c r="B6268" s="138">
        <f>'Acct Summary 7-8'!D82</f>
        <v>149963</v>
      </c>
      <c r="D6268" s="2" t="str">
        <f t="shared" si="96"/>
        <v>Error?</v>
      </c>
      <c r="E6268" s="2" t="s">
        <v>199</v>
      </c>
    </row>
    <row r="6269" spans="1:5" x14ac:dyDescent="0.2">
      <c r="A6269">
        <v>6208</v>
      </c>
      <c r="B6269" s="138">
        <f>'Acct Summary 7-8'!E82</f>
        <v>-4064</v>
      </c>
      <c r="D6269" s="2" t="str">
        <f t="shared" si="96"/>
        <v>Error?</v>
      </c>
      <c r="E6269" s="2" t="s">
        <v>199</v>
      </c>
    </row>
    <row r="6270" spans="1:5" x14ac:dyDescent="0.2">
      <c r="A6270">
        <v>6209</v>
      </c>
      <c r="B6270" s="138">
        <f>'Acct Summary 7-8'!F82</f>
        <v>998</v>
      </c>
      <c r="D6270" s="2" t="str">
        <f t="shared" si="96"/>
        <v>Error?</v>
      </c>
      <c r="E6270" s="2" t="s">
        <v>199</v>
      </c>
    </row>
    <row r="6271" spans="1:5" x14ac:dyDescent="0.2">
      <c r="A6271">
        <v>6210</v>
      </c>
      <c r="B6271" s="138">
        <f>'Acct Summary 7-8'!G82</f>
        <v>-33179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-4133119</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-1.1132511134412497</v>
      </c>
      <c r="D6276" s="2" t="str">
        <f t="shared" si="97"/>
        <v>Error?</v>
      </c>
      <c r="E6276" s="2" t="s">
        <v>199</v>
      </c>
    </row>
    <row r="6277" spans="1:5" x14ac:dyDescent="0.2">
      <c r="A6277">
        <v>6216</v>
      </c>
      <c r="B6277" s="138">
        <f>'Acct Summary 7-8'!D83</f>
        <v>0.59042643243264525</v>
      </c>
      <c r="D6277" s="2" t="str">
        <f t="shared" si="97"/>
        <v>Error?</v>
      </c>
      <c r="E6277" s="2" t="s">
        <v>199</v>
      </c>
    </row>
    <row r="6278" spans="1:5" x14ac:dyDescent="0.2">
      <c r="A6278">
        <v>6217</v>
      </c>
      <c r="B6278" s="138">
        <f>'Acct Summary 7-8'!E83</f>
        <v>-5.1561629723046549E-3</v>
      </c>
      <c r="D6278" s="2" t="str">
        <f t="shared" si="97"/>
        <v>Error?</v>
      </c>
      <c r="E6278" s="2" t="s">
        <v>199</v>
      </c>
    </row>
    <row r="6279" spans="1:5" x14ac:dyDescent="0.2">
      <c r="A6279">
        <v>6218</v>
      </c>
      <c r="B6279" s="138">
        <f>'Acct Summary 7-8'!F83</f>
        <v>1.0551913723831676E-2</v>
      </c>
      <c r="D6279" s="2" t="str">
        <f t="shared" si="97"/>
        <v>Error?</v>
      </c>
      <c r="E6279" s="2" t="s">
        <v>199</v>
      </c>
    </row>
    <row r="6280" spans="1:5" x14ac:dyDescent="0.2">
      <c r="A6280">
        <v>6219</v>
      </c>
      <c r="B6280" s="138">
        <f>'Acct Summary 7-8'!G83</f>
        <v>1.9315945741398381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-1.0234051693720216</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2325</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274361</v>
      </c>
      <c r="D6983" s="2" t="str">
        <f t="shared" si="108"/>
        <v>Error?</v>
      </c>
    </row>
    <row r="6984" spans="1:4" x14ac:dyDescent="0.2">
      <c r="A6984">
        <v>6923</v>
      </c>
      <c r="B6984" s="138">
        <f>'Expenditures 15-22'!K86</f>
        <v>274361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274361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548037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83812</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211031</v>
      </c>
      <c r="D7797" s="2" t="str">
        <f t="shared" si="127"/>
        <v>Error?</v>
      </c>
      <c r="E7797" s="4" t="s">
        <v>2019</v>
      </c>
    </row>
    <row r="7798" spans="1:5" x14ac:dyDescent="0.2">
      <c r="A7798">
        <v>7737</v>
      </c>
      <c r="B7798" s="138">
        <f>'Contracts Paid in CY 29'!F141</f>
        <v>75000</v>
      </c>
      <c r="D7798" s="2" t="str">
        <f t="shared" si="127"/>
        <v>Error?</v>
      </c>
      <c r="E7798" s="4" t="s">
        <v>2019</v>
      </c>
    </row>
    <row r="7799" spans="1:5" x14ac:dyDescent="0.2">
      <c r="A7799">
        <v>7738</v>
      </c>
      <c r="B7799" s="138">
        <f>'Contracts Paid in CY 29'!G141</f>
        <v>136031</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1799</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4" t="str">
        <f>COVER!A17</f>
        <v>Fox Lake GSD 114</v>
      </c>
      <c r="B7" s="2405"/>
      <c r="C7" s="2405"/>
      <c r="D7" s="2442"/>
      <c r="E7" s="2443">
        <f>COVER!A13</f>
        <v>34049114002</v>
      </c>
      <c r="F7" s="2444"/>
      <c r="G7" s="2411" t="str">
        <f>COVER!T23</f>
        <v>060-003973</v>
      </c>
      <c r="H7" s="2412"/>
      <c r="I7" s="2412"/>
      <c r="J7" s="2412"/>
      <c r="K7" s="2412"/>
      <c r="L7" s="241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4"/>
      <c r="B9" s="2415"/>
      <c r="C9" s="2415"/>
      <c r="D9" s="2415"/>
      <c r="E9" s="2415"/>
      <c r="F9" s="2416"/>
      <c r="G9" s="2417" t="str">
        <f>COVER!T13</f>
        <v>Evans, Marshall and Pease, P.C.</v>
      </c>
      <c r="H9" s="2418"/>
      <c r="I9" s="2418"/>
      <c r="J9" s="2418"/>
      <c r="K9" s="2418"/>
      <c r="L9" s="2419"/>
    </row>
    <row r="10" spans="1:29" ht="13.5" customHeight="1" x14ac:dyDescent="0.2">
      <c r="A10" s="2401">
        <f>COVER!A38</f>
        <v>0</v>
      </c>
      <c r="B10" s="2402"/>
      <c r="C10" s="2402"/>
      <c r="D10" s="2402"/>
      <c r="E10" s="2402"/>
      <c r="F10" s="2403"/>
      <c r="G10" s="2417" t="str">
        <f>COVER!T17</f>
        <v>1875 Hicks Road</v>
      </c>
      <c r="H10" s="2430"/>
      <c r="I10" s="2430"/>
      <c r="J10" s="2430"/>
      <c r="K10" s="2430"/>
      <c r="L10" s="2431"/>
    </row>
    <row r="11" spans="1:29" ht="13.5" customHeight="1" x14ac:dyDescent="0.2">
      <c r="A11" s="1185" t="s">
        <v>1599</v>
      </c>
      <c r="B11" s="1186"/>
      <c r="C11" s="1187"/>
      <c r="D11" s="1192"/>
      <c r="E11" s="1187"/>
      <c r="F11" s="1191"/>
      <c r="G11" s="2417" t="str">
        <f>COVER!T19</f>
        <v>Rolling Meadows</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Jeff@empcpa.com</v>
      </c>
      <c r="J13" s="2439"/>
      <c r="K13" s="2439"/>
      <c r="L13" s="2440"/>
    </row>
    <row r="14" spans="1:29" ht="13.5" customHeight="1" x14ac:dyDescent="0.2">
      <c r="A14" s="2417" t="str">
        <f>COVER!A19</f>
        <v>29067 West Grass Lake Road</v>
      </c>
      <c r="B14" s="2430"/>
      <c r="C14" s="2430"/>
      <c r="D14" s="2430"/>
      <c r="E14" s="2430"/>
      <c r="F14" s="2431"/>
      <c r="G14" s="1196" t="s">
        <v>1247</v>
      </c>
      <c r="H14" s="1194"/>
      <c r="I14" s="1194"/>
      <c r="J14" s="1194"/>
      <c r="K14" s="1194"/>
      <c r="L14" s="1195"/>
    </row>
    <row r="15" spans="1:29" ht="13.5" customHeight="1" x14ac:dyDescent="0.2">
      <c r="A15" s="2417" t="str">
        <f>COVER!A21</f>
        <v>Spring Grove</v>
      </c>
      <c r="B15" s="2430"/>
      <c r="C15" s="2430"/>
      <c r="D15" s="2430"/>
      <c r="E15" s="2430"/>
      <c r="F15" s="2431"/>
      <c r="G15" s="2427" t="str">
        <f>COVER!T15</f>
        <v>Jeffery M. Rollefson, CPA</v>
      </c>
      <c r="H15" s="2428"/>
      <c r="I15" s="2428"/>
      <c r="J15" s="2428"/>
      <c r="K15" s="2428"/>
      <c r="L15" s="2429"/>
    </row>
    <row r="16" spans="1:29" ht="12.2" customHeight="1" x14ac:dyDescent="0.2">
      <c r="A16" s="2407">
        <f>COVER!A25</f>
        <v>60081</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6" t="s">
        <v>1246</v>
      </c>
      <c r="H17" s="1194"/>
      <c r="I17" s="1194"/>
      <c r="J17" s="1194"/>
      <c r="K17" s="1198" t="s">
        <v>1245</v>
      </c>
      <c r="L17" s="1191"/>
      <c r="M17" s="1184"/>
    </row>
    <row r="18" spans="1:13" ht="12.2" customHeight="1" x14ac:dyDescent="0.2">
      <c r="A18" s="2401"/>
      <c r="B18" s="2402"/>
      <c r="C18" s="2402"/>
      <c r="D18" s="2402"/>
      <c r="E18" s="2402"/>
      <c r="F18" s="2403"/>
      <c r="G18" s="2404" t="str">
        <f>COVER!T21</f>
        <v>847-221-5700</v>
      </c>
      <c r="H18" s="2405"/>
      <c r="I18" s="2405"/>
      <c r="J18" s="2405"/>
      <c r="K18" s="2404" t="str">
        <f>COVER!X21</f>
        <v>847-221-5701</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Fox Lake GSD 114</v>
      </c>
      <c r="B1" s="2441"/>
      <c r="C1" s="2441"/>
      <c r="D1" s="2441"/>
    </row>
    <row r="2" spans="1:11" s="1215" customFormat="1" ht="12.75" x14ac:dyDescent="0.2">
      <c r="A2" s="2446">
        <f>'Single Audit Cover'!E7</f>
        <v>34049114002</v>
      </c>
      <c r="B2" s="2447"/>
      <c r="C2" s="2447"/>
      <c r="D2" s="2447"/>
    </row>
    <row r="3" spans="1:11" s="1215" customFormat="1" ht="12.75" x14ac:dyDescent="0.2">
      <c r="A3" s="2445"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Fox Lake GSD 114</v>
      </c>
      <c r="B1" s="2449"/>
      <c r="C1" s="2449"/>
      <c r="D1" s="2449"/>
      <c r="E1" s="2449"/>
    </row>
    <row r="2" spans="1:5" x14ac:dyDescent="0.2">
      <c r="A2" s="2450">
        <f>'Single Audit Cover'!E7</f>
        <v>34049114002</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717115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-34186</v>
      </c>
    </row>
    <row r="19" spans="1:4" ht="13.5" thickBot="1" x14ac:dyDescent="0.25">
      <c r="A19" s="1265" t="s">
        <v>1297</v>
      </c>
      <c r="D19" s="1266">
        <f>SUM(D10:D17)</f>
        <v>682929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682929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682929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Fox Lake GSD 114</v>
      </c>
      <c r="B1" s="2454"/>
      <c r="C1" s="2454"/>
      <c r="D1" s="2454"/>
      <c r="E1" s="2454"/>
      <c r="F1" s="2454"/>
    </row>
    <row r="2" spans="1:7" ht="13.5" customHeight="1" x14ac:dyDescent="0.2">
      <c r="A2" s="2455">
        <f>'Single Audit Cover'!E7</f>
        <v>34049114002</v>
      </c>
      <c r="B2" s="2455"/>
      <c r="C2" s="2455"/>
      <c r="D2" s="2455"/>
      <c r="E2" s="2455"/>
      <c r="F2" s="2455"/>
      <c r="G2" s="1275"/>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1831</v>
      </c>
      <c r="C6" s="317"/>
      <c r="D6" s="317"/>
    </row>
    <row r="7" spans="1:7" ht="60.95" customHeight="1" x14ac:dyDescent="0.2">
      <c r="A7" s="2453" t="s">
        <v>1832</v>
      </c>
      <c r="B7" s="2453"/>
      <c r="C7" s="2453"/>
      <c r="D7" s="2453"/>
      <c r="E7" s="2453"/>
      <c r="F7" s="245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3" t="s">
        <v>1834</v>
      </c>
      <c r="B13" s="2453"/>
      <c r="C13" s="2453"/>
      <c r="D13" s="2453"/>
      <c r="E13" s="2453"/>
      <c r="F13" s="2453"/>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2" t="s">
        <v>1835</v>
      </c>
      <c r="B32" s="2462"/>
      <c r="C32" s="2462"/>
      <c r="D32" s="2462"/>
      <c r="E32" s="2462"/>
      <c r="F32" s="2462"/>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3">
        <f>+C33+C34</f>
        <v>0</v>
      </c>
      <c r="F34" s="246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70"/>
      <c r="C50" s="1870"/>
      <c r="D50" s="1870"/>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Fox Lake GSD 114</v>
      </c>
      <c r="C1" s="2466"/>
      <c r="D1" s="2466"/>
      <c r="E1" s="2466"/>
      <c r="F1" s="2466"/>
      <c r="G1" s="2466"/>
      <c r="H1" s="2466"/>
      <c r="I1" s="2466"/>
      <c r="J1" s="2466"/>
      <c r="K1" s="2466"/>
      <c r="L1" s="2466"/>
      <c r="M1" s="2466"/>
    </row>
    <row r="2" spans="2:14" ht="15" x14ac:dyDescent="0.2">
      <c r="B2" s="2455">
        <f>'Single Audit Cover'!E7</f>
        <v>34049114002</v>
      </c>
      <c r="C2" s="2455"/>
      <c r="D2" s="2455"/>
      <c r="E2" s="2455"/>
      <c r="F2" s="2455"/>
      <c r="G2" s="2455"/>
      <c r="H2" s="2455"/>
      <c r="I2" s="2455"/>
      <c r="J2" s="2455"/>
      <c r="K2" s="2455"/>
      <c r="L2" s="2455"/>
      <c r="M2" s="2455"/>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2090</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2081</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Fox Lake GSD 114</v>
      </c>
      <c r="C1" s="2474"/>
      <c r="D1" s="2474"/>
      <c r="E1" s="2474"/>
      <c r="F1" s="2474"/>
      <c r="G1" s="2474"/>
      <c r="H1" s="2474"/>
      <c r="I1" s="2474"/>
      <c r="J1" s="1422"/>
    </row>
    <row r="2" spans="2:10" s="317" customFormat="1" ht="12.75" customHeight="1" x14ac:dyDescent="0.2">
      <c r="B2" s="2475">
        <f>'Single Audit Cover'!E7</f>
        <v>34049114002</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c r="E29" s="2480"/>
      <c r="F29" s="2480"/>
      <c r="G29" s="2480"/>
      <c r="H29" s="2480"/>
      <c r="I29" s="248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1" t="s">
        <v>1854</v>
      </c>
      <c r="D37" s="2482"/>
      <c r="E37" s="2482"/>
      <c r="F37" s="2483"/>
      <c r="G37" s="2481" t="s">
        <v>1674</v>
      </c>
      <c r="H37" s="2482"/>
      <c r="I37" s="2483"/>
    </row>
    <row r="38" spans="2:9" ht="16.5" customHeight="1" x14ac:dyDescent="0.2">
      <c r="B38" s="1444"/>
      <c r="C38" s="2469"/>
      <c r="D38" s="2470"/>
      <c r="E38" s="2470"/>
      <c r="F38" s="2471"/>
      <c r="G38" s="2484"/>
      <c r="H38" s="2485"/>
      <c r="I38" s="2486"/>
    </row>
    <row r="39" spans="2:9" ht="16.5" customHeight="1" x14ac:dyDescent="0.2">
      <c r="B39" s="1444"/>
      <c r="C39" s="2469"/>
      <c r="D39" s="2470"/>
      <c r="E39" s="2470"/>
      <c r="F39" s="2471"/>
      <c r="G39" s="2472"/>
      <c r="H39" s="2472"/>
      <c r="I39" s="2472"/>
    </row>
    <row r="40" spans="2:9" ht="16.5" customHeight="1" x14ac:dyDescent="0.2">
      <c r="B40" s="1444"/>
      <c r="C40" s="2469"/>
      <c r="D40" s="2470"/>
      <c r="E40" s="2470"/>
      <c r="F40" s="2471"/>
      <c r="G40" s="2472"/>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87" t="s">
        <v>1675</v>
      </c>
      <c r="D43" s="2488"/>
      <c r="E43" s="2488"/>
      <c r="F43" s="2489"/>
      <c r="G43" s="2490">
        <f>SUM(G38:I42)</f>
        <v>0</v>
      </c>
      <c r="H43" s="2490"/>
      <c r="I43" s="2490"/>
    </row>
    <row r="44" spans="2:9" ht="12.75" customHeight="1" x14ac:dyDescent="0.2"/>
    <row r="45" spans="2:9" ht="12.75" customHeight="1" x14ac:dyDescent="0.2">
      <c r="B45" s="1435" t="s">
        <v>1951</v>
      </c>
      <c r="D45" s="2491">
        <v>0</v>
      </c>
      <c r="E45" s="249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3"/>
      <c r="F49" s="2493"/>
      <c r="G49" s="249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Fox Lake GSD 114</v>
      </c>
      <c r="C1" s="2473"/>
      <c r="D1" s="2473"/>
      <c r="E1" s="2473"/>
      <c r="F1" s="2473"/>
      <c r="G1" s="2473"/>
      <c r="H1" s="2473"/>
      <c r="I1" s="2473"/>
      <c r="J1" s="2473"/>
      <c r="K1" s="2473"/>
      <c r="L1" s="1374"/>
      <c r="M1" s="1374"/>
    </row>
    <row r="2" spans="1:13" ht="12" customHeight="1" x14ac:dyDescent="0.2">
      <c r="B2" s="2475">
        <f>'Single Audit Cover'!E7</f>
        <v>34049114002</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Fox Lake GSD 114</v>
      </c>
      <c r="C1" s="2500"/>
      <c r="D1" s="2500"/>
      <c r="E1" s="2500"/>
      <c r="F1" s="2500"/>
      <c r="G1" s="2500"/>
      <c r="H1" s="2500"/>
      <c r="I1" s="2500"/>
      <c r="J1" s="2500"/>
      <c r="K1" s="2500"/>
      <c r="L1" s="1465"/>
    </row>
    <row r="2" spans="1:12" ht="12.75" customHeight="1" x14ac:dyDescent="0.2">
      <c r="B2" s="2501">
        <f>'Single Audit Cover'!E7</f>
        <v>34049114002</v>
      </c>
      <c r="C2" s="2501"/>
      <c r="D2" s="2501"/>
      <c r="E2" s="2501"/>
      <c r="F2" s="2501"/>
      <c r="G2" s="2501"/>
      <c r="H2" s="2501"/>
      <c r="I2" s="2501"/>
      <c r="J2" s="2501"/>
      <c r="K2" s="2501"/>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Fox Lake GSD 114</v>
      </c>
      <c r="C1" s="2473"/>
      <c r="D1" s="2473"/>
      <c r="E1" s="1491"/>
    </row>
    <row r="2" spans="2:5" s="1282" customFormat="1" ht="12.75" customHeight="1" x14ac:dyDescent="0.2">
      <c r="B2" s="2475">
        <f>'Single Audit Cover'!E7</f>
        <v>34049114002</v>
      </c>
      <c r="C2" s="2475"/>
      <c r="D2" s="2475"/>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208469235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2.2960999999999999E-2</v>
      </c>
      <c r="E10" s="356" t="s">
        <v>1062</v>
      </c>
      <c r="F10" s="355">
        <v>4.8167599999999998E-3</v>
      </c>
      <c r="G10" s="356" t="s">
        <v>1062</v>
      </c>
      <c r="H10" s="355">
        <v>1.18885E-3</v>
      </c>
      <c r="I10" s="356" t="s">
        <v>1063</v>
      </c>
      <c r="J10" s="1754">
        <f>ROUND(D10+F10+H10,5)</f>
        <v>2.8969999999999999E-2</v>
      </c>
      <c r="K10" s="222"/>
      <c r="L10" s="355">
        <v>4.3674000000000002E-4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9409246</v>
      </c>
      <c r="E16" s="356"/>
      <c r="F16" s="1755">
        <f>SUM('Acct Summary 7-8'!C17,'Acct Summary 7-8'!D17,'Acct Summary 7-8'!F17)</f>
        <v>10422911</v>
      </c>
      <c r="G16" s="356"/>
      <c r="H16" s="1755">
        <f>SUM(D16-F16)</f>
        <v>-1013665</v>
      </c>
      <c r="I16" s="222"/>
      <c r="J16" s="1755">
        <f>SUM('Acct Summary 7-8'!C81,'Acct Summary 7-8'!D81,'Acct Summary 7-8'!F81,'Acct Summary 7-8'!I81)</f>
        <v>1720658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14384377.215000002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4494787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Fox Lake GSD 114</v>
      </c>
      <c r="E7" s="391"/>
      <c r="G7" s="252"/>
      <c r="H7" s="387"/>
      <c r="I7" s="387"/>
      <c r="J7" s="387"/>
      <c r="K7" s="387"/>
      <c r="L7" s="329"/>
      <c r="M7" s="329"/>
      <c r="N7" s="329"/>
      <c r="O7" s="329"/>
      <c r="P7" s="329"/>
    </row>
    <row r="8" spans="1:18" ht="12.75" x14ac:dyDescent="0.2">
      <c r="A8" s="329"/>
      <c r="B8" s="329"/>
      <c r="C8" s="389" t="s">
        <v>1187</v>
      </c>
      <c r="D8" s="392">
        <f>COVER!A13</f>
        <v>34049114002</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1703481</v>
      </c>
      <c r="I12" s="404"/>
      <c r="J12" s="404"/>
      <c r="K12" s="405">
        <f>TRUNC((H12/H13*100000),5)/100000</f>
        <v>0.18104330569999999</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9409246</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2</v>
      </c>
      <c r="P16" s="216"/>
      <c r="R16" s="384"/>
    </row>
    <row r="17" spans="1:18" s="408" customFormat="1" ht="11.25" x14ac:dyDescent="0.2">
      <c r="A17" s="218"/>
      <c r="B17" s="401"/>
      <c r="C17" s="218" t="s">
        <v>830</v>
      </c>
      <c r="D17" s="218"/>
      <c r="E17" s="218"/>
      <c r="F17" s="218" t="s">
        <v>464</v>
      </c>
      <c r="G17" s="402"/>
      <c r="H17" s="403">
        <f>SUM('Acct Summary 7-8'!C17+'Acct Summary 7-8'!D17+'Acct Summary 7-8'!F17)</f>
        <v>10422911</v>
      </c>
      <c r="I17" s="404"/>
      <c r="J17" s="416"/>
      <c r="K17" s="405">
        <f>TRUNC((H17/H18*100000),5)/100000</f>
        <v>1.1077307363</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9409246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0.75227650000000001</v>
      </c>
      <c r="K20" s="405" t="str">
        <f>IF(K17&lt;=1,"0",IF(AND(O16="2", J20 &gt; 2),TRUNC(((K12-0.1)/(K17-1)*100),5)/100,IF(AND(O16 = "1", J20 &gt; 2),TRUNC(((K12-0.1)/(K17-1)*100),5)/100,IF(AND(O16="1", J20 &gt;1),TRUNC(((K12-0.1)/(K17-1)*100),5)/100,""))))</f>
        <v/>
      </c>
      <c r="L20" s="218"/>
      <c r="M20" s="360" t="s">
        <v>1207</v>
      </c>
      <c r="N20" s="360"/>
      <c r="O20" s="411">
        <f>(O16+O17)*O18</f>
        <v>0.7</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1833985</v>
      </c>
      <c r="I24" s="422"/>
      <c r="J24" s="422"/>
      <c r="K24" s="423">
        <f>TRUNC(((H24/H25*100000)/100000),2)</f>
        <v>63.34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28952.530559999999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5133450.6772600003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4494787</v>
      </c>
      <c r="I32" s="420"/>
      <c r="J32" s="420"/>
      <c r="K32" s="423">
        <f>TRUNC(100-((((H32/H33*100))*100)/100),2)</f>
        <v>68.75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14384377.215000002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2.6499999999999995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A47" sqref="A47"/>
      <selection pane="bottomLeft" activeCell="A9" sqref="A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c r="D4" s="466">
        <v>253991</v>
      </c>
      <c r="E4" s="466">
        <v>788183</v>
      </c>
      <c r="F4" s="466">
        <v>94580</v>
      </c>
      <c r="G4" s="466"/>
      <c r="H4" s="466"/>
      <c r="I4" s="466">
        <v>1485414</v>
      </c>
      <c r="J4" s="467"/>
      <c r="K4" s="466"/>
      <c r="L4" s="466">
        <v>46908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f>2536004+17177</f>
        <v>2553181</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0</v>
      </c>
      <c r="D13" s="1759">
        <f t="shared" ref="D13:L13" si="0">SUM(D4:D12)</f>
        <v>253991</v>
      </c>
      <c r="E13" s="1759">
        <f t="shared" si="0"/>
        <v>788183</v>
      </c>
      <c r="F13" s="1759">
        <f t="shared" si="0"/>
        <v>94580</v>
      </c>
      <c r="G13" s="1759">
        <f t="shared" si="0"/>
        <v>0</v>
      </c>
      <c r="H13" s="1759">
        <f t="shared" si="0"/>
        <v>0</v>
      </c>
      <c r="I13" s="1759">
        <f t="shared" si="0"/>
        <v>4038595</v>
      </c>
      <c r="J13" s="1759">
        <f t="shared" si="0"/>
        <v>0</v>
      </c>
      <c r="K13" s="1759">
        <f t="shared" si="0"/>
        <v>0</v>
      </c>
      <c r="L13" s="1759">
        <f t="shared" si="0"/>
        <v>46908</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57292</v>
      </c>
      <c r="N16" s="484"/>
    </row>
    <row r="17" spans="1:14" s="485" customFormat="1" ht="12.75" customHeight="1" x14ac:dyDescent="0.2">
      <c r="A17" s="482" t="s">
        <v>1470</v>
      </c>
      <c r="B17" s="483">
        <v>230</v>
      </c>
      <c r="C17" s="477"/>
      <c r="D17" s="477"/>
      <c r="E17" s="477"/>
      <c r="F17" s="477"/>
      <c r="G17" s="477"/>
      <c r="H17" s="477"/>
      <c r="I17" s="477"/>
      <c r="J17" s="477"/>
      <c r="K17" s="477"/>
      <c r="L17" s="477"/>
      <c r="M17" s="467">
        <v>17379329</v>
      </c>
      <c r="N17" s="484"/>
    </row>
    <row r="18" spans="1:14" s="485" customFormat="1" ht="12.75" customHeight="1" x14ac:dyDescent="0.2">
      <c r="A18" s="482" t="s">
        <v>1471</v>
      </c>
      <c r="B18" s="483">
        <v>240</v>
      </c>
      <c r="C18" s="477"/>
      <c r="D18" s="477"/>
      <c r="E18" s="477"/>
      <c r="F18" s="477"/>
      <c r="G18" s="477"/>
      <c r="H18" s="477"/>
      <c r="I18" s="477"/>
      <c r="J18" s="477"/>
      <c r="K18" s="477"/>
      <c r="L18" s="477"/>
      <c r="M18" s="467">
        <v>398913</v>
      </c>
      <c r="N18" s="484"/>
    </row>
    <row r="19" spans="1:14" s="485" customFormat="1" ht="12.75" customHeight="1" x14ac:dyDescent="0.2">
      <c r="A19" s="482" t="s">
        <v>1472</v>
      </c>
      <c r="B19" s="483">
        <v>250</v>
      </c>
      <c r="C19" s="477"/>
      <c r="D19" s="477"/>
      <c r="E19" s="477"/>
      <c r="F19" s="477"/>
      <c r="G19" s="477"/>
      <c r="H19" s="477"/>
      <c r="I19" s="477"/>
      <c r="J19" s="477"/>
      <c r="K19" s="477"/>
      <c r="L19" s="477"/>
      <c r="M19" s="467">
        <v>2961644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788183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3706604</v>
      </c>
    </row>
    <row r="23" spans="1:14" ht="13.5" customHeight="1" thickBot="1" x14ac:dyDescent="0.25">
      <c r="A23" s="1758" t="s">
        <v>664</v>
      </c>
      <c r="B23" s="1763"/>
      <c r="C23" s="468"/>
      <c r="D23" s="468"/>
      <c r="E23" s="468"/>
      <c r="F23" s="468"/>
      <c r="G23" s="468"/>
      <c r="H23" s="468"/>
      <c r="I23" s="468"/>
      <c r="J23" s="468"/>
      <c r="K23" s="468"/>
      <c r="L23" s="468"/>
      <c r="M23" s="1710">
        <f>SUM(M15:M22)</f>
        <v>20797178</v>
      </c>
      <c r="N23" s="1710">
        <f>SUM(N21:N22)</f>
        <v>4494787</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v>2536004</v>
      </c>
      <c r="D25" s="478"/>
      <c r="E25" s="478"/>
      <c r="F25" s="478"/>
      <c r="G25" s="478">
        <v>17177</v>
      </c>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130504</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46908</v>
      </c>
      <c r="M33" s="468"/>
      <c r="N33" s="469"/>
    </row>
    <row r="34" spans="1:14" ht="13.5" customHeight="1" thickBot="1" x14ac:dyDescent="0.25">
      <c r="A34" s="1760" t="s">
        <v>675</v>
      </c>
      <c r="B34" s="1761"/>
      <c r="C34" s="1762">
        <f>SUM(C25:C33)</f>
        <v>2666508</v>
      </c>
      <c r="D34" s="1762">
        <f t="shared" ref="D34:K34" si="1">SUM(D25:D33)</f>
        <v>0</v>
      </c>
      <c r="E34" s="1762">
        <f t="shared" si="1"/>
        <v>0</v>
      </c>
      <c r="F34" s="1762">
        <f t="shared" si="1"/>
        <v>0</v>
      </c>
      <c r="G34" s="1762">
        <f t="shared" si="1"/>
        <v>17177</v>
      </c>
      <c r="H34" s="1762">
        <f t="shared" si="1"/>
        <v>0</v>
      </c>
      <c r="I34" s="1762">
        <f t="shared" si="1"/>
        <v>0</v>
      </c>
      <c r="J34" s="1762">
        <f t="shared" si="1"/>
        <v>0</v>
      </c>
      <c r="K34" s="1762">
        <f t="shared" si="1"/>
        <v>0</v>
      </c>
      <c r="L34" s="1743">
        <f>SUM(L33)</f>
        <v>46908</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4494787</v>
      </c>
    </row>
    <row r="37" spans="1:14" ht="13.5" thickBot="1" x14ac:dyDescent="0.25">
      <c r="A37" s="1758" t="s">
        <v>674</v>
      </c>
      <c r="B37" s="1763"/>
      <c r="C37" s="477"/>
      <c r="D37" s="477"/>
      <c r="E37" s="477"/>
      <c r="F37" s="477"/>
      <c r="G37" s="477"/>
      <c r="H37" s="477"/>
      <c r="I37" s="477"/>
      <c r="J37" s="477"/>
      <c r="K37" s="477"/>
      <c r="L37" s="480"/>
      <c r="M37" s="468"/>
      <c r="N37" s="1710">
        <f>SUM(N36:N36)</f>
        <v>4494787</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-2666508</v>
      </c>
      <c r="D39" s="466">
        <v>253991</v>
      </c>
      <c r="E39" s="466">
        <v>788183</v>
      </c>
      <c r="F39" s="466">
        <v>94580</v>
      </c>
      <c r="G39" s="466">
        <v>-17177</v>
      </c>
      <c r="H39" s="466"/>
      <c r="I39" s="466">
        <v>4038595</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20797178</v>
      </c>
      <c r="N40" s="497"/>
    </row>
    <row r="41" spans="1:14" ht="13.5" customHeight="1" thickBot="1" x14ac:dyDescent="0.25">
      <c r="A41" s="1758" t="s">
        <v>676</v>
      </c>
      <c r="B41" s="1728"/>
      <c r="C41" s="1710">
        <f>(SUM(C34,C37,C38,C39))</f>
        <v>0</v>
      </c>
      <c r="D41" s="1710">
        <f t="shared" ref="D41:L41" si="2">SUM(D34,D37,D38:D39)</f>
        <v>253991</v>
      </c>
      <c r="E41" s="1710">
        <f t="shared" si="2"/>
        <v>788183</v>
      </c>
      <c r="F41" s="1710">
        <f t="shared" si="2"/>
        <v>94580</v>
      </c>
      <c r="G41" s="1710">
        <f t="shared" si="2"/>
        <v>0</v>
      </c>
      <c r="H41" s="1710">
        <f t="shared" si="2"/>
        <v>0</v>
      </c>
      <c r="I41" s="1710">
        <f t="shared" si="2"/>
        <v>4038595</v>
      </c>
      <c r="J41" s="1710">
        <f t="shared" si="2"/>
        <v>0</v>
      </c>
      <c r="K41" s="1710">
        <f t="shared" si="2"/>
        <v>0</v>
      </c>
      <c r="L41" s="1710">
        <f t="shared" si="2"/>
        <v>46908</v>
      </c>
      <c r="M41" s="1710">
        <f>SUM(M40)</f>
        <v>20797178</v>
      </c>
      <c r="N41" s="1710">
        <f>SUM(N37)</f>
        <v>4494787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I81" sqref="I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5219763</v>
      </c>
      <c r="D4" s="1764">
        <f>'Revenues 9-14'!D109</f>
        <v>1013749</v>
      </c>
      <c r="E4" s="1764">
        <f>'Revenues 9-14'!E109</f>
        <v>1703239</v>
      </c>
      <c r="F4" s="1764">
        <f>'Revenues 9-14'!F109</f>
        <v>251041</v>
      </c>
      <c r="G4" s="1764">
        <f>'Revenues 9-14'!G109</f>
        <v>385675</v>
      </c>
      <c r="H4" s="1764">
        <f>'Revenues 9-14'!H109</f>
        <v>0</v>
      </c>
      <c r="I4" s="1764">
        <f>'Revenues 9-14'!I109</f>
        <v>116881</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1699919</v>
      </c>
      <c r="D6" s="1765">
        <f>'Revenues 9-14'!D173</f>
        <v>0</v>
      </c>
      <c r="E6" s="1765">
        <f>'Revenues 9-14'!E173</f>
        <v>0</v>
      </c>
      <c r="F6" s="1765">
        <f>'Revenues 9-14'!F173</f>
        <v>390778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717115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7636797</v>
      </c>
      <c r="D8" s="1710">
        <f t="shared" ref="D8:K8" si="0">SUM(D4:D7)</f>
        <v>1013749</v>
      </c>
      <c r="E8" s="1710">
        <f t="shared" si="0"/>
        <v>1703239</v>
      </c>
      <c r="F8" s="1710">
        <f t="shared" si="0"/>
        <v>641819</v>
      </c>
      <c r="G8" s="1710">
        <f t="shared" si="0"/>
        <v>385675</v>
      </c>
      <c r="H8" s="1710">
        <f t="shared" si="0"/>
        <v>0</v>
      </c>
      <c r="I8" s="1710">
        <f t="shared" si="0"/>
        <v>116881</v>
      </c>
      <c r="J8" s="1710">
        <f t="shared" si="0"/>
        <v>0</v>
      </c>
      <c r="K8" s="1710">
        <f t="shared" si="0"/>
        <v>0</v>
      </c>
      <c r="L8" s="347"/>
    </row>
    <row r="9" spans="1:13" ht="15.75" thickTop="1" x14ac:dyDescent="0.2">
      <c r="A9" s="514" t="s">
        <v>1752</v>
      </c>
      <c r="B9" s="515">
        <v>3998</v>
      </c>
      <c r="C9" s="481">
        <v>3490594</v>
      </c>
      <c r="D9" s="516"/>
      <c r="E9" s="481"/>
      <c r="F9" s="481"/>
      <c r="G9" s="517"/>
      <c r="H9" s="481"/>
      <c r="I9" s="509" t="s">
        <v>1231</v>
      </c>
      <c r="J9" s="478"/>
      <c r="K9" s="481"/>
      <c r="L9" s="347"/>
    </row>
    <row r="10" spans="1:13" s="519" customFormat="1" ht="13.5" thickBot="1" x14ac:dyDescent="0.25">
      <c r="A10" s="1758" t="s">
        <v>1235</v>
      </c>
      <c r="B10" s="1731"/>
      <c r="C10" s="1710">
        <f>SUM(C8:C9)</f>
        <v>11127391</v>
      </c>
      <c r="D10" s="1710">
        <f t="shared" ref="D10:K10" si="1">SUM(D8:D9)</f>
        <v>1013749</v>
      </c>
      <c r="E10" s="1710">
        <f t="shared" si="1"/>
        <v>1703239</v>
      </c>
      <c r="F10" s="1710">
        <f t="shared" si="1"/>
        <v>641819</v>
      </c>
      <c r="G10" s="1710">
        <f t="shared" si="1"/>
        <v>385675</v>
      </c>
      <c r="H10" s="1710">
        <f t="shared" si="1"/>
        <v>0</v>
      </c>
      <c r="I10" s="1710">
        <f t="shared" si="1"/>
        <v>116881</v>
      </c>
      <c r="J10" s="1710">
        <f t="shared" si="1"/>
        <v>0</v>
      </c>
      <c r="K10" s="1710">
        <f t="shared" si="1"/>
        <v>0</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5370399</v>
      </c>
      <c r="D12" s="520" t="s">
        <v>1231</v>
      </c>
      <c r="E12" s="468" t="s">
        <v>1231</v>
      </c>
      <c r="F12" s="468" t="s">
        <v>1231</v>
      </c>
      <c r="G12" s="1764">
        <f>'Expenditures 15-22'!K229</f>
        <v>168054</v>
      </c>
      <c r="H12" s="521"/>
      <c r="I12" s="468" t="s">
        <v>1231</v>
      </c>
      <c r="J12" s="468" t="s">
        <v>1231</v>
      </c>
      <c r="K12" s="521" t="s">
        <v>1231</v>
      </c>
      <c r="L12" s="347"/>
    </row>
    <row r="13" spans="1:13" ht="15.75" customHeight="1" x14ac:dyDescent="0.2">
      <c r="A13" s="1598" t="s">
        <v>477</v>
      </c>
      <c r="B13" s="1600">
        <v>2000</v>
      </c>
      <c r="C13" s="1765">
        <f>'Expenditures 15-22'!K74</f>
        <v>2884849</v>
      </c>
      <c r="D13" s="1765">
        <f>'Expenditures 15-22'!K129</f>
        <v>863786</v>
      </c>
      <c r="E13" s="469" t="s">
        <v>1231</v>
      </c>
      <c r="F13" s="1765">
        <f>'Expenditures 15-22'!K184</f>
        <v>640821</v>
      </c>
      <c r="G13" s="1765">
        <f>'Expenditures 15-22'!K279</f>
        <v>250421</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11109</v>
      </c>
      <c r="D14" s="1765">
        <f>'Expenditures 15-22'!K130</f>
        <v>0</v>
      </c>
      <c r="E14" s="520" t="s">
        <v>1231</v>
      </c>
      <c r="F14" s="1765">
        <f>'Expenditures 15-22'!K185</f>
        <v>0</v>
      </c>
      <c r="G14" s="1765">
        <f>'Expenditures 15-22'!K280</f>
        <v>379</v>
      </c>
      <c r="H14" s="512"/>
      <c r="I14" s="468" t="s">
        <v>1231</v>
      </c>
      <c r="J14" s="468" t="s">
        <v>1231</v>
      </c>
      <c r="K14" s="512" t="s">
        <v>1231</v>
      </c>
      <c r="L14" s="347"/>
    </row>
    <row r="15" spans="1:13" ht="15.75" customHeight="1" x14ac:dyDescent="0.2">
      <c r="A15" s="1598" t="s">
        <v>109</v>
      </c>
      <c r="B15" s="1600">
        <v>4000</v>
      </c>
      <c r="C15" s="1765">
        <f>'Expenditures 15-22'!K102</f>
        <v>651947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1707303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8918304</v>
      </c>
      <c r="D17" s="1710">
        <f t="shared" si="2"/>
        <v>863786</v>
      </c>
      <c r="E17" s="1710">
        <f t="shared" si="2"/>
        <v>1707303</v>
      </c>
      <c r="F17" s="1710">
        <f t="shared" si="2"/>
        <v>640821</v>
      </c>
      <c r="G17" s="1710">
        <f t="shared" si="2"/>
        <v>418854</v>
      </c>
      <c r="H17" s="1710">
        <f t="shared" si="2"/>
        <v>0</v>
      </c>
      <c r="I17" s="468"/>
      <c r="J17" s="1710">
        <f>SUM(J12:J16)</f>
        <v>0</v>
      </c>
      <c r="K17" s="1710">
        <f>SUM(K12:K16)</f>
        <v>0</v>
      </c>
      <c r="L17" s="347"/>
    </row>
    <row r="18" spans="1:12" ht="15" customHeight="1" thickTop="1" x14ac:dyDescent="0.2">
      <c r="A18" s="1766" t="s">
        <v>1753</v>
      </c>
      <c r="B18" s="1767">
        <v>4180</v>
      </c>
      <c r="C18" s="1764">
        <f t="shared" ref="C18:H18" si="3">C9</f>
        <v>3490594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12408898</v>
      </c>
      <c r="D19" s="1710">
        <f t="shared" si="4"/>
        <v>863786</v>
      </c>
      <c r="E19" s="1710">
        <f t="shared" si="4"/>
        <v>1707303</v>
      </c>
      <c r="F19" s="1710">
        <f t="shared" si="4"/>
        <v>640821</v>
      </c>
      <c r="G19" s="1710">
        <f t="shared" si="4"/>
        <v>418854</v>
      </c>
      <c r="H19" s="1710">
        <f t="shared" si="4"/>
        <v>0</v>
      </c>
      <c r="I19" s="468"/>
      <c r="J19" s="1710">
        <f>SUM(J17:J18)</f>
        <v>0</v>
      </c>
      <c r="K19" s="1710">
        <f>SUM(K17:K18)</f>
        <v>0</v>
      </c>
      <c r="L19" s="347"/>
    </row>
    <row r="20" spans="1:12" ht="16.5" thickTop="1" thickBot="1" x14ac:dyDescent="0.25">
      <c r="A20" s="2146" t="s">
        <v>1754</v>
      </c>
      <c r="B20" s="2147"/>
      <c r="C20" s="1768">
        <f>C8-C17</f>
        <v>-1281507</v>
      </c>
      <c r="D20" s="1768">
        <f t="shared" ref="D20:K20" si="5">D8-D17</f>
        <v>149963</v>
      </c>
      <c r="E20" s="1768">
        <f t="shared" si="5"/>
        <v>-4064</v>
      </c>
      <c r="F20" s="1768">
        <f t="shared" si="5"/>
        <v>998</v>
      </c>
      <c r="G20" s="1768">
        <f t="shared" si="5"/>
        <v>-33179</v>
      </c>
      <c r="H20" s="1768">
        <f t="shared" si="5"/>
        <v>0</v>
      </c>
      <c r="I20" s="1768">
        <f t="shared" si="5"/>
        <v>116881</v>
      </c>
      <c r="J20" s="1768">
        <f t="shared" si="5"/>
        <v>0</v>
      </c>
      <c r="K20" s="1768">
        <f t="shared" si="5"/>
        <v>0</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v>4250000</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5">
        <f>SUM(C24:C43)</f>
        <v>4250000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4250000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5">
        <f t="shared" ref="C76:K76" si="7">SUM(C47:C75)</f>
        <v>0</v>
      </c>
      <c r="D76" s="1725">
        <f t="shared" si="7"/>
        <v>0</v>
      </c>
      <c r="E76" s="1725">
        <f t="shared" si="7"/>
        <v>0</v>
      </c>
      <c r="F76" s="1725">
        <f t="shared" si="7"/>
        <v>0</v>
      </c>
      <c r="G76" s="1725">
        <f t="shared" si="7"/>
        <v>0</v>
      </c>
      <c r="H76" s="1725">
        <f t="shared" si="7"/>
        <v>0</v>
      </c>
      <c r="I76" s="1725">
        <f t="shared" si="7"/>
        <v>4250000</v>
      </c>
      <c r="J76" s="1725">
        <f t="shared" si="7"/>
        <v>0</v>
      </c>
      <c r="K76" s="1725">
        <f t="shared" si="7"/>
        <v>0</v>
      </c>
      <c r="L76" s="524"/>
    </row>
    <row r="77" spans="1:12" ht="14.25" thickTop="1" thickBot="1" x14ac:dyDescent="0.25">
      <c r="A77" s="2138" t="s">
        <v>1239</v>
      </c>
      <c r="B77" s="2139"/>
      <c r="C77" s="1725">
        <f t="shared" ref="C77:K77" si="8">C44-C76</f>
        <v>4250000</v>
      </c>
      <c r="D77" s="1725">
        <f t="shared" si="8"/>
        <v>0</v>
      </c>
      <c r="E77" s="1725">
        <f t="shared" si="8"/>
        <v>0</v>
      </c>
      <c r="F77" s="1725">
        <f t="shared" si="8"/>
        <v>0</v>
      </c>
      <c r="G77" s="1725">
        <f t="shared" si="8"/>
        <v>0</v>
      </c>
      <c r="H77" s="1725">
        <f t="shared" si="8"/>
        <v>0</v>
      </c>
      <c r="I77" s="1725">
        <f t="shared" si="8"/>
        <v>-4250000</v>
      </c>
      <c r="J77" s="1725">
        <f t="shared" si="8"/>
        <v>0</v>
      </c>
      <c r="K77" s="1725">
        <f t="shared" si="8"/>
        <v>0</v>
      </c>
      <c r="L77" s="347"/>
    </row>
    <row r="78" spans="1:12" ht="21.75" customHeight="1" thickTop="1" thickBot="1" x14ac:dyDescent="0.25">
      <c r="A78" s="2142" t="s">
        <v>618</v>
      </c>
      <c r="B78" s="2143"/>
      <c r="C78" s="1724">
        <f t="shared" ref="C78:K78" si="9">C20+C77</f>
        <v>2968493</v>
      </c>
      <c r="D78" s="1724">
        <f t="shared" si="9"/>
        <v>149963</v>
      </c>
      <c r="E78" s="1724">
        <f t="shared" si="9"/>
        <v>-4064</v>
      </c>
      <c r="F78" s="1724">
        <f t="shared" si="9"/>
        <v>998</v>
      </c>
      <c r="G78" s="1724">
        <f t="shared" si="9"/>
        <v>-33179</v>
      </c>
      <c r="H78" s="1724">
        <f t="shared" si="9"/>
        <v>0</v>
      </c>
      <c r="I78" s="1724">
        <f t="shared" si="9"/>
        <v>-4133119</v>
      </c>
      <c r="J78" s="1724">
        <f t="shared" si="9"/>
        <v>0</v>
      </c>
      <c r="K78" s="1724">
        <f t="shared" si="9"/>
        <v>0</v>
      </c>
      <c r="L78" s="533"/>
    </row>
    <row r="79" spans="1:12" ht="13.5" thickTop="1" x14ac:dyDescent="0.2">
      <c r="A79" s="1516" t="s">
        <v>2071</v>
      </c>
      <c r="B79" s="534"/>
      <c r="C79" s="478">
        <v>-5635001</v>
      </c>
      <c r="D79" s="535">
        <v>104028</v>
      </c>
      <c r="E79" s="535">
        <v>792247</v>
      </c>
      <c r="F79" s="535">
        <v>93582</v>
      </c>
      <c r="G79" s="535">
        <v>16002</v>
      </c>
      <c r="H79" s="535"/>
      <c r="I79" s="535">
        <v>8171714</v>
      </c>
      <c r="J79" s="535"/>
      <c r="K79" s="535"/>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2072</v>
      </c>
      <c r="B81" s="2141"/>
      <c r="C81" s="1710">
        <f>(SUM(C78:C80))</f>
        <v>-2666508</v>
      </c>
      <c r="D81" s="1710">
        <f>SUM(D78:D80)</f>
        <v>253991</v>
      </c>
      <c r="E81" s="1710">
        <f t="shared" ref="E81:K81" si="10">SUM(E78:E80)</f>
        <v>788183</v>
      </c>
      <c r="F81" s="1710">
        <f t="shared" si="10"/>
        <v>94580</v>
      </c>
      <c r="G81" s="1710">
        <f t="shared" si="10"/>
        <v>-17177</v>
      </c>
      <c r="H81" s="1710">
        <f t="shared" si="10"/>
        <v>0</v>
      </c>
      <c r="I81" s="1710">
        <f t="shared" si="10"/>
        <v>4038595</v>
      </c>
      <c r="J81" s="1710">
        <f t="shared" si="10"/>
        <v>0</v>
      </c>
      <c r="K81" s="1710">
        <f t="shared" si="10"/>
        <v>0</v>
      </c>
      <c r="L81" s="347"/>
    </row>
    <row r="82" spans="1:12" ht="0.75" customHeight="1" thickTop="1" thickBot="1" x14ac:dyDescent="0.25">
      <c r="A82" s="536" t="s">
        <v>361</v>
      </c>
      <c r="B82" s="537"/>
      <c r="C82" s="538">
        <f>(C81-C79)</f>
        <v>2968493</v>
      </c>
      <c r="D82" s="538">
        <f t="shared" ref="D82:K82" si="11">(D81-D79)</f>
        <v>149963</v>
      </c>
      <c r="E82" s="538">
        <f t="shared" si="11"/>
        <v>-4064</v>
      </c>
      <c r="F82" s="538">
        <f t="shared" si="11"/>
        <v>998</v>
      </c>
      <c r="G82" s="538">
        <f t="shared" si="11"/>
        <v>-33179</v>
      </c>
      <c r="H82" s="538">
        <f t="shared" si="11"/>
        <v>0</v>
      </c>
      <c r="I82" s="538">
        <f t="shared" si="11"/>
        <v>-4133119</v>
      </c>
      <c r="J82" s="538">
        <f t="shared" si="11"/>
        <v>0</v>
      </c>
      <c r="K82" s="538">
        <f t="shared" si="11"/>
        <v>0</v>
      </c>
    </row>
    <row r="83" spans="1:12" ht="14.25" hidden="1" thickTop="1" thickBot="1" x14ac:dyDescent="0.25">
      <c r="A83" s="539" t="s">
        <v>362</v>
      </c>
      <c r="B83" s="464"/>
      <c r="C83" s="540">
        <f>C82/C81</f>
        <v>-1.1132511134412497</v>
      </c>
      <c r="D83" s="540">
        <f t="shared" ref="D83:K83" si="12">D82/D81</f>
        <v>0.59042643243264525</v>
      </c>
      <c r="E83" s="540">
        <f t="shared" si="12"/>
        <v>-5.1561629723046549E-3</v>
      </c>
      <c r="F83" s="540">
        <f t="shared" si="12"/>
        <v>1.0551913723831676E-2</v>
      </c>
      <c r="G83" s="540">
        <f t="shared" si="12"/>
        <v>1.9315945741398381</v>
      </c>
      <c r="H83" s="540" t="e">
        <f t="shared" si="12"/>
        <v>#DIV/0!</v>
      </c>
      <c r="I83" s="540">
        <f t="shared" si="12"/>
        <v>-1.0234051693720216</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4791465</v>
      </c>
      <c r="D5" s="481">
        <v>1005167</v>
      </c>
      <c r="E5" s="466">
        <v>1700846</v>
      </c>
      <c r="F5" s="548">
        <v>248086</v>
      </c>
      <c r="G5" s="466">
        <v>193281</v>
      </c>
      <c r="H5" s="466"/>
      <c r="I5" s="466">
        <v>91116</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83812</v>
      </c>
      <c r="D7" s="466"/>
      <c r="E7" s="468"/>
      <c r="F7" s="467"/>
      <c r="G7" s="467"/>
      <c r="H7" s="467"/>
      <c r="I7" s="468"/>
      <c r="J7" s="468"/>
      <c r="K7" s="468"/>
    </row>
    <row r="8" spans="1:12" x14ac:dyDescent="0.2">
      <c r="A8" s="463" t="s">
        <v>433</v>
      </c>
      <c r="B8" s="470">
        <v>1150</v>
      </c>
      <c r="C8" s="475"/>
      <c r="D8" s="475"/>
      <c r="E8" s="477"/>
      <c r="F8" s="477"/>
      <c r="G8" s="481">
        <v>176159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4875277</v>
      </c>
      <c r="D12" s="1729">
        <f t="shared" si="0"/>
        <v>1005167</v>
      </c>
      <c r="E12" s="1729">
        <f t="shared" si="0"/>
        <v>1700846</v>
      </c>
      <c r="F12" s="1729">
        <f t="shared" si="0"/>
        <v>248086</v>
      </c>
      <c r="G12" s="1729">
        <f t="shared" si="0"/>
        <v>369440</v>
      </c>
      <c r="H12" s="1729">
        <f t="shared" si="0"/>
        <v>0</v>
      </c>
      <c r="I12" s="1729">
        <f t="shared" si="0"/>
        <v>91116</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74986</v>
      </c>
      <c r="D16" s="466"/>
      <c r="E16" s="466"/>
      <c r="F16" s="466"/>
      <c r="G16" s="466">
        <v>16052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74986</v>
      </c>
      <c r="D18" s="1732">
        <f t="shared" ref="D18:K18" si="1">SUM(D14:D17)</f>
        <v>0</v>
      </c>
      <c r="E18" s="1732">
        <f t="shared" si="1"/>
        <v>0</v>
      </c>
      <c r="F18" s="1732">
        <f t="shared" si="1"/>
        <v>0</v>
      </c>
      <c r="G18" s="1732">
        <f t="shared" si="1"/>
        <v>16052</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v>10994</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6335</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17329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1765</v>
      </c>
      <c r="D65" s="466">
        <v>426</v>
      </c>
      <c r="E65" s="466">
        <v>2393</v>
      </c>
      <c r="F65" s="467">
        <v>123</v>
      </c>
      <c r="G65" s="466">
        <v>183</v>
      </c>
      <c r="H65" s="466"/>
      <c r="I65" s="466">
        <v>25765</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1765</v>
      </c>
      <c r="D67" s="1710">
        <f t="shared" ref="D67:K67" si="2">SUM(D65:D66)</f>
        <v>426</v>
      </c>
      <c r="E67" s="1710">
        <f t="shared" si="2"/>
        <v>2393</v>
      </c>
      <c r="F67" s="1710">
        <f t="shared" si="2"/>
        <v>123</v>
      </c>
      <c r="G67" s="1710">
        <f t="shared" si="2"/>
        <v>183</v>
      </c>
      <c r="H67" s="1710">
        <f t="shared" si="2"/>
        <v>0</v>
      </c>
      <c r="I67" s="1710">
        <f t="shared" si="2"/>
        <v>25765</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54661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2178</v>
      </c>
      <c r="D71" s="468"/>
      <c r="E71" s="468"/>
      <c r="F71" s="468"/>
      <c r="G71" s="468"/>
      <c r="H71" s="468"/>
      <c r="I71" s="468"/>
      <c r="J71" s="468"/>
      <c r="K71" s="468"/>
    </row>
    <row r="72" spans="1:11" ht="12.75" customHeight="1" x14ac:dyDescent="0.2">
      <c r="A72" s="463" t="s">
        <v>24</v>
      </c>
      <c r="B72" s="470">
        <v>1614</v>
      </c>
      <c r="C72" s="551">
        <v>827</v>
      </c>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4026</v>
      </c>
      <c r="D74" s="468"/>
      <c r="E74" s="468"/>
      <c r="F74" s="468"/>
      <c r="G74" s="468"/>
      <c r="H74" s="468"/>
      <c r="I74" s="468"/>
      <c r="J74" s="468"/>
      <c r="K74" s="468"/>
    </row>
    <row r="75" spans="1:11" ht="12.75" customHeight="1" thickBot="1" x14ac:dyDescent="0.25">
      <c r="A75" s="1730" t="s">
        <v>569</v>
      </c>
      <c r="B75" s="1731"/>
      <c r="C75" s="1710">
        <f>SUM(C69:C74)</f>
        <v>61692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2923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39954</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42877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34747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34747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4645</v>
      </c>
      <c r="E95" s="521"/>
      <c r="F95" s="521"/>
      <c r="G95" s="521"/>
      <c r="H95" s="521"/>
      <c r="I95" s="521"/>
      <c r="J95" s="521"/>
      <c r="K95" s="521"/>
    </row>
    <row r="96" spans="1:11" ht="12.75" customHeight="1" x14ac:dyDescent="0.2">
      <c r="A96" s="463" t="s">
        <v>409</v>
      </c>
      <c r="B96" s="470">
        <v>1920</v>
      </c>
      <c r="C96" s="551">
        <v>5752</v>
      </c>
      <c r="D96" s="551"/>
      <c r="E96" s="479"/>
      <c r="F96" s="478"/>
      <c r="G96" s="478"/>
      <c r="H96" s="478"/>
      <c r="I96" s="478"/>
      <c r="J96" s="478"/>
      <c r="K96" s="478"/>
    </row>
    <row r="97" spans="1:12" ht="12.75" customHeight="1" x14ac:dyDescent="0.2">
      <c r="A97" s="1517" t="s">
        <v>262</v>
      </c>
      <c r="B97" s="559">
        <v>1930</v>
      </c>
      <c r="C97" s="489"/>
      <c r="D97" s="467">
        <v>2325</v>
      </c>
      <c r="E97" s="474"/>
      <c r="F97" s="467"/>
      <c r="G97" s="467"/>
      <c r="H97" s="467"/>
      <c r="I97" s="467"/>
      <c r="J97" s="467"/>
      <c r="K97" s="467"/>
    </row>
    <row r="98" spans="1:12" ht="12.75" customHeight="1" x14ac:dyDescent="0.2">
      <c r="A98" s="463" t="s">
        <v>198</v>
      </c>
      <c r="B98" s="470">
        <v>1940</v>
      </c>
      <c r="C98" s="489">
        <v>21174</v>
      </c>
      <c r="D98" s="466"/>
      <c r="E98" s="512"/>
      <c r="F98" s="466">
        <v>2432</v>
      </c>
      <c r="G98" s="512"/>
      <c r="H98" s="512"/>
      <c r="I98" s="510"/>
      <c r="J98" s="512"/>
      <c r="K98" s="512"/>
    </row>
    <row r="99" spans="1:12" ht="12.75" customHeight="1" x14ac:dyDescent="0.2">
      <c r="A99" s="463" t="s">
        <v>875</v>
      </c>
      <c r="B99" s="470">
        <v>1950</v>
      </c>
      <c r="C99" s="489">
        <v>7444</v>
      </c>
      <c r="D99" s="466">
        <v>83</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76720</v>
      </c>
      <c r="D107" s="466">
        <v>1103</v>
      </c>
      <c r="E107" s="466"/>
      <c r="F107" s="466">
        <v>400</v>
      </c>
      <c r="G107" s="466"/>
      <c r="H107" s="466"/>
      <c r="I107" s="466"/>
      <c r="J107" s="467"/>
      <c r="K107" s="466"/>
    </row>
    <row r="108" spans="1:12" ht="12.75" customHeight="1" thickBot="1" x14ac:dyDescent="0.25">
      <c r="A108" s="1730" t="s">
        <v>508</v>
      </c>
      <c r="B108" s="1734"/>
      <c r="C108" s="1729">
        <f>SUM(C95:C107)</f>
        <v>111090</v>
      </c>
      <c r="D108" s="1729">
        <f t="shared" ref="D108:K108" si="3">SUM(D95:D107)</f>
        <v>8156</v>
      </c>
      <c r="E108" s="1729">
        <f t="shared" si="3"/>
        <v>0</v>
      </c>
      <c r="F108" s="1729">
        <f t="shared" si="3"/>
        <v>2832</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5219763</v>
      </c>
      <c r="D109" s="1737">
        <f t="shared" si="4"/>
        <v>1013749</v>
      </c>
      <c r="E109" s="1737">
        <f t="shared" si="4"/>
        <v>1703239</v>
      </c>
      <c r="F109" s="1737">
        <f t="shared" si="4"/>
        <v>251041</v>
      </c>
      <c r="G109" s="1737">
        <f t="shared" si="4"/>
        <v>385675</v>
      </c>
      <c r="H109" s="1737">
        <f t="shared" si="4"/>
        <v>0</v>
      </c>
      <c r="I109" s="1737">
        <f t="shared" si="4"/>
        <v>116881</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1162776</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1162776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101275</v>
      </c>
      <c r="D124" s="561"/>
      <c r="E124" s="468"/>
      <c r="F124" s="548"/>
      <c r="G124" s="468"/>
      <c r="H124" s="468"/>
      <c r="I124" s="468"/>
      <c r="J124" s="468"/>
      <c r="K124" s="468"/>
    </row>
    <row r="125" spans="1:11" ht="12.75" customHeight="1" x14ac:dyDescent="0.2">
      <c r="A125" s="463" t="s">
        <v>1521</v>
      </c>
      <c r="B125" s="562">
        <v>3105</v>
      </c>
      <c r="C125" s="466">
        <v>51441</v>
      </c>
      <c r="D125" s="561"/>
      <c r="E125" s="468"/>
      <c r="F125" s="466"/>
      <c r="G125" s="468"/>
      <c r="H125" s="468"/>
      <c r="I125" s="468"/>
      <c r="J125" s="468"/>
      <c r="K125" s="468"/>
    </row>
    <row r="126" spans="1:11" ht="12.75" customHeight="1" x14ac:dyDescent="0.2">
      <c r="A126" s="463" t="s">
        <v>922</v>
      </c>
      <c r="B126" s="562">
        <v>3110</v>
      </c>
      <c r="C126" s="551">
        <v>113024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1993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267733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3636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58082</v>
      </c>
      <c r="G151" s="467"/>
      <c r="H151" s="468"/>
      <c r="I151" s="468"/>
      <c r="J151" s="468"/>
      <c r="K151" s="468"/>
    </row>
    <row r="152" spans="1:11" ht="12.75" customHeight="1" x14ac:dyDescent="0.2">
      <c r="A152" s="463" t="s">
        <v>1117</v>
      </c>
      <c r="B152" s="562">
        <v>3510</v>
      </c>
      <c r="C152" s="551"/>
      <c r="D152" s="466"/>
      <c r="E152" s="561"/>
      <c r="F152" s="466">
        <v>332696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390778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265024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537143</v>
      </c>
      <c r="D172" s="1744">
        <f t="shared" si="6"/>
        <v>0</v>
      </c>
      <c r="E172" s="1744">
        <f t="shared" si="6"/>
        <v>0</v>
      </c>
      <c r="F172" s="1744">
        <f t="shared" si="6"/>
        <v>390778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1699919</v>
      </c>
      <c r="D173" s="1737">
        <f>SUM(D121,D172)</f>
        <v>0</v>
      </c>
      <c r="E173" s="1737">
        <f>SUM(E121,E172)</f>
        <v>0</v>
      </c>
      <c r="F173" s="1737">
        <f t="shared" ref="F173:K173" si="7">SUM(F121,F172)</f>
        <v>390778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188881</v>
      </c>
      <c r="D194" s="468"/>
      <c r="E194" s="561"/>
      <c r="F194" s="468"/>
      <c r="G194" s="585"/>
      <c r="H194" s="468"/>
      <c r="I194" s="468"/>
      <c r="J194" s="468"/>
      <c r="K194" s="468"/>
    </row>
    <row r="195" spans="1:11" ht="12.75" customHeight="1" x14ac:dyDescent="0.2">
      <c r="A195" s="463" t="s">
        <v>1107</v>
      </c>
      <c r="B195" s="470">
        <v>4215</v>
      </c>
      <c r="C195" s="551">
        <v>814</v>
      </c>
      <c r="D195" s="468"/>
      <c r="E195" s="561"/>
      <c r="F195" s="468"/>
      <c r="G195" s="585"/>
      <c r="H195" s="468"/>
      <c r="I195" s="468"/>
      <c r="J195" s="468"/>
      <c r="K195" s="468"/>
    </row>
    <row r="196" spans="1:11" ht="12.75" customHeight="1" x14ac:dyDescent="0.2">
      <c r="A196" s="463" t="s">
        <v>1119</v>
      </c>
      <c r="B196" s="470">
        <v>4220</v>
      </c>
      <c r="C196" s="551">
        <v>52669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242364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134939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134939</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10392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264586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274978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17111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11037</v>
      </c>
      <c r="D270" s="576"/>
      <c r="E270" s="468"/>
      <c r="F270" s="576"/>
      <c r="G270" s="576"/>
      <c r="H270" s="468"/>
      <c r="I270" s="468"/>
      <c r="J270" s="468"/>
      <c r="K270" s="468"/>
    </row>
    <row r="271" spans="1:11" ht="12.75" customHeight="1" thickTop="1" thickBot="1" x14ac:dyDescent="0.25">
      <c r="A271" s="463" t="s">
        <v>395</v>
      </c>
      <c r="B271" s="470">
        <v>4992</v>
      </c>
      <c r="C271" s="575">
        <v>34186</v>
      </c>
      <c r="D271" s="576"/>
      <c r="E271" s="468"/>
      <c r="F271" s="576"/>
      <c r="G271" s="576"/>
      <c r="H271" s="468"/>
      <c r="I271" s="468"/>
      <c r="J271" s="468"/>
      <c r="K271" s="468"/>
    </row>
    <row r="272" spans="1:11" s="594" customFormat="1" ht="12.75" customHeight="1" thickTop="1" thickBot="1" x14ac:dyDescent="0.25">
      <c r="A272" s="563" t="s">
        <v>77</v>
      </c>
      <c r="B272" s="557">
        <v>4999</v>
      </c>
      <c r="C272" s="575">
        <v>2500</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717115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717115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7636797</v>
      </c>
      <c r="D275" s="1737">
        <f t="shared" si="12"/>
        <v>1013749</v>
      </c>
      <c r="E275" s="1737">
        <f t="shared" si="12"/>
        <v>1703239</v>
      </c>
      <c r="F275" s="1737">
        <f t="shared" si="12"/>
        <v>641819</v>
      </c>
      <c r="G275" s="1737">
        <f t="shared" si="12"/>
        <v>385675</v>
      </c>
      <c r="H275" s="1737">
        <f t="shared" si="12"/>
        <v>0</v>
      </c>
      <c r="I275" s="1737">
        <f t="shared" si="12"/>
        <v>116881</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9" activePane="bottomLeft" state="frozen"/>
      <selection activeCell="A47" sqref="A47"/>
      <selection pane="bottomLeft" activeCell="B60" sqref="B6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2815445</v>
      </c>
      <c r="D5" s="466">
        <v>388386</v>
      </c>
      <c r="E5" s="466">
        <v>192334</v>
      </c>
      <c r="F5" s="466">
        <v>221308</v>
      </c>
      <c r="G5" s="466">
        <v>17622</v>
      </c>
      <c r="H5" s="466">
        <v>3351</v>
      </c>
      <c r="I5" s="467"/>
      <c r="J5" s="467"/>
      <c r="K5" s="1693">
        <f>SUM(C5:J5)</f>
        <v>3638446</v>
      </c>
      <c r="L5" s="466">
        <v>3104491</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1289871</v>
      </c>
      <c r="D8" s="466">
        <v>171402</v>
      </c>
      <c r="E8" s="466">
        <v>1431</v>
      </c>
      <c r="F8" s="466">
        <v>16677</v>
      </c>
      <c r="G8" s="466"/>
      <c r="H8" s="466"/>
      <c r="I8" s="467"/>
      <c r="J8" s="467"/>
      <c r="K8" s="1693">
        <f t="shared" si="0"/>
        <v>1479381</v>
      </c>
      <c r="L8" s="466">
        <v>1455573</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5465</v>
      </c>
      <c r="D10" s="466">
        <v>80</v>
      </c>
      <c r="E10" s="466"/>
      <c r="F10" s="466"/>
      <c r="G10" s="466"/>
      <c r="H10" s="466"/>
      <c r="I10" s="467"/>
      <c r="J10" s="467"/>
      <c r="K10" s="1693">
        <f t="shared" si="0"/>
        <v>5545</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148070</v>
      </c>
      <c r="D14" s="466">
        <v>1109</v>
      </c>
      <c r="E14" s="466">
        <v>4995</v>
      </c>
      <c r="F14" s="466">
        <v>908</v>
      </c>
      <c r="G14" s="466"/>
      <c r="H14" s="466">
        <v>2638</v>
      </c>
      <c r="I14" s="467"/>
      <c r="J14" s="467"/>
      <c r="K14" s="1693">
        <f t="shared" si="0"/>
        <v>157720</v>
      </c>
      <c r="L14" s="466">
        <v>193199</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76386</v>
      </c>
      <c r="D18" s="466">
        <v>12921</v>
      </c>
      <c r="E18" s="466"/>
      <c r="F18" s="466"/>
      <c r="G18" s="466"/>
      <c r="H18" s="466"/>
      <c r="I18" s="467"/>
      <c r="J18" s="467"/>
      <c r="K18" s="1693">
        <f t="shared" si="0"/>
        <v>89307</v>
      </c>
      <c r="L18" s="466">
        <v>112218</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4335237</v>
      </c>
      <c r="D33" s="1692">
        <f t="shared" ref="D33:L33" si="1">SUM(D5:D32)</f>
        <v>573898</v>
      </c>
      <c r="E33" s="1692">
        <f t="shared" si="1"/>
        <v>198760</v>
      </c>
      <c r="F33" s="1692">
        <f t="shared" si="1"/>
        <v>238893</v>
      </c>
      <c r="G33" s="1692">
        <f t="shared" si="1"/>
        <v>17622</v>
      </c>
      <c r="H33" s="1692">
        <f t="shared" si="1"/>
        <v>5989</v>
      </c>
      <c r="I33" s="1692">
        <f t="shared" si="1"/>
        <v>0</v>
      </c>
      <c r="J33" s="1692">
        <f t="shared" si="1"/>
        <v>0</v>
      </c>
      <c r="K33" s="1692">
        <f t="shared" si="1"/>
        <v>5370399</v>
      </c>
      <c r="L33" s="1692">
        <f t="shared" si="1"/>
        <v>4865481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230476</v>
      </c>
      <c r="D36" s="481">
        <v>8788</v>
      </c>
      <c r="E36" s="481">
        <v>17160</v>
      </c>
      <c r="F36" s="481">
        <v>52</v>
      </c>
      <c r="G36" s="481"/>
      <c r="H36" s="481"/>
      <c r="I36" s="467"/>
      <c r="J36" s="467"/>
      <c r="K36" s="1693">
        <f t="shared" ref="K36:K41" si="2">SUM(C36:J36)</f>
        <v>256476</v>
      </c>
      <c r="L36" s="466">
        <v>203533</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54035</v>
      </c>
      <c r="D38" s="466">
        <v>1199</v>
      </c>
      <c r="E38" s="466">
        <v>102271</v>
      </c>
      <c r="F38" s="466">
        <v>974</v>
      </c>
      <c r="G38" s="466"/>
      <c r="H38" s="466"/>
      <c r="I38" s="467"/>
      <c r="J38" s="467"/>
      <c r="K38" s="1693">
        <f t="shared" si="2"/>
        <v>158479</v>
      </c>
      <c r="L38" s="466">
        <v>137221</v>
      </c>
    </row>
    <row r="39" spans="1:14" x14ac:dyDescent="0.2">
      <c r="A39" s="1526" t="s">
        <v>208</v>
      </c>
      <c r="B39" s="615">
        <v>2140</v>
      </c>
      <c r="C39" s="466">
        <v>85050</v>
      </c>
      <c r="D39" s="466">
        <v>6853</v>
      </c>
      <c r="E39" s="466">
        <v>528</v>
      </c>
      <c r="F39" s="466">
        <v>573</v>
      </c>
      <c r="G39" s="466"/>
      <c r="H39" s="466"/>
      <c r="I39" s="467"/>
      <c r="J39" s="467"/>
      <c r="K39" s="1693">
        <f t="shared" si="2"/>
        <v>93004</v>
      </c>
      <c r="L39" s="466">
        <v>81344</v>
      </c>
    </row>
    <row r="40" spans="1:14" x14ac:dyDescent="0.2">
      <c r="A40" s="1526" t="s">
        <v>209</v>
      </c>
      <c r="B40" s="615">
        <v>2150</v>
      </c>
      <c r="C40" s="466">
        <v>227647</v>
      </c>
      <c r="D40" s="466">
        <v>16900</v>
      </c>
      <c r="E40" s="466">
        <v>47518</v>
      </c>
      <c r="F40" s="466">
        <v>1015</v>
      </c>
      <c r="G40" s="466"/>
      <c r="H40" s="466"/>
      <c r="I40" s="467"/>
      <c r="J40" s="467"/>
      <c r="K40" s="1693">
        <f t="shared" si="2"/>
        <v>293080</v>
      </c>
      <c r="L40" s="466">
        <v>204719</v>
      </c>
    </row>
    <row r="41" spans="1:14" x14ac:dyDescent="0.2">
      <c r="A41" s="1526" t="s">
        <v>1768</v>
      </c>
      <c r="B41" s="615">
        <v>2190</v>
      </c>
      <c r="C41" s="466"/>
      <c r="D41" s="466"/>
      <c r="E41" s="466">
        <v>4999</v>
      </c>
      <c r="F41" s="466">
        <v>7095</v>
      </c>
      <c r="G41" s="466"/>
      <c r="H41" s="466"/>
      <c r="I41" s="467"/>
      <c r="J41" s="467"/>
      <c r="K41" s="1693">
        <f t="shared" si="2"/>
        <v>12094</v>
      </c>
      <c r="L41" s="466">
        <v>14900</v>
      </c>
    </row>
    <row r="42" spans="1:14" ht="12.75" customHeight="1" thickBot="1" x14ac:dyDescent="0.25">
      <c r="A42" s="1690" t="s">
        <v>581</v>
      </c>
      <c r="B42" s="1691" t="s">
        <v>740</v>
      </c>
      <c r="C42" s="1692">
        <f>SUM(C36:C41)</f>
        <v>597208</v>
      </c>
      <c r="D42" s="1692">
        <f t="shared" ref="D42:L42" si="3">SUM(D36:D41)</f>
        <v>33740</v>
      </c>
      <c r="E42" s="1692">
        <f t="shared" si="3"/>
        <v>172476</v>
      </c>
      <c r="F42" s="1692">
        <f t="shared" si="3"/>
        <v>9709</v>
      </c>
      <c r="G42" s="1692">
        <f t="shared" si="3"/>
        <v>0</v>
      </c>
      <c r="H42" s="1692">
        <f t="shared" si="3"/>
        <v>0</v>
      </c>
      <c r="I42" s="1692">
        <f t="shared" si="3"/>
        <v>0</v>
      </c>
      <c r="J42" s="1692">
        <f t="shared" si="3"/>
        <v>0</v>
      </c>
      <c r="K42" s="1692">
        <f t="shared" si="3"/>
        <v>813133</v>
      </c>
      <c r="L42" s="1692">
        <f t="shared" si="3"/>
        <v>641717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637</v>
      </c>
      <c r="D44" s="481">
        <v>6</v>
      </c>
      <c r="E44" s="481">
        <v>26626</v>
      </c>
      <c r="F44" s="481">
        <v>2208</v>
      </c>
      <c r="G44" s="481"/>
      <c r="H44" s="481">
        <v>4500</v>
      </c>
      <c r="I44" s="467"/>
      <c r="J44" s="467"/>
      <c r="K44" s="1694">
        <f>SUM(C44:J44)</f>
        <v>33977</v>
      </c>
      <c r="L44" s="481">
        <v>61122</v>
      </c>
    </row>
    <row r="45" spans="1:14" x14ac:dyDescent="0.2">
      <c r="A45" s="1526" t="s">
        <v>869</v>
      </c>
      <c r="B45" s="615">
        <v>2220</v>
      </c>
      <c r="C45" s="466">
        <v>133574</v>
      </c>
      <c r="D45" s="466">
        <v>9697</v>
      </c>
      <c r="E45" s="466"/>
      <c r="F45" s="466">
        <v>10862</v>
      </c>
      <c r="G45" s="466"/>
      <c r="H45" s="466"/>
      <c r="I45" s="467"/>
      <c r="J45" s="467"/>
      <c r="K45" s="1694">
        <f>SUM(C45:J45)</f>
        <v>154133</v>
      </c>
      <c r="L45" s="466">
        <v>97867</v>
      </c>
    </row>
    <row r="46" spans="1:14" x14ac:dyDescent="0.2">
      <c r="A46" s="1526" t="s">
        <v>870</v>
      </c>
      <c r="B46" s="615">
        <v>2230</v>
      </c>
      <c r="C46" s="466">
        <v>15992</v>
      </c>
      <c r="D46" s="466"/>
      <c r="E46" s="466"/>
      <c r="F46" s="466"/>
      <c r="G46" s="466"/>
      <c r="H46" s="466"/>
      <c r="I46" s="467"/>
      <c r="J46" s="467"/>
      <c r="K46" s="1694">
        <f>SUM(C46:J46)</f>
        <v>15992</v>
      </c>
      <c r="L46" s="466">
        <v>10354</v>
      </c>
    </row>
    <row r="47" spans="1:14" ht="12.75" customHeight="1" thickBot="1" x14ac:dyDescent="0.25">
      <c r="A47" s="1690" t="s">
        <v>582</v>
      </c>
      <c r="B47" s="1691" t="s">
        <v>32</v>
      </c>
      <c r="C47" s="1692">
        <f>SUM(C44:C46)</f>
        <v>150203</v>
      </c>
      <c r="D47" s="1692">
        <f t="shared" ref="D47:K47" si="4">SUM(D44:D46)</f>
        <v>9703</v>
      </c>
      <c r="E47" s="1692">
        <f t="shared" si="4"/>
        <v>26626</v>
      </c>
      <c r="F47" s="1692">
        <f t="shared" si="4"/>
        <v>13070</v>
      </c>
      <c r="G47" s="1692">
        <f t="shared" si="4"/>
        <v>0</v>
      </c>
      <c r="H47" s="1692">
        <f t="shared" si="4"/>
        <v>4500</v>
      </c>
      <c r="I47" s="1692">
        <f t="shared" si="4"/>
        <v>0</v>
      </c>
      <c r="J47" s="1692">
        <f t="shared" si="4"/>
        <v>0</v>
      </c>
      <c r="K47" s="1692">
        <f t="shared" si="4"/>
        <v>204102</v>
      </c>
      <c r="L47" s="1692">
        <f>SUM(L44:L46)</f>
        <v>169343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4607</v>
      </c>
      <c r="D49" s="481">
        <v>31578</v>
      </c>
      <c r="E49" s="481">
        <v>165600</v>
      </c>
      <c r="F49" s="481">
        <v>2437</v>
      </c>
      <c r="G49" s="481"/>
      <c r="H49" s="481">
        <v>7072</v>
      </c>
      <c r="I49" s="467"/>
      <c r="J49" s="467"/>
      <c r="K49" s="1694">
        <f>SUM(C49:J49)</f>
        <v>211294</v>
      </c>
      <c r="L49" s="481">
        <v>186689</v>
      </c>
    </row>
    <row r="50" spans="1:14" x14ac:dyDescent="0.2">
      <c r="A50" s="1526" t="s">
        <v>872</v>
      </c>
      <c r="B50" s="615">
        <v>2320</v>
      </c>
      <c r="C50" s="466">
        <v>134167</v>
      </c>
      <c r="D50" s="466">
        <v>28200</v>
      </c>
      <c r="E50" s="466">
        <v>4921</v>
      </c>
      <c r="F50" s="466">
        <v>1208</v>
      </c>
      <c r="G50" s="466"/>
      <c r="H50" s="466">
        <v>7137</v>
      </c>
      <c r="I50" s="467"/>
      <c r="J50" s="467"/>
      <c r="K50" s="1694">
        <f>SUM(C50:J50)</f>
        <v>175633</v>
      </c>
      <c r="L50" s="466">
        <v>222550</v>
      </c>
    </row>
    <row r="51" spans="1:14" x14ac:dyDescent="0.2">
      <c r="A51" s="1526" t="s">
        <v>44</v>
      </c>
      <c r="B51" s="615">
        <v>2330</v>
      </c>
      <c r="C51" s="466">
        <v>46</v>
      </c>
      <c r="D51" s="466">
        <v>10</v>
      </c>
      <c r="E51" s="466"/>
      <c r="F51" s="466"/>
      <c r="G51" s="466"/>
      <c r="H51" s="466"/>
      <c r="I51" s="467"/>
      <c r="J51" s="467"/>
      <c r="K51" s="1694">
        <f>SUM(C51:J51)</f>
        <v>56</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138820</v>
      </c>
      <c r="D53" s="1692">
        <f t="shared" ref="D53:L53" si="5">SUM(D49:D52)</f>
        <v>59788</v>
      </c>
      <c r="E53" s="1692">
        <f t="shared" si="5"/>
        <v>170521</v>
      </c>
      <c r="F53" s="1692">
        <f t="shared" si="5"/>
        <v>3645</v>
      </c>
      <c r="G53" s="1692">
        <f t="shared" si="5"/>
        <v>0</v>
      </c>
      <c r="H53" s="1692">
        <f t="shared" si="5"/>
        <v>14209</v>
      </c>
      <c r="I53" s="1692">
        <f t="shared" si="5"/>
        <v>0</v>
      </c>
      <c r="J53" s="1692">
        <f t="shared" si="5"/>
        <v>0</v>
      </c>
      <c r="K53" s="1692">
        <f t="shared" si="5"/>
        <v>386983</v>
      </c>
      <c r="L53" s="1692">
        <f t="shared" si="5"/>
        <v>409239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489122</v>
      </c>
      <c r="D55" s="481">
        <v>105591</v>
      </c>
      <c r="E55" s="481">
        <v>4256</v>
      </c>
      <c r="F55" s="481">
        <v>2302</v>
      </c>
      <c r="G55" s="481"/>
      <c r="H55" s="481">
        <v>1803</v>
      </c>
      <c r="I55" s="467"/>
      <c r="J55" s="467"/>
      <c r="K55" s="1694">
        <f>SUM(C55:J55)</f>
        <v>603074</v>
      </c>
      <c r="L55" s="481">
        <v>607585</v>
      </c>
    </row>
    <row r="56" spans="1:14" ht="12.75" customHeight="1" x14ac:dyDescent="0.2">
      <c r="A56" s="1530" t="s">
        <v>394</v>
      </c>
      <c r="B56" s="629">
        <v>2490</v>
      </c>
      <c r="C56" s="466">
        <v>50017</v>
      </c>
      <c r="D56" s="466">
        <v>4542</v>
      </c>
      <c r="E56" s="466"/>
      <c r="F56" s="466"/>
      <c r="G56" s="466"/>
      <c r="H56" s="466"/>
      <c r="I56" s="467"/>
      <c r="J56" s="467"/>
      <c r="K56" s="1694">
        <f>SUM(C56:J56)</f>
        <v>54559</v>
      </c>
      <c r="L56" s="466"/>
    </row>
    <row r="57" spans="1:14" s="343" customFormat="1" ht="12.75" customHeight="1" thickBot="1" x14ac:dyDescent="0.25">
      <c r="A57" s="1690" t="s">
        <v>281</v>
      </c>
      <c r="B57" s="1695" t="s">
        <v>34</v>
      </c>
      <c r="C57" s="1696">
        <f>SUM(C55:C56)</f>
        <v>539139</v>
      </c>
      <c r="D57" s="1696">
        <f t="shared" ref="D57:K57" si="6">SUM(D55:D56)</f>
        <v>110133</v>
      </c>
      <c r="E57" s="1696">
        <f t="shared" si="6"/>
        <v>4256</v>
      </c>
      <c r="F57" s="1696">
        <f t="shared" si="6"/>
        <v>2302</v>
      </c>
      <c r="G57" s="1696">
        <f t="shared" si="6"/>
        <v>0</v>
      </c>
      <c r="H57" s="1696">
        <f t="shared" si="6"/>
        <v>1803</v>
      </c>
      <c r="I57" s="1696">
        <f t="shared" si="6"/>
        <v>0</v>
      </c>
      <c r="J57" s="1696">
        <f t="shared" si="6"/>
        <v>0</v>
      </c>
      <c r="K57" s="1696">
        <f t="shared" si="6"/>
        <v>657633</v>
      </c>
      <c r="L57" s="1692">
        <f>SUM(L55:L56)</f>
        <v>607585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68727</v>
      </c>
      <c r="D60" s="466">
        <v>4863</v>
      </c>
      <c r="E60" s="466">
        <v>140381</v>
      </c>
      <c r="F60" s="466">
        <v>7360</v>
      </c>
      <c r="G60" s="466"/>
      <c r="H60" s="466">
        <v>11777</v>
      </c>
      <c r="I60" s="467"/>
      <c r="J60" s="467"/>
      <c r="K60" s="1694">
        <f t="shared" si="7"/>
        <v>233108</v>
      </c>
      <c r="L60" s="466">
        <v>194218</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182682</v>
      </c>
      <c r="D63" s="466">
        <v>19189</v>
      </c>
      <c r="E63" s="466">
        <v>3000</v>
      </c>
      <c r="F63" s="466">
        <v>225133</v>
      </c>
      <c r="G63" s="466">
        <v>3749</v>
      </c>
      <c r="H63" s="466"/>
      <c r="I63" s="467"/>
      <c r="J63" s="467"/>
      <c r="K63" s="1694">
        <f t="shared" si="7"/>
        <v>433753</v>
      </c>
      <c r="L63" s="466">
        <v>422886</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251409</v>
      </c>
      <c r="D65" s="1692">
        <f t="shared" ref="D65:L65" si="8">SUM(D59:D64)</f>
        <v>24052</v>
      </c>
      <c r="E65" s="1692">
        <f t="shared" si="8"/>
        <v>143381</v>
      </c>
      <c r="F65" s="1692">
        <f t="shared" si="8"/>
        <v>232493</v>
      </c>
      <c r="G65" s="1692">
        <f t="shared" si="8"/>
        <v>3749</v>
      </c>
      <c r="H65" s="1692">
        <f t="shared" si="8"/>
        <v>11777</v>
      </c>
      <c r="I65" s="1692">
        <f t="shared" si="8"/>
        <v>0</v>
      </c>
      <c r="J65" s="1692">
        <f t="shared" si="8"/>
        <v>0</v>
      </c>
      <c r="K65" s="1692">
        <f t="shared" si="8"/>
        <v>666861</v>
      </c>
      <c r="L65" s="1692">
        <f t="shared" si="8"/>
        <v>617104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v>11803</v>
      </c>
      <c r="F70" s="466"/>
      <c r="G70" s="466"/>
      <c r="H70" s="466"/>
      <c r="I70" s="467"/>
      <c r="J70" s="467"/>
      <c r="K70" s="1694">
        <f>SUM(C70:J70)</f>
        <v>11803</v>
      </c>
      <c r="L70" s="466"/>
      <c r="M70" s="610"/>
      <c r="N70" s="610"/>
    </row>
    <row r="71" spans="1:14" s="343" customFormat="1" x14ac:dyDescent="0.2">
      <c r="A71" s="1526" t="s">
        <v>424</v>
      </c>
      <c r="B71" s="615">
        <v>2660</v>
      </c>
      <c r="C71" s="466">
        <v>124532</v>
      </c>
      <c r="D71" s="466">
        <v>14616</v>
      </c>
      <c r="E71" s="466"/>
      <c r="F71" s="466"/>
      <c r="G71" s="466"/>
      <c r="H71" s="466"/>
      <c r="I71" s="467"/>
      <c r="J71" s="467"/>
      <c r="K71" s="1694">
        <f>SUM(C71:J71)</f>
        <v>139148</v>
      </c>
      <c r="L71" s="466">
        <v>145869</v>
      </c>
      <c r="M71" s="610"/>
      <c r="N71" s="610"/>
    </row>
    <row r="72" spans="1:14" s="343" customFormat="1" ht="12.75" customHeight="1" thickBot="1" x14ac:dyDescent="0.25">
      <c r="A72" s="1690" t="s">
        <v>37</v>
      </c>
      <c r="B72" s="1697" t="s">
        <v>36</v>
      </c>
      <c r="C72" s="1692">
        <f>SUM(C67:C71)</f>
        <v>124532</v>
      </c>
      <c r="D72" s="1692">
        <f t="shared" ref="D72:K72" si="9">SUM(D67:D71)</f>
        <v>14616</v>
      </c>
      <c r="E72" s="1692">
        <f t="shared" si="9"/>
        <v>11803</v>
      </c>
      <c r="F72" s="1692">
        <f t="shared" si="9"/>
        <v>0</v>
      </c>
      <c r="G72" s="1692">
        <f t="shared" si="9"/>
        <v>0</v>
      </c>
      <c r="H72" s="1692">
        <f t="shared" si="9"/>
        <v>0</v>
      </c>
      <c r="I72" s="1692">
        <f t="shared" si="9"/>
        <v>0</v>
      </c>
      <c r="J72" s="1692">
        <f t="shared" si="9"/>
        <v>0</v>
      </c>
      <c r="K72" s="1692">
        <f t="shared" si="9"/>
        <v>150951</v>
      </c>
      <c r="L72" s="1692">
        <f>SUM(L67:L71)</f>
        <v>145869</v>
      </c>
      <c r="M72" s="610"/>
      <c r="N72" s="610"/>
    </row>
    <row r="73" spans="1:14" s="343" customFormat="1" ht="14.25" thickTop="1" thickBot="1" x14ac:dyDescent="0.25">
      <c r="A73" s="1532" t="s">
        <v>1037</v>
      </c>
      <c r="B73" s="633" t="s">
        <v>595</v>
      </c>
      <c r="C73" s="573"/>
      <c r="D73" s="573"/>
      <c r="E73" s="573">
        <v>4960</v>
      </c>
      <c r="F73" s="573">
        <v>226</v>
      </c>
      <c r="G73" s="573"/>
      <c r="H73" s="573"/>
      <c r="I73" s="531"/>
      <c r="J73" s="531"/>
      <c r="K73" s="1692">
        <f>SUM(C73:J73)</f>
        <v>5186</v>
      </c>
      <c r="L73" s="576">
        <v>850</v>
      </c>
      <c r="M73" s="610"/>
      <c r="N73" s="610"/>
    </row>
    <row r="74" spans="1:14" ht="12.75" customHeight="1" thickTop="1" thickBot="1" x14ac:dyDescent="0.25">
      <c r="A74" s="1690" t="s">
        <v>865</v>
      </c>
      <c r="B74" s="1698">
        <v>2000</v>
      </c>
      <c r="C74" s="1699">
        <f>SUM(C42,C47,C53,C57,C65,C72,C73)</f>
        <v>1801311</v>
      </c>
      <c r="D74" s="1699">
        <f t="shared" ref="D74:K74" si="10">SUM(D42,D47,D53,D57,D65,D72,D73)</f>
        <v>252032</v>
      </c>
      <c r="E74" s="1699">
        <f t="shared" si="10"/>
        <v>534023</v>
      </c>
      <c r="F74" s="1699">
        <f t="shared" si="10"/>
        <v>261445</v>
      </c>
      <c r="G74" s="1699">
        <f t="shared" si="10"/>
        <v>3749</v>
      </c>
      <c r="H74" s="1699">
        <f t="shared" si="10"/>
        <v>32289</v>
      </c>
      <c r="I74" s="1699">
        <f t="shared" si="10"/>
        <v>0</v>
      </c>
      <c r="J74" s="1699">
        <f t="shared" si="10"/>
        <v>0</v>
      </c>
      <c r="K74" s="1699">
        <f t="shared" si="10"/>
        <v>2884849</v>
      </c>
      <c r="L74" s="1699">
        <f>SUM(L42,L47,L53,L57,L65,L72,L73)</f>
        <v>2591707</v>
      </c>
    </row>
    <row r="75" spans="1:14" s="259" customFormat="1" ht="15.75" customHeight="1" thickTop="1" thickBot="1" x14ac:dyDescent="0.25">
      <c r="A75" s="1632" t="s">
        <v>49</v>
      </c>
      <c r="B75" s="1633" t="s">
        <v>596</v>
      </c>
      <c r="C75" s="573">
        <v>4181</v>
      </c>
      <c r="D75" s="573">
        <v>28</v>
      </c>
      <c r="E75" s="573"/>
      <c r="F75" s="573">
        <v>6900</v>
      </c>
      <c r="G75" s="573"/>
      <c r="H75" s="573"/>
      <c r="I75" s="531"/>
      <c r="J75" s="531"/>
      <c r="K75" s="1692">
        <f>SUM(C75:J75)</f>
        <v>11109</v>
      </c>
      <c r="L75" s="576">
        <v>6090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6750</v>
      </c>
    </row>
    <row r="79" spans="1:14" x14ac:dyDescent="0.2">
      <c r="A79" s="1526" t="s">
        <v>322</v>
      </c>
      <c r="B79" s="615">
        <v>4120</v>
      </c>
      <c r="C79" s="617"/>
      <c r="D79" s="617"/>
      <c r="E79" s="466">
        <v>5895</v>
      </c>
      <c r="F79" s="617"/>
      <c r="G79" s="617"/>
      <c r="H79" s="466">
        <v>371691</v>
      </c>
      <c r="I79" s="477"/>
      <c r="J79" s="477"/>
      <c r="K79" s="1693">
        <f t="shared" si="11"/>
        <v>377586</v>
      </c>
      <c r="L79" s="466">
        <v>245826</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5895</v>
      </c>
      <c r="F84" s="617"/>
      <c r="G84" s="617"/>
      <c r="H84" s="1692">
        <f>SUM(H78:H83)</f>
        <v>371691</v>
      </c>
      <c r="I84" s="477"/>
      <c r="J84" s="477"/>
      <c r="K84" s="1692">
        <f>SUM(K78:K83)</f>
        <v>377586</v>
      </c>
      <c r="L84" s="1692">
        <f>SUM(L78:L83)</f>
        <v>252576</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274361</v>
      </c>
      <c r="I86" s="477"/>
      <c r="J86" s="477"/>
      <c r="K86" s="1699">
        <f t="shared" ref="K86:K98" si="12">H86</f>
        <v>274361</v>
      </c>
      <c r="L86" s="530">
        <v>377143</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274361</v>
      </c>
      <c r="I92" s="477"/>
      <c r="J92" s="477"/>
      <c r="K92" s="1699">
        <f t="shared" si="12"/>
        <v>274361</v>
      </c>
      <c r="L92" s="1692">
        <f>SUM(L85:L91)</f>
        <v>377143</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5895</v>
      </c>
      <c r="F102" s="617"/>
      <c r="G102" s="617"/>
      <c r="H102" s="1699">
        <f>SUM(H84,H92,H100,H101)</f>
        <v>646052</v>
      </c>
      <c r="I102" s="477"/>
      <c r="J102" s="477"/>
      <c r="K102" s="1699">
        <f>SUM(K84,K92,K100,K101)</f>
        <v>651947</v>
      </c>
      <c r="L102" s="1699">
        <f>SUM(L84,L92,L100,L101)</f>
        <v>629719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6140729</v>
      </c>
      <c r="D114" s="1692">
        <f t="shared" ref="D114:K114" si="13">SUM(D33,D74,D75,D102,D112,D113)</f>
        <v>825958</v>
      </c>
      <c r="E114" s="1692">
        <f t="shared" si="13"/>
        <v>738678</v>
      </c>
      <c r="F114" s="1692">
        <f t="shared" si="13"/>
        <v>507238</v>
      </c>
      <c r="G114" s="1692">
        <f t="shared" si="13"/>
        <v>21371</v>
      </c>
      <c r="H114" s="1692">
        <f>SUM(H33,H74,H75,H102,H112,H113)</f>
        <v>684330</v>
      </c>
      <c r="I114" s="1692">
        <f t="shared" si="13"/>
        <v>0</v>
      </c>
      <c r="J114" s="1692">
        <f t="shared" si="13"/>
        <v>0</v>
      </c>
      <c r="K114" s="1692">
        <f t="shared" si="13"/>
        <v>8918304</v>
      </c>
      <c r="L114" s="1692">
        <f>SUM(L33,L74,L75,L102,L112,L113)</f>
        <v>8092997</v>
      </c>
    </row>
    <row r="115" spans="1:14" ht="13.5" thickTop="1" x14ac:dyDescent="0.2">
      <c r="A115" s="2176" t="s">
        <v>1053</v>
      </c>
      <c r="B115" s="2177"/>
      <c r="C115" s="619"/>
      <c r="D115" s="619"/>
      <c r="E115" s="619"/>
      <c r="F115" s="619"/>
      <c r="G115" s="619"/>
      <c r="H115" s="619"/>
      <c r="I115" s="619"/>
      <c r="J115" s="619"/>
      <c r="K115" s="1706">
        <f>'Revenues 9-14'!C275-'Expenditures 15-22'!K114</f>
        <v>-1281507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361501</v>
      </c>
      <c r="D124" s="466">
        <v>48248</v>
      </c>
      <c r="E124" s="466">
        <v>188663</v>
      </c>
      <c r="F124" s="466">
        <v>262772</v>
      </c>
      <c r="G124" s="466">
        <v>2383</v>
      </c>
      <c r="H124" s="466">
        <v>219</v>
      </c>
      <c r="I124" s="467"/>
      <c r="J124" s="467"/>
      <c r="K124" s="1692">
        <f>SUM(C124:J124)</f>
        <v>863786</v>
      </c>
      <c r="L124" s="466">
        <v>862701</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361501</v>
      </c>
      <c r="D127" s="1692">
        <f t="shared" ref="D127:L127" si="14">SUM(D122:D126)</f>
        <v>48248</v>
      </c>
      <c r="E127" s="1692">
        <f t="shared" si="14"/>
        <v>188663</v>
      </c>
      <c r="F127" s="1692">
        <f t="shared" si="14"/>
        <v>262772</v>
      </c>
      <c r="G127" s="1692">
        <f t="shared" si="14"/>
        <v>2383</v>
      </c>
      <c r="H127" s="1692">
        <f t="shared" si="14"/>
        <v>219</v>
      </c>
      <c r="I127" s="1692">
        <f t="shared" si="14"/>
        <v>0</v>
      </c>
      <c r="J127" s="1692">
        <f t="shared" si="14"/>
        <v>0</v>
      </c>
      <c r="K127" s="1692">
        <f t="shared" si="14"/>
        <v>863786</v>
      </c>
      <c r="L127" s="1692">
        <f t="shared" si="14"/>
        <v>862701</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361501</v>
      </c>
      <c r="D129" s="1699">
        <f t="shared" ref="D129:L129" si="15">SUM(D120,D127,D128)</f>
        <v>48248</v>
      </c>
      <c r="E129" s="1699">
        <f t="shared" si="15"/>
        <v>188663</v>
      </c>
      <c r="F129" s="1699">
        <f t="shared" si="15"/>
        <v>262772</v>
      </c>
      <c r="G129" s="1699">
        <f t="shared" si="15"/>
        <v>2383</v>
      </c>
      <c r="H129" s="1699">
        <f t="shared" si="15"/>
        <v>219</v>
      </c>
      <c r="I129" s="1699">
        <f t="shared" si="15"/>
        <v>0</v>
      </c>
      <c r="J129" s="1699">
        <f t="shared" si="15"/>
        <v>0</v>
      </c>
      <c r="K129" s="1699">
        <f t="shared" si="15"/>
        <v>863786</v>
      </c>
      <c r="L129" s="1699">
        <f t="shared" si="15"/>
        <v>862701</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3" t="s">
        <v>641</v>
      </c>
      <c r="B151" s="2173"/>
      <c r="C151" s="1692">
        <f>SUM(C129,C130,C139,C149,C150)</f>
        <v>361501</v>
      </c>
      <c r="D151" s="1692">
        <f t="shared" ref="D151:K151" si="16">SUM(D129,D130,D139,D149,D150)</f>
        <v>48248</v>
      </c>
      <c r="E151" s="1692">
        <f t="shared" si="16"/>
        <v>188663</v>
      </c>
      <c r="F151" s="1692">
        <f t="shared" si="16"/>
        <v>262772</v>
      </c>
      <c r="G151" s="1692">
        <f t="shared" si="16"/>
        <v>2383</v>
      </c>
      <c r="H151" s="1692">
        <f t="shared" si="16"/>
        <v>219</v>
      </c>
      <c r="I151" s="1692">
        <f t="shared" si="16"/>
        <v>0</v>
      </c>
      <c r="J151" s="1692">
        <f t="shared" si="16"/>
        <v>0</v>
      </c>
      <c r="K151" s="1692">
        <f t="shared" si="16"/>
        <v>863786</v>
      </c>
      <c r="L151" s="1692">
        <f>SUM(L129,L130,L139,L149,L150)</f>
        <v>862701</v>
      </c>
    </row>
    <row r="152" spans="1:14" ht="12.75" customHeight="1" thickTop="1" x14ac:dyDescent="0.2">
      <c r="A152" s="2196" t="s">
        <v>1240</v>
      </c>
      <c r="B152" s="2197"/>
      <c r="C152" s="619"/>
      <c r="D152" s="619"/>
      <c r="E152" s="619"/>
      <c r="F152" s="619"/>
      <c r="G152" s="619"/>
      <c r="H152" s="619"/>
      <c r="I152" s="619"/>
      <c r="J152" s="617"/>
      <c r="K152" s="1706">
        <f>'Revenues 9-14'!D275-'Expenditures 15-22'!K151</f>
        <v>149963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331096</v>
      </c>
      <c r="I169" s="617"/>
      <c r="J169" s="617"/>
      <c r="K169" s="1693">
        <f>SUM(C169:H169)</f>
        <v>331096</v>
      </c>
      <c r="L169" s="657">
        <v>271271</v>
      </c>
    </row>
    <row r="170" spans="1:14" ht="33.75" customHeight="1" x14ac:dyDescent="0.2">
      <c r="A170" s="670" t="s">
        <v>1769</v>
      </c>
      <c r="B170" s="672" t="s">
        <v>31</v>
      </c>
      <c r="C170" s="617"/>
      <c r="D170" s="617"/>
      <c r="E170" s="617"/>
      <c r="F170" s="617"/>
      <c r="G170" s="617"/>
      <c r="H170" s="569">
        <v>1372579</v>
      </c>
      <c r="I170" s="617"/>
      <c r="J170" s="617"/>
      <c r="K170" s="1693">
        <f>SUM(C170:J170)</f>
        <v>1372579</v>
      </c>
      <c r="L170" s="569">
        <v>1372579</v>
      </c>
    </row>
    <row r="171" spans="1:14" ht="15.75" customHeight="1" x14ac:dyDescent="0.2">
      <c r="A171" s="622" t="s">
        <v>790</v>
      </c>
      <c r="B171" s="673" t="s">
        <v>86</v>
      </c>
      <c r="C171" s="617"/>
      <c r="D171" s="617"/>
      <c r="E171" s="466"/>
      <c r="F171" s="617"/>
      <c r="G171" s="617"/>
      <c r="H171" s="569">
        <v>3628</v>
      </c>
      <c r="I171" s="477"/>
      <c r="J171" s="617"/>
      <c r="K171" s="1693">
        <f>SUM(C171:J171)</f>
        <v>3628</v>
      </c>
      <c r="L171" s="569">
        <v>3500</v>
      </c>
    </row>
    <row r="172" spans="1:14" ht="12.75" customHeight="1" thickBot="1" x14ac:dyDescent="0.25">
      <c r="A172" s="1690" t="s">
        <v>659</v>
      </c>
      <c r="B172" s="1691" t="s">
        <v>513</v>
      </c>
      <c r="C172" s="617"/>
      <c r="D172" s="617"/>
      <c r="E172" s="1699">
        <f>SUM(E168,E169,E170,E171)</f>
        <v>0</v>
      </c>
      <c r="F172" s="617"/>
      <c r="G172" s="617"/>
      <c r="H172" s="1699">
        <f>SUM(H168,H169,H170,H171)</f>
        <v>1707303</v>
      </c>
      <c r="I172" s="639"/>
      <c r="J172" s="617"/>
      <c r="K172" s="1699">
        <f>SUM(K168,K169,K170,K171)</f>
        <v>1707303</v>
      </c>
      <c r="L172" s="1699">
        <f>SUM(L168,L169,L170,L171)</f>
        <v>1647350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1707303</v>
      </c>
      <c r="I174" s="639"/>
      <c r="J174" s="617"/>
      <c r="K174" s="1699">
        <f>SUM(K160,K172,K173)</f>
        <v>1707303</v>
      </c>
      <c r="L174" s="1699">
        <f>SUM(L160,L172,L173)</f>
        <v>1647350</v>
      </c>
    </row>
    <row r="175" spans="1:14" ht="13.5" thickTop="1" x14ac:dyDescent="0.2">
      <c r="A175" s="2176" t="s">
        <v>1053</v>
      </c>
      <c r="B175" s="2177"/>
      <c r="C175" s="617"/>
      <c r="D175" s="617"/>
      <c r="E175" s="617"/>
      <c r="F175" s="617"/>
      <c r="G175" s="617"/>
      <c r="H175" s="619"/>
      <c r="I175" s="617"/>
      <c r="J175" s="617"/>
      <c r="K175" s="1706">
        <f>'Revenues 9-14'!E275-'Expenditures 15-22'!K174</f>
        <v>-4064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322143</v>
      </c>
      <c r="D182" s="466">
        <v>60119</v>
      </c>
      <c r="E182" s="466">
        <v>133035</v>
      </c>
      <c r="F182" s="466">
        <v>73660</v>
      </c>
      <c r="G182" s="466">
        <v>51114</v>
      </c>
      <c r="H182" s="466">
        <v>750</v>
      </c>
      <c r="I182" s="467"/>
      <c r="J182" s="467"/>
      <c r="K182" s="1693">
        <f>SUM(C182:J182)</f>
        <v>640821</v>
      </c>
      <c r="L182" s="466">
        <v>610245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322143</v>
      </c>
      <c r="D184" s="1699">
        <f t="shared" ref="D184:J184" si="17">SUM(D180,D182,D183)</f>
        <v>60119</v>
      </c>
      <c r="E184" s="1699">
        <f t="shared" si="17"/>
        <v>133035</v>
      </c>
      <c r="F184" s="1699">
        <f t="shared" si="17"/>
        <v>73660</v>
      </c>
      <c r="G184" s="1699">
        <f t="shared" si="17"/>
        <v>51114</v>
      </c>
      <c r="H184" s="1699">
        <f t="shared" si="17"/>
        <v>750</v>
      </c>
      <c r="I184" s="1699">
        <f t="shared" si="17"/>
        <v>0</v>
      </c>
      <c r="J184" s="1699">
        <f t="shared" si="17"/>
        <v>0</v>
      </c>
      <c r="K184" s="1699">
        <f>SUM(K180,K182,K183)</f>
        <v>640821</v>
      </c>
      <c r="L184" s="1699">
        <f>SUM(L180, L182:L183)</f>
        <v>610245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322143</v>
      </c>
      <c r="D210" s="1692">
        <f>SUM(D184,D185)</f>
        <v>60119</v>
      </c>
      <c r="E210" s="1692">
        <f>SUM(E184,E185,E196)</f>
        <v>133035</v>
      </c>
      <c r="F210" s="1692">
        <f>SUM(F184,F185)</f>
        <v>73660</v>
      </c>
      <c r="G210" s="1692">
        <f>SUM(G184,G185)</f>
        <v>51114</v>
      </c>
      <c r="H210" s="1692">
        <f>SUM(H184,H185,H196,H208,H209)</f>
        <v>750</v>
      </c>
      <c r="I210" s="1692">
        <f>SUM(I184,I185)</f>
        <v>0</v>
      </c>
      <c r="J210" s="1692">
        <f>SUM(J184,J185)</f>
        <v>0</v>
      </c>
      <c r="K210" s="1693">
        <f>SUM(K184,K185,K196,K208,K209)</f>
        <v>640821</v>
      </c>
      <c r="L210" s="1692">
        <f>SUM(L184,L185,L196,L208,L209)</f>
        <v>610245</v>
      </c>
    </row>
    <row r="211" spans="1:14" ht="13.5" thickTop="1" x14ac:dyDescent="0.2">
      <c r="A211" s="2176" t="s">
        <v>1053</v>
      </c>
      <c r="B211" s="2177"/>
      <c r="C211" s="619"/>
      <c r="D211" s="619"/>
      <c r="E211" s="619"/>
      <c r="F211" s="619"/>
      <c r="G211" s="619"/>
      <c r="H211" s="619"/>
      <c r="I211" s="617"/>
      <c r="J211" s="617"/>
      <c r="K211" s="1706">
        <f>'Revenues 9-14'!F275-'Expenditures 15-22'!K210</f>
        <v>998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56080</v>
      </c>
      <c r="E215" s="617"/>
      <c r="F215" s="617"/>
      <c r="G215" s="617"/>
      <c r="H215" s="617"/>
      <c r="I215" s="617"/>
      <c r="J215" s="617"/>
      <c r="K215" s="1693">
        <f>D215</f>
        <v>56080</v>
      </c>
      <c r="L215" s="466">
        <v>34888</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f>100262+2818</f>
        <v>103080</v>
      </c>
      <c r="E217" s="617"/>
      <c r="F217" s="617"/>
      <c r="G217" s="617"/>
      <c r="H217" s="617"/>
      <c r="I217" s="617"/>
      <c r="J217" s="617"/>
      <c r="K217" s="1693">
        <f t="shared" si="19"/>
        <v>103080</v>
      </c>
      <c r="L217" s="466">
        <v>99020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6293</v>
      </c>
      <c r="E223" s="617"/>
      <c r="F223" s="617"/>
      <c r="G223" s="617"/>
      <c r="H223" s="617"/>
      <c r="I223" s="617"/>
      <c r="J223" s="617"/>
      <c r="K223" s="1693">
        <f t="shared" si="19"/>
        <v>6293</v>
      </c>
      <c r="L223" s="466">
        <v>25282</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2601</v>
      </c>
      <c r="E227" s="617"/>
      <c r="F227" s="617"/>
      <c r="G227" s="617"/>
      <c r="H227" s="617"/>
      <c r="I227" s="617"/>
      <c r="J227" s="617"/>
      <c r="K227" s="1693">
        <f t="shared" si="19"/>
        <v>2601</v>
      </c>
      <c r="L227" s="466">
        <v>1222</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168054</v>
      </c>
      <c r="E229" s="617"/>
      <c r="F229" s="617"/>
      <c r="G229" s="617"/>
      <c r="H229" s="617"/>
      <c r="I229" s="617"/>
      <c r="J229" s="617"/>
      <c r="K229" s="1692">
        <f>SUM(K215:K228)</f>
        <v>168054</v>
      </c>
      <c r="L229" s="1692">
        <f>SUM(L215:L228)</f>
        <v>160412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3335</v>
      </c>
      <c r="E232" s="617"/>
      <c r="F232" s="617"/>
      <c r="G232" s="617"/>
      <c r="H232" s="617"/>
      <c r="I232" s="617"/>
      <c r="J232" s="617"/>
      <c r="K232" s="1693">
        <f t="shared" ref="K232:K237" si="20">D232</f>
        <v>3335</v>
      </c>
      <c r="L232" s="466">
        <v>2828</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2142</v>
      </c>
      <c r="E234" s="617"/>
      <c r="F234" s="617"/>
      <c r="G234" s="617"/>
      <c r="H234" s="617"/>
      <c r="I234" s="617"/>
      <c r="J234" s="617"/>
      <c r="K234" s="1693">
        <f t="shared" si="20"/>
        <v>2142</v>
      </c>
      <c r="L234" s="466">
        <v>662</v>
      </c>
    </row>
    <row r="235" spans="1:12" x14ac:dyDescent="0.2">
      <c r="A235" s="1526" t="s">
        <v>208</v>
      </c>
      <c r="B235" s="615">
        <v>2140</v>
      </c>
      <c r="C235" s="617"/>
      <c r="D235" s="466">
        <v>1198</v>
      </c>
      <c r="E235" s="617"/>
      <c r="F235" s="617"/>
      <c r="G235" s="617"/>
      <c r="H235" s="617"/>
      <c r="I235" s="617"/>
      <c r="J235" s="617"/>
      <c r="K235" s="1693">
        <f t="shared" si="20"/>
        <v>1198</v>
      </c>
      <c r="L235" s="466">
        <v>1068</v>
      </c>
    </row>
    <row r="236" spans="1:12" x14ac:dyDescent="0.2">
      <c r="A236" s="1526" t="s">
        <v>209</v>
      </c>
      <c r="B236" s="615">
        <v>2150</v>
      </c>
      <c r="C236" s="617"/>
      <c r="D236" s="466">
        <v>3199</v>
      </c>
      <c r="E236" s="617"/>
      <c r="F236" s="617"/>
      <c r="G236" s="617"/>
      <c r="H236" s="617"/>
      <c r="I236" s="617"/>
      <c r="J236" s="617"/>
      <c r="K236" s="1693">
        <f t="shared" si="20"/>
        <v>3199</v>
      </c>
      <c r="L236" s="466">
        <v>2743</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9874</v>
      </c>
      <c r="E238" s="617"/>
      <c r="F238" s="617"/>
      <c r="G238" s="617"/>
      <c r="H238" s="617"/>
      <c r="I238" s="617"/>
      <c r="J238" s="617"/>
      <c r="K238" s="1692">
        <f>SUM(K232:K237)</f>
        <v>9874</v>
      </c>
      <c r="L238" s="1692">
        <f>SUM(L232:L237)</f>
        <v>7301</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9</v>
      </c>
      <c r="E240" s="617"/>
      <c r="F240" s="617"/>
      <c r="G240" s="617"/>
      <c r="H240" s="617"/>
      <c r="I240" s="617"/>
      <c r="J240" s="617"/>
      <c r="K240" s="1694">
        <f>D240</f>
        <v>9</v>
      </c>
      <c r="L240" s="481"/>
    </row>
    <row r="241" spans="1:12" x14ac:dyDescent="0.2">
      <c r="A241" s="1526" t="s">
        <v>869</v>
      </c>
      <c r="B241" s="615">
        <v>2220</v>
      </c>
      <c r="C241" s="617"/>
      <c r="D241" s="466">
        <v>17314</v>
      </c>
      <c r="E241" s="617"/>
      <c r="F241" s="617"/>
      <c r="G241" s="617"/>
      <c r="H241" s="617"/>
      <c r="I241" s="617"/>
      <c r="J241" s="617"/>
      <c r="K241" s="1694">
        <f>D241</f>
        <v>17314</v>
      </c>
      <c r="L241" s="466">
        <v>14124</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17323</v>
      </c>
      <c r="E243" s="617"/>
      <c r="F243" s="617"/>
      <c r="G243" s="617"/>
      <c r="H243" s="617"/>
      <c r="I243" s="617"/>
      <c r="J243" s="617"/>
      <c r="K243" s="1692">
        <f>SUM(K240:K242)</f>
        <v>17323</v>
      </c>
      <c r="L243" s="1692">
        <f>SUM(L240:L242)</f>
        <v>14124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342+34</f>
        <v>376</v>
      </c>
      <c r="E245" s="617"/>
      <c r="F245" s="617"/>
      <c r="G245" s="617"/>
      <c r="H245" s="617"/>
      <c r="I245" s="617"/>
      <c r="J245" s="617"/>
      <c r="K245" s="1694">
        <f>D245</f>
        <v>376</v>
      </c>
      <c r="L245" s="481">
        <v>363</v>
      </c>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376</v>
      </c>
      <c r="E257" s="617"/>
      <c r="F257" s="617"/>
      <c r="G257" s="617"/>
      <c r="H257" s="617"/>
      <c r="I257" s="617"/>
      <c r="J257" s="617"/>
      <c r="K257" s="1692">
        <f>SUM(K245:K256)</f>
        <v>376</v>
      </c>
      <c r="L257" s="1692">
        <f>SUM(L245:L256)</f>
        <v>363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27439</v>
      </c>
      <c r="E259" s="617"/>
      <c r="F259" s="617"/>
      <c r="G259" s="617"/>
      <c r="H259" s="617"/>
      <c r="I259" s="617"/>
      <c r="J259" s="617"/>
      <c r="K259" s="1694">
        <f>D259</f>
        <v>27439</v>
      </c>
      <c r="L259" s="481">
        <v>33496</v>
      </c>
    </row>
    <row r="260" spans="1:14" s="598" customFormat="1" x14ac:dyDescent="0.2">
      <c r="A260" s="1544" t="s">
        <v>1907</v>
      </c>
      <c r="B260" s="629">
        <v>2490</v>
      </c>
      <c r="C260" s="617"/>
      <c r="D260" s="466">
        <v>8992</v>
      </c>
      <c r="E260" s="617"/>
      <c r="F260" s="617"/>
      <c r="G260" s="617"/>
      <c r="H260" s="617"/>
      <c r="I260" s="617"/>
      <c r="J260" s="617"/>
      <c r="K260" s="1694">
        <f>D260</f>
        <v>8992</v>
      </c>
      <c r="L260" s="466"/>
      <c r="M260" s="210"/>
      <c r="N260" s="210"/>
    </row>
    <row r="261" spans="1:14" ht="12.75" customHeight="1" thickBot="1" x14ac:dyDescent="0.25">
      <c r="A261" s="1714" t="s">
        <v>281</v>
      </c>
      <c r="B261" s="1719" t="s">
        <v>34</v>
      </c>
      <c r="C261" s="617"/>
      <c r="D261" s="1692">
        <f>SUM(D259:D260)</f>
        <v>36431</v>
      </c>
      <c r="E261" s="617"/>
      <c r="F261" s="617"/>
      <c r="G261" s="617"/>
      <c r="H261" s="617"/>
      <c r="I261" s="617"/>
      <c r="J261" s="617"/>
      <c r="K261" s="1692">
        <f>SUM(K259:K260)</f>
        <v>36431</v>
      </c>
      <c r="L261" s="1692">
        <f>SUM(L259:L260)</f>
        <v>33496</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21017</v>
      </c>
      <c r="E264" s="617"/>
      <c r="F264" s="617"/>
      <c r="G264" s="617"/>
      <c r="H264" s="617"/>
      <c r="I264" s="617"/>
      <c r="J264" s="617"/>
      <c r="K264" s="1694">
        <f t="shared" ref="K264:K269" si="22">D264</f>
        <v>21017</v>
      </c>
      <c r="L264" s="466">
        <v>32106</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56575</v>
      </c>
      <c r="E266" s="617"/>
      <c r="F266" s="617"/>
      <c r="G266" s="617"/>
      <c r="H266" s="617"/>
      <c r="I266" s="617"/>
      <c r="J266" s="617"/>
      <c r="K266" s="1694">
        <f t="shared" si="22"/>
        <v>56575</v>
      </c>
      <c r="L266" s="466">
        <v>56599</v>
      </c>
    </row>
    <row r="267" spans="1:14" x14ac:dyDescent="0.2">
      <c r="A267" s="1526" t="s">
        <v>1010</v>
      </c>
      <c r="B267" s="615">
        <v>2550</v>
      </c>
      <c r="C267" s="617"/>
      <c r="D267" s="466">
        <v>56185</v>
      </c>
      <c r="E267" s="617"/>
      <c r="F267" s="617"/>
      <c r="G267" s="617"/>
      <c r="H267" s="617"/>
      <c r="I267" s="617"/>
      <c r="J267" s="617"/>
      <c r="K267" s="1694">
        <f t="shared" si="22"/>
        <v>56185</v>
      </c>
      <c r="L267" s="466">
        <v>43538</v>
      </c>
    </row>
    <row r="268" spans="1:14" x14ac:dyDescent="0.2">
      <c r="A268" s="1526" t="s">
        <v>102</v>
      </c>
      <c r="B268" s="615">
        <v>2560</v>
      </c>
      <c r="C268" s="617"/>
      <c r="D268" s="466">
        <v>32099</v>
      </c>
      <c r="E268" s="617"/>
      <c r="F268" s="617"/>
      <c r="G268" s="617"/>
      <c r="H268" s="617"/>
      <c r="I268" s="617"/>
      <c r="J268" s="617"/>
      <c r="K268" s="1694">
        <f t="shared" si="22"/>
        <v>32099</v>
      </c>
      <c r="L268" s="466">
        <v>26974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165876</v>
      </c>
      <c r="E270" s="617"/>
      <c r="F270" s="617"/>
      <c r="G270" s="617"/>
      <c r="H270" s="617"/>
      <c r="I270" s="617"/>
      <c r="J270" s="617"/>
      <c r="K270" s="1692">
        <f>SUM(K263:K269)</f>
        <v>165876</v>
      </c>
      <c r="L270" s="1692">
        <f>SUM(L263:L269)</f>
        <v>159217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20541</v>
      </c>
      <c r="E276" s="617"/>
      <c r="F276" s="617"/>
      <c r="G276" s="617"/>
      <c r="H276" s="617"/>
      <c r="I276" s="617"/>
      <c r="J276" s="617"/>
      <c r="K276" s="1694">
        <f>D276</f>
        <v>20541</v>
      </c>
      <c r="L276" s="466">
        <v>22784</v>
      </c>
    </row>
    <row r="277" spans="1:12" ht="12.75" customHeight="1" thickBot="1" x14ac:dyDescent="0.25">
      <c r="A277" s="1713" t="s">
        <v>37</v>
      </c>
      <c r="B277" s="1691" t="s">
        <v>36</v>
      </c>
      <c r="C277" s="617"/>
      <c r="D277" s="1692">
        <f>SUM(D272:D276)</f>
        <v>20541</v>
      </c>
      <c r="E277" s="617"/>
      <c r="F277" s="617"/>
      <c r="G277" s="617"/>
      <c r="H277" s="617"/>
      <c r="I277" s="617"/>
      <c r="J277" s="617"/>
      <c r="K277" s="1692">
        <f>SUM(K272:K276)</f>
        <v>20541</v>
      </c>
      <c r="L277" s="1692">
        <f>SUM(L272:L276)</f>
        <v>22784</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250421</v>
      </c>
      <c r="E279" s="617"/>
      <c r="F279" s="617"/>
      <c r="G279" s="617"/>
      <c r="H279" s="617"/>
      <c r="I279" s="617"/>
      <c r="J279" s="617"/>
      <c r="K279" s="1699">
        <f>SUM(K238,K243,K257,K261,K270,K277,K278)</f>
        <v>250421</v>
      </c>
      <c r="L279" s="1699">
        <f>SUM(L238,L243,L257,L261,L270,L277,L278)</f>
        <v>237285</v>
      </c>
    </row>
    <row r="280" spans="1:12" ht="15.75" customHeight="1" thickTop="1" thickBot="1" x14ac:dyDescent="0.25">
      <c r="A280" s="1646" t="s">
        <v>930</v>
      </c>
      <c r="B280" s="1635">
        <v>3000</v>
      </c>
      <c r="C280" s="617"/>
      <c r="D280" s="576">
        <v>379</v>
      </c>
      <c r="E280" s="617"/>
      <c r="F280" s="617"/>
      <c r="G280" s="617"/>
      <c r="H280" s="617"/>
      <c r="I280" s="617"/>
      <c r="J280" s="617"/>
      <c r="K280" s="1701">
        <f>D280</f>
        <v>379</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92">
        <f>SUM(D229,D279,D280,D285)</f>
        <v>418854</v>
      </c>
      <c r="E295" s="617"/>
      <c r="F295" s="617"/>
      <c r="G295" s="617"/>
      <c r="H295" s="1692">
        <f>H293</f>
        <v>0</v>
      </c>
      <c r="I295" s="617"/>
      <c r="J295" s="617"/>
      <c r="K295" s="1692">
        <f>SUM(K229,K279,K280,K285,K293,K294)</f>
        <v>418854</v>
      </c>
      <c r="L295" s="1692">
        <f>SUM(L229,L279,L280,L285,L293,L294)</f>
        <v>397697</v>
      </c>
    </row>
    <row r="296" spans="1:14" ht="13.5" thickTop="1" x14ac:dyDescent="0.2">
      <c r="A296" s="2176" t="s">
        <v>1053</v>
      </c>
      <c r="B296" s="2177"/>
      <c r="C296" s="617"/>
      <c r="D296" s="619"/>
      <c r="E296" s="617"/>
      <c r="F296" s="617"/>
      <c r="G296" s="617"/>
      <c r="H296" s="688"/>
      <c r="I296" s="617"/>
      <c r="J296" s="617"/>
      <c r="K296" s="1706">
        <f>'Revenues 9-14'!G275-'Expenditures 15-22'!K295</f>
        <v>-33179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9" t="s">
        <v>1053</v>
      </c>
      <c r="B343" s="2190"/>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6" t="s">
        <v>1053</v>
      </c>
      <c r="B368" s="2177"/>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elements/1.1/"/>
    <ds:schemaRef ds:uri="http://purl.org/dc/terms/"/>
    <ds:schemaRef ds:uri="http://schemas.microsoft.com/office/2006/documentManagement/types"/>
    <ds:schemaRef ds:uri="6ce3111e-7420-4802-b50a-75d4e9a0b980"/>
    <ds:schemaRef ds:uri="http://schemas.microsoft.com/office/infopath/2007/PartnerControls"/>
    <ds:schemaRef ds:uri="http://www.w3.org/XML/1998/namespace"/>
    <ds:schemaRef ds:uri="http://schemas.openxmlformats.org/package/2006/metadata/core-properties"/>
    <ds:schemaRef ds:uri="4d435f69-8686-490b-bd6d-b153bf22ab50"/>
    <ds:schemaRef ds:uri="d21dc803-237d-4c68-8692-8d731fd29118"/>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2018-11-08T17:33:35Z</cp:lastPrinted>
  <dcterms:created xsi:type="dcterms:W3CDTF">2003-10-29T19:06:34Z</dcterms:created>
  <dcterms:modified xsi:type="dcterms:W3CDTF">2018-12-14T19:45:12Z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