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890" windowWidth="28830" windowHeight="62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65" i="5" l="1"/>
  <c r="C39" i="3"/>
  <c r="C4" i="3"/>
  <c r="L4" i="3" l="1"/>
  <c r="L33" i="3"/>
  <c r="E46" i="29" l="1"/>
  <c r="C55" i="29"/>
  <c r="E36" i="29"/>
  <c r="F32" i="3"/>
  <c r="C32"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2" i="174" l="1"/>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B5260" i="106" s="1"/>
  <c r="D5260" i="106" s="1"/>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5" i="127"/>
  <c r="B66" i="127"/>
  <c r="D26" i="108"/>
  <c r="E26" i="108"/>
  <c r="F26" i="108"/>
  <c r="G26" i="108"/>
  <c r="D27" i="108"/>
  <c r="E27" i="108"/>
  <c r="F27" i="108"/>
  <c r="G27" i="108"/>
  <c r="F31" i="108"/>
  <c r="F36" i="108"/>
  <c r="F37" i="108"/>
  <c r="G28" i="108"/>
  <c r="G29" i="108"/>
  <c r="D31" i="108"/>
  <c r="D36" i="108"/>
  <c r="D37" i="108"/>
  <c r="E31" i="108"/>
  <c r="G31" i="108"/>
  <c r="E33" i="108"/>
  <c r="G33" i="108"/>
  <c r="E34" i="108"/>
  <c r="G34" i="108"/>
  <c r="E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s="1"/>
  <c r="D5334" i="106" s="1"/>
  <c r="E12" i="5"/>
  <c r="E109" i="5" s="1"/>
  <c r="E4" i="4" s="1"/>
  <c r="B2630" i="106" s="1"/>
  <c r="D2630"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s="1"/>
  <c r="D5878" i="106" s="1"/>
  <c r="I18" i="5"/>
  <c r="B5923" i="106" s="1"/>
  <c r="D5923" i="106" s="1"/>
  <c r="J18" i="5"/>
  <c r="B6306" i="106" s="1"/>
  <c r="D6306" i="106" s="1"/>
  <c r="K18" i="5"/>
  <c r="B5992" i="106" s="1"/>
  <c r="D5992" i="106" s="1"/>
  <c r="C40" i="5"/>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D13" i="7"/>
  <c r="B3726" i="106" s="1"/>
  <c r="D3726" i="106" s="1"/>
  <c r="F131" i="34"/>
  <c r="F127" i="34"/>
  <c r="B5847" i="106"/>
  <c r="D5847" i="106" s="1"/>
  <c r="B5599" i="106"/>
  <c r="D5599" i="106" s="1"/>
  <c r="H173" i="5"/>
  <c r="B5906" i="106" s="1"/>
  <c r="D5906" i="106" s="1"/>
  <c r="H6" i="4"/>
  <c r="B2656" i="106" s="1"/>
  <c r="D2656" i="106" s="1"/>
  <c r="B1746" i="106"/>
  <c r="D1746" i="106" s="1"/>
  <c r="D17" i="7"/>
  <c r="B4104" i="106" s="1"/>
  <c r="D4104" i="106" s="1"/>
  <c r="D12" i="7"/>
  <c r="B1769" i="106" s="1"/>
  <c r="D1769" i="106" s="1"/>
  <c r="D11" i="7"/>
  <c r="B1768" i="106" s="1"/>
  <c r="D1768" i="106" s="1"/>
  <c r="G173" i="5" l="1"/>
  <c r="B5778" i="106" s="1"/>
  <c r="D5778" i="106" s="1"/>
  <c r="B5770" i="106"/>
  <c r="D5770" i="106" s="1"/>
  <c r="B7041" i="106"/>
  <c r="D7041" i="106" s="1"/>
  <c r="D15" i="7"/>
  <c r="B1772" i="106" s="1"/>
  <c r="D1772" i="106" s="1"/>
  <c r="F106" i="34"/>
  <c r="K274" i="5"/>
  <c r="B5752" i="106"/>
  <c r="D5752" i="106" s="1"/>
  <c r="F111" i="34"/>
  <c r="F128" i="34"/>
  <c r="F136" i="34"/>
  <c r="D9" i="7"/>
  <c r="B1767" i="106" s="1"/>
  <c r="D1767" i="106" s="1"/>
  <c r="I274" i="5"/>
  <c r="K173" i="5"/>
  <c r="K6" i="4" s="1"/>
  <c r="B3570" i="106" s="1"/>
  <c r="D3570" i="106" s="1"/>
  <c r="F172" i="5"/>
  <c r="B5644" i="106" s="1"/>
  <c r="D5644" i="106" s="1"/>
  <c r="F66" i="34"/>
  <c r="F49" i="34"/>
  <c r="F45" i="34"/>
  <c r="F42" i="34"/>
  <c r="D7245" i="106"/>
  <c r="I342" i="29"/>
  <c r="B7222" i="106" s="1"/>
  <c r="D7222" i="106" s="1"/>
  <c r="B3621" i="106"/>
  <c r="D3621" i="106" s="1"/>
  <c r="C367" i="29"/>
  <c r="G210" i="29"/>
  <c r="K24" i="12"/>
  <c r="K76" i="4"/>
  <c r="B3586" i="106" s="1"/>
  <c r="D3586" i="106" s="1"/>
  <c r="F28" i="108"/>
  <c r="E28" i="108"/>
  <c r="F19" i="7"/>
  <c r="B1807" i="106" s="1"/>
  <c r="D1807" i="106" s="1"/>
  <c r="G35" i="108"/>
  <c r="G30" i="108"/>
  <c r="E30" i="108"/>
  <c r="F130" i="34"/>
  <c r="C172" i="5"/>
  <c r="B5214" i="106" s="1"/>
  <c r="D5214" i="106" s="1"/>
  <c r="C109" i="5"/>
  <c r="B5121" i="106" s="1"/>
  <c r="D5121" i="106" s="1"/>
  <c r="B5096" i="106"/>
  <c r="D5096" i="106" s="1"/>
  <c r="B5087" i="106"/>
  <c r="D5087" i="106" s="1"/>
  <c r="D4" i="7"/>
  <c r="B1760" i="106" s="1"/>
  <c r="D1760" i="106" s="1"/>
  <c r="C129" i="29"/>
  <c r="B1225" i="106" s="1"/>
  <c r="D1225" i="106" s="1"/>
  <c r="D109" i="5"/>
  <c r="D5" i="7"/>
  <c r="B1761" i="106" s="1"/>
  <c r="D1761" i="106" s="1"/>
  <c r="B1329" i="106"/>
  <c r="D1329" i="106" s="1"/>
  <c r="F61" i="34"/>
  <c r="B5513" i="106"/>
  <c r="D5513" i="106" s="1"/>
  <c r="E29" i="108"/>
  <c r="K184" i="29"/>
  <c r="F13" i="4" s="1"/>
  <c r="B2596" i="106" s="1"/>
  <c r="D2596" i="106" s="1"/>
  <c r="D7" i="7"/>
  <c r="B1763" i="106" s="1"/>
  <c r="D1763" i="106" s="1"/>
  <c r="F71" i="34"/>
  <c r="B1410" i="106"/>
  <c r="D1410" i="106" s="1"/>
  <c r="G109" i="5"/>
  <c r="B6024" i="106" s="1"/>
  <c r="D6024" i="106" s="1"/>
  <c r="H109" i="5"/>
  <c r="B3649" i="106"/>
  <c r="D3649" i="106" s="1"/>
  <c r="G367" i="29"/>
  <c r="B3650" i="106" s="1"/>
  <c r="D3650" i="106" s="1"/>
  <c r="K352" i="29"/>
  <c r="K13" i="4" s="1"/>
  <c r="B3572" i="106" s="1"/>
  <c r="D3572" i="106" s="1"/>
  <c r="D52" i="36"/>
  <c r="H33" i="118"/>
  <c r="D31" i="36"/>
  <c r="H29" i="118"/>
  <c r="K28" i="118" s="1"/>
  <c r="O27" i="118" s="1"/>
  <c r="O29" i="118" s="1"/>
  <c r="D11" i="37"/>
  <c r="L367"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3447" i="106"/>
  <c r="D3447" i="106" s="1"/>
  <c r="B7270" i="106"/>
  <c r="B1365" i="106" l="1"/>
  <c r="D1365" i="106" s="1"/>
  <c r="F65" i="34"/>
  <c r="B5914" i="106"/>
  <c r="D5914" i="106" s="1"/>
  <c r="H275" i="5"/>
  <c r="B7733" i="106"/>
  <c r="D7733" i="106" s="1"/>
  <c r="K26" i="12"/>
  <c r="B7743" i="106" s="1"/>
  <c r="D7743" i="106" s="1"/>
  <c r="H367" i="29"/>
  <c r="B3660" i="106" s="1"/>
  <c r="D3660" i="106" s="1"/>
  <c r="D44" i="36"/>
  <c r="L16" i="11"/>
  <c r="B2061" i="106" s="1"/>
  <c r="D2061" i="106" s="1"/>
  <c r="C114" i="29"/>
  <c r="B757" i="106" s="1"/>
  <c r="D757" i="106" s="1"/>
  <c r="C173" i="5"/>
  <c r="B5223" i="106" s="1"/>
  <c r="D5223" i="106" s="1"/>
  <c r="C4" i="4"/>
  <c r="B2551" i="106" s="1"/>
  <c r="D2551" i="106" s="1"/>
  <c r="D19" i="7"/>
  <c r="B1775" i="106" s="1"/>
  <c r="D1775" i="106" s="1"/>
  <c r="C151" i="29"/>
  <c r="B1226" i="106" s="1"/>
  <c r="D1226" i="106" s="1"/>
  <c r="B5356" i="106"/>
  <c r="D5356" i="106" s="1"/>
  <c r="D4" i="4"/>
  <c r="B2564" i="106" s="1"/>
  <c r="D2564" i="106" s="1"/>
  <c r="B1317" i="106"/>
  <c r="D1317" i="106" s="1"/>
  <c r="B1381" i="106"/>
  <c r="D1381" i="106" s="1"/>
  <c r="G4" i="4"/>
  <c r="B2603" i="106" s="1"/>
  <c r="D2603" i="106" s="1"/>
  <c r="B6025" i="106"/>
  <c r="D6025" i="106" s="1"/>
  <c r="H4" i="4"/>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J8" i="4" l="1"/>
  <c r="F8" i="4"/>
  <c r="B1145" i="106"/>
  <c r="D1145" i="106" s="1"/>
  <c r="C6" i="4"/>
  <c r="B2553" i="106" s="1"/>
  <c r="D2553" i="106" s="1"/>
  <c r="G41" i="108"/>
  <c r="G44" i="108" s="1"/>
  <c r="G45" i="108" s="1"/>
  <c r="E41" i="108"/>
  <c r="E44" i="108" s="1"/>
  <c r="E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<sst xmlns="http://schemas.openxmlformats.org/spreadsheetml/2006/main" count="5072" uniqueCount="2133">
  <si>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</si>
  <si>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</si>
  <si>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</si>
  <si>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</si>
  <si>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</si>
  <si>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</si>
  <si>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</si>
  <si>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</si>
  <si>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</si>
  <si>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</si>
  <si>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</si>
  <si>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</si>
  <si>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</si>
  <si>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</si>
  <si>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</si>
  <si>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</si>
  <si>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</si>
  <si>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</si>
  <si>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</si>
  <si>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</si>
  <si>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</si>
  <si>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</si>
  <si>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</si>
  <si>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</si>
  <si>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</si>
  <si>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</si>
  <si>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</si>
  <si>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</si>
  <si>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</si>
  <si>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</si>
  <si>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</si>
  <si>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</si>
  <si>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</si>
  <si>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</si>
  <si>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</si>
  <si>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</si>
  <si>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</si>
  <si>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</si>
  <si>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</si>
  <si>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</si>
  <si>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</si>
  <si>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</si>
  <si>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</si>
  <si>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</si>
  <si>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</si>
  <si>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</si>
  <si>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</si>
  <si>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</si>
  <si>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</si>
  <si>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</si>
  <si>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</si>
  <si>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</si>
  <si>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</si>
  <si>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</si>
  <si>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</si>
  <si>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</si>
  <si>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</si>
  <si>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</si>
  <si>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</si>
  <si>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</si>
  <si>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</si>
  <si>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</si>
  <si>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</si>
  <si>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</si>
  <si>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</si>
  <si>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</si>
  <si>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</si>
  <si>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</si>
  <si>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</si>
  <si>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</si>
  <si>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</si>
  <si>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</si>
  <si>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</si>
  <si>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</si>
  <si>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</si>
  <si>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</si>
  <si>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</si>
  <si>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</si>
  <si>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</si>
  <si>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</si>
  <si>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</si>
  <si>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</si>
  <si>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</si>
  <si>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</si>
  <si>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</si>
  <si>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</si>
  <si>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</si>
  <si>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</si>
  <si>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</si>
  <si>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</si>
  <si>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</si>
  <si>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</si>
  <si>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</si>
  <si>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</si>
  <si>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</si>
  <si>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</si>
  <si>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</si>
  <si>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</si>
  <si>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</si>
  <si>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</si>
  <si>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</si>
  <si>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</si>
  <si>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</si>
  <si>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</si>
  <si>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</si>
  <si>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</si>
  <si>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</si>
  <si>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</si>
  <si>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</si>
  <si>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</si>
  <si>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</si>
  <si>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</si>
  <si>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</si>
  <si>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</si>
  <si>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</si>
  <si>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</si>
  <si>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</si>
  <si>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</si>
  <si>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</si>
  <si>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</si>
  <si>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</si>
  <si>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</si>
  <si>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</si>
  <si>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</si>
  <si>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</si>
  <si>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</si>
  <si>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</si>
  <si>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</si>
  <si>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</si>
  <si>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</si>
  <si>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</si>
  <si>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</si>
  <si>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</si>
  <si>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</si>
  <si>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</si>
  <si>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</si>
  <si>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</si>
  <si>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</si>
  <si>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</si>
  <si>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</si>
  <si>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</si>
  <si>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</si>
  <si>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</si>
  <si>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</si>
  <si>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</si>
  <si>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</si>
  <si>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</si>
  <si>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</si>
  <si>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</si>
  <si>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</si>
  <si>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</si>
  <si>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</si>
  <si>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</si>
  <si>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</si>
  <si>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</si>
  <si>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</si>
  <si>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</si>
  <si>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</si>
  <si>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</si>
  <si>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</si>
  <si>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</si>
  <si>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</si>
  <si>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</si>
  <si>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</si>
  <si>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</si>
  <si>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</si>
  <si>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</si>
  <si>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</si>
  <si>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</si>
  <si>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</si>
  <si>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</si>
  <si>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</si>
  <si>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</si>
  <si>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</si>
  <si>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</si>
  <si>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</si>
  <si>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</si>
  <si>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</si>
  <si>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</si>
  <si>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</si>
  <si>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</si>
  <si>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</si>
  <si>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</si>
  <si>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</si>
  <si>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</si>
  <si>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</si>
  <si>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</si>
  <si>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</si>
  <si>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</si>
  <si>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</si>
  <si>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</si>
  <si>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</si>
  <si>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</si>
  <si>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</si>
  <si>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</si>
  <si>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</si>
  <si>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</si>
  <si>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</si>
  <si>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</si>
  <si>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</si>
  <si>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</si>
  <si>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</si>
  <si>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</si>
  <si>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</si>
  <si>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</si>
  <si>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</si>
  <si>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</si>
  <si>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</si>
  <si>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</si>
  <si>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</si>
  <si>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</si>
  <si>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</si>
  <si>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</si>
  <si>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</si>
  <si>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</si>
  <si>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</si>
  <si>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</si>
  <si>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</si>
  <si>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</si>
  <si>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</si>
  <si>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</si>
  <si>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</si>
  <si>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</si>
  <si>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</si>
  <si>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</si>
  <si>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</si>
  <si>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</si>
  <si>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</si>
  <si>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</si>
  <si>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</si>
  <si>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</si>
  <si>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</si>
  <si>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</si>
  <si>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</si>
  <si>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</si>
  <si>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</si>
  <si>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</si>
  <si>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</si>
  <si>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</si>
  <si>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</si>
  <si>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</si>
  <si>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</si>
  <si>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</si>
  <si>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</si>
  <si>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</si>
  <si>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</si>
  <si>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</si>
  <si>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</si>
  <si>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</si>
  <si>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</si>
  <si>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</si>
  <si>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</si>
  <si>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</si>
  <si>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</si>
  <si>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</si>
  <si>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</si>
  <si>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</si>
  <si>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</si>
  <si>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</si>
  <si>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</si>
  <si>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</si>
  <si>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</si>
  <si>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</si>
  <si>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</si>
  <si>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</si>
  <si>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</si>
  <si>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</si>
  <si>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</si>
  <si>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</si>
  <si>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</si>
  <si>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</si>
  <si>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</si>
  <si>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</si>
  <si>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</si>
  <si>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</si>
  <si>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</si>
  <si>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</si>
  <si>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</si>
  <si>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</si>
  <si>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</si>
  <si>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</si>
  <si>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</si>
  <si>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</si>
  <si>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</si>
  <si>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</si>
  <si>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</si>
  <si>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</si>
  <si>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</si>
  <si>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</si>
  <si>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</si>
  <si>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</si>
  <si>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</si>
  <si>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</si>
  <si>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</si>
  <si>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</si>
  <si>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</si>
  <si>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</si>
  <si>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</si>
  <si>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</si>
  <si>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</si>
  <si>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</si>
  <si>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</si>
  <si>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</si>
  <si>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</si>
  <si>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</si>
  <si>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</si>
  <si>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</si>
  <si>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</si>
  <si>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</si>
  <si>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</si>
  <si>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</si>
  <si>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</si>
  <si>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</si>
  <si>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</si>
  <si>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</si>
  <si>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</si>
  <si>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</si>
  <si>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</si>
  <si>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</si>
  <si>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</si>
  <si>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</si>
  <si>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</si>
  <si>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</si>
  <si>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</si>
  <si>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</si>
  <si>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</si>
  <si>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</si>
  <si>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</si>
  <si>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</si>
  <si>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</si>
  <si>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</si>
  <si>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</si>
  <si>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</si>
  <si>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</si>
  <si>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</si>
  <si>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</si>
  <si>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</si>
  <si>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</si>
  <si>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</si>
  <si>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</si>
  <si>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</si>
  <si>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</si>
  <si>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</si>
  <si>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</si>
  <si>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</si>
  <si>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</si>
  <si>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</si>
  <si>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</si>
  <si>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</si>
  <si>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</si>
  <si>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</si>
  <si>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</si>
  <si>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</si>
  <si>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</si>
  <si>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</si>
  <si>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</si>
  <si>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</si>
  <si>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</si>
  <si>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</si>
  <si>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</si>
  <si>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</si>
  <si>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</si>
  <si>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</si>
  <si>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</si>
  <si>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</si>
  <si>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</si>
  <si>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</si>
  <si>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</si>
  <si>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</si>
  <si>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</si>
  <si>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</si>
  <si>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</si>
  <si>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</si>
  <si>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</si>
  <si>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</si>
  <si>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</si>
  <si>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</si>
  <si>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</si>
  <si>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</si>
  <si>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</si>
  <si>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</si>
  <si>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</si>
  <si>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</si>
  <si>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</si>
  <si>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</si>
  <si>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</si>
  <si>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</si>
  <si>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</si>
  <si>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</si>
  <si>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</si>
  <si>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</si>
  <si>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</si>
  <si>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</si>
  <si>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</si>
  <si>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</si>
  <si>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</si>
  <si>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</si>
  <si>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</si>
  <si>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</si>
  <si>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</si>
  <si>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</si>
  <si>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</si>
  <si>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</si>
  <si>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</si>
  <si>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</si>
  <si>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</si>
  <si>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</si>
  <si>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</si>
  <si>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</si>
  <si>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</si>
  <si>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</si>
  <si>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</si>
  <si>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</si>
  <si>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</si>
  <si>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</si>
  <si>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</si>
  <si>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</si>
  <si>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</si>
  <si>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</si>
  <si>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</si>
  <si>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</si>
  <si>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</si>
  <si>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</si>
  <si>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</si>
  <si>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</si>
  <si>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</si>
  <si>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</si>
  <si>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</si>
  <si>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</si>
  <si>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</si>
  <si>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</si>
  <si>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</si>
  <si>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</si>
  <si>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</si>
  <si>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</si>
  <si>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</si>
  <si>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</si>
  <si>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</si>
  <si>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</si>
  <si>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</si>
  <si>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</si>
  <si>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</si>
  <si>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</si>
  <si>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</si>
  <si>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</si>
  <si>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</si>
  <si>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</si>
  <si>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</si>
  <si>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</si>
  <si>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</si>
  <si>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</si>
  <si>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</si>
  <si>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</si>
  <si>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</si>
  <si>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</si>
  <si>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</si>
  <si>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</si>
  <si>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</si>
  <si>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</si>
  <si>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</si>
  <si>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</si>
  <si>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</si>
  <si>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</si>
  <si>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</si>
  <si>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</si>
  <si>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</si>
  <si>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</si>
  <si>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</si>
  <si>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</si>
  <si>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</si>
  <si>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</si>
  <si>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</si>
  <si>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</si>
  <si>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</si>
  <si>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</si>
  <si>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</si>
  <si>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</si>
  <si>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</si>
  <si>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</si>
  <si>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</si>
  <si>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</si>
  <si>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</si>
  <si>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</si>
  <si>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</si>
  <si>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</si>
  <si>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</si>
  <si>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</si>
  <si>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</si>
  <si>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</si>
  <si>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</si>
  <si>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</si>
  <si>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</si>
  <si>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</si>
  <si>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</si>
  <si>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</si>
  <si>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</si>
  <si>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</si>
  <si>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</si>
  <si>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</si>
  <si>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</si>
  <si>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</si>
  <si>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</si>
  <si>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</si>
  <si>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</si>
  <si>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</si>
  <si>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</si>
  <si>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</si>
  <si>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</si>
  <si>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</si>
  <si>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</si>
  <si>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</si>
  <si>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</si>
  <si>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</si>
  <si>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</si>
  <si>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</si>
  <si>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</si>
  <si>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</si>
  <si>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</si>
  <si>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</si>
  <si>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</si>
  <si>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</si>
  <si>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</si>
  <si>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</si>
  <si>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</si>
  <si>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</si>
  <si>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</si>
  <si>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</si>
  <si>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</si>
  <si>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</si>
  <si>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</si>
  <si>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</si>
  <si>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</si>
  <si>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</si>
  <si>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</si>
  <si>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</si>
  <si>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</si>
  <si>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</si>
  <si>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</si>
  <si>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</si>
  <si>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</si>
  <si>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</si>
  <si>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</si>
  <si>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</si>
  <si>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</si>
  <si>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</si>
  <si>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</si>
  <si>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</si>
  <si>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</si>
  <si>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</si>
  <si>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</si>
  <si>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</si>
  <si>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</si>
  <si>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</si>
  <si>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</si>
  <si>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</si>
  <si>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</si>
  <si>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</si>
  <si>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</si>
  <si>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</si>
  <si>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</si>
  <si>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</si>
  <si>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</si>
  <si>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</si>
  <si>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</si>
  <si>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</si>
  <si>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</si>
  <si>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</si>
  <si>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</si>
  <si>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</si>
  <si>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</si>
  <si>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</si>
  <si>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</si>
  <si>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</si>
  <si>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</si>
  <si>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</si>
  <si>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</si>
  <si>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</si>
  <si>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</si>
  <si>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</si>
  <si>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</si>
  <si>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</si>
  <si>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</si>
  <si>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</si>
  <si>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</si>
  <si>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</si>
  <si>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</si>
  <si>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</si>
  <si>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</si>
  <si>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</si>
  <si>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</si>
  <si>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</si>
  <si>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</si>
  <si>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</si>
  <si>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</si>
  <si>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</si>
  <si>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</si>
  <si>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</si>
  <si>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</si>
  <si>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</si>
  <si>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</si>
  <si>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</si>
  <si>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</si>
  <si>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</si>
  <si>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</si>
  <si>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</si>
  <si>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</si>
  <si>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</si>
  <si>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</si>
  <si>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</si>
  <si>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</si>
  <si>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</si>
  <si>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</si>
  <si>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</si>
  <si>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</si>
  <si>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</si>
  <si>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</si>
  <si>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</si>
  <si>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</si>
  <si>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</si>
  <si>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</si>
  <si>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</si>
  <si>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</si>
  <si>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</si>
  <si>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</si>
  <si>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</si>
  <si>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</si>
  <si>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</si>
  <si>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</si>
  <si>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</si>
  <si>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</si>
  <si>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</si>
  <si>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</si>
  <si>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</si>
  <si>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</si>
  <si>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</si>
  <si>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</si>
  <si>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</si>
  <si>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</si>
  <si>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</si>
  <si>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</si>
  <si>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</si>
  <si>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</si>
  <si>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</si>
  <si>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</si>
  <si>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</si>
  <si>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</si>
  <si>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</si>
  <si>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</si>
  <si>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</si>
  <si>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</si>
  <si>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</si>
  <si>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</si>
  <si>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</si>
  <si>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</si>
  <si>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</si>
  <si>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</si>
  <si>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</si>
  <si>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</si>
  <si>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</si>
  <si>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</si>
  <si>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</si>
  <si>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</si>
  <si>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</si>
  <si>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</si>
  <si>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</si>
  <si>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</si>
  <si>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</si>
  <si>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</si>
  <si>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</si>
  <si>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</si>
  <si>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</si>
  <si>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</si>
  <si>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</si>
  <si>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</si>
  <si>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</si>
  <si>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</si>
  <si>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</si>
  <si>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</si>
  <si>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</si>
  <si>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</si>
  <si>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</si>
  <si>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</si>
  <si>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</si>
  <si>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</si>
  <si>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</si>
  <si>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</si>
  <si>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</si>
  <si>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</si>
  <si>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</si>
  <si>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</si>
  <si>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</si>
  <si>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</si>
  <si>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</si>
  <si>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</si>
  <si>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</si>
  <si>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</si>
  <si>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</si>
  <si>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</si>
  <si>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</si>
  <si>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</si>
  <si>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</si>
  <si>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</si>
  <si>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</si>
  <si>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</si>
  <si>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</si>
  <si>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</si>
  <si>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</si>
  <si>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</si>
  <si>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</si>
  <si>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</si>
  <si>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</si>
  <si>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</si>
  <si>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</si>
  <si>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</si>
  <si>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</si>
  <si>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</si>
  <si>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</si>
  <si>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</si>
  <si>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</si>
  <si>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</si>
  <si>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</si>
  <si>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</si>
  <si>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</si>
  <si>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</si>
  <si>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</si>
  <si>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</si>
  <si>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</si>
  <si>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</si>
  <si>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</si>
  <si>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</si>
  <si>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</si>
  <si>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</si>
  <si>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</si>
  <si>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</si>
  <si>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</si>
  <si>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</si>
  <si>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</si>
  <si>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</si>
  <si>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</si>
  <si>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</si>
  <si>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</si>
  <si>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</si>
  <si>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</si>
  <si>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</si>
  <si>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</si>
  <si>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</si>
  <si>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</si>
  <si>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</si>
  <si>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</si>
  <si>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</si>
  <si>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</si>
  <si>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</si>
  <si>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</si>
  <si>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</si>
  <si>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</si>
  <si>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</si>
  <si>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</si>
  <si>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</si>
  <si>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</si>
  <si>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</si>
  <si>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</si>
  <si>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</si>
  <si>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</si>
  <si>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</si>
  <si>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</si>
  <si>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</si>
  <si>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</si>
  <si>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</si>
  <si>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</si>
  <si>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</si>
  <si>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</si>
  <si>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</si>
  <si>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</si>
  <si>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</si>
  <si>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</si>
  <si>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</si>
  <si>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</si>
  <si>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</si>
  <si>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</si>
  <si>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</si>
  <si>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</si>
  <si>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</si>
  <si>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</si>
  <si>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</si>
  <si>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</si>
  <si>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</si>
  <si>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</si>
  <si>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</si>
  <si>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</si>
  <si>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</si>
  <si>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</si>
  <si>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</si>
  <si>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</si>
  <si>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</si>
  <si>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</si>
  <si>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</si>
  <si>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</si>
  <si>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</si>
  <si>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</si>
  <si>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</si>
  <si>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</si>
  <si>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</si>
  <si>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</si>
  <si>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</si>
  <si>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</si>
  <si>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</si>
  <si>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</si>
  <si>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</si>
  <si>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</si>
  <si>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</si>
  <si>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</si>
  <si>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</si>
  <si>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</si>
  <si>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</si>
  <si>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</si>
  <si>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</si>
  <si>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</si>
  <si>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</si>
  <si>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</si>
  <si>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</si>
  <si>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</si>
  <si>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</si>
  <si>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</si>
  <si>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</si>
  <si>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</si>
  <si>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</si>
  <si>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</si>
  <si>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</si>
  <si>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</si>
  <si>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</si>
  <si>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</si>
  <si>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</si>
  <si>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</si>
  <si>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</si>
  <si>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</si>
  <si>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</si>
  <si>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</si>
  <si>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</si>
  <si>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</si>
  <si>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</si>
  <si>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</si>
  <si>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</si>
  <si>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</si>
  <si>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</si>
  <si>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</si>
  <si>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</si>
  <si>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</si>
  <si>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</si>
  <si>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</si>
  <si>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</si>
  <si>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</si>
  <si>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</si>
  <si>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</si>
  <si>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</si>
  <si>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</si>
  <si>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</si>
  <si>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</si>
  <si>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</si>
  <si>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</si>
  <si>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</si>
  <si>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</si>
  <si>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</si>
  <si>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</si>
  <si>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</si>
  <si>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</si>
  <si>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</si>
  <si>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</si>
  <si>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</si>
  <si>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</si>
  <si>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</si>
  <si>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</si>
  <si>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</si>
  <si>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</si>
  <si>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</si>
  <si>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</si>
  <si>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</si>
  <si>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</si>
  <si>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</si>
  <si>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</si>
  <si>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</si>
  <si>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</si>
  <si>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</si>
  <si>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</si>
  <si>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</si>
  <si>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</si>
  <si>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</si>
  <si>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</si>
  <si>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</si>
  <si>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</si>
  <si>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</si>
  <si>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</si>
  <si>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</si>
  <si>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</si>
  <si>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</si>
  <si>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</si>
  <si>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</si>
  <si>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</si>
  <si>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</si>
  <si>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</si>
  <si>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</si>
  <si>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</si>
  <si>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</si>
  <si>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</si>
  <si>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</si>
  <si>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</si>
  <si>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</si>
  <si>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</si>
  <si>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</si>
  <si>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</si>
  <si>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</si>
  <si>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</si>
  <si>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</si>
  <si>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</si>
  <si>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</si>
  <si>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</si>
  <si>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</si>
  <si>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</si>
  <si>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</si>
  <si>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</si>
  <si>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</si>
  <si>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</si>
  <si>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</si>
  <si>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</si>
  <si>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</si>
  <si>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</si>
  <si>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</si>
  <si>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</si>
  <si>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</si>
  <si>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</si>
  <si>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</si>
  <si>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</si>
  <si>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</si>
  <si>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</si>
  <si>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</si>
  <si>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</si>
  <si>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</si>
  <si>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</si>
  <si>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</si>
  <si>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</si>
  <si>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</si>
  <si>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</si>
  <si>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</si>
  <si>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</si>
  <si>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</si>
  <si>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</si>
  <si>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</si>
  <si>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</si>
  <si>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</si>
  <si>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</si>
  <si>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</si>
  <si>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</si>
  <si>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</si>
  <si>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</si>
  <si>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</si>
  <si>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</si>
  <si>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</si>
  <si>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</si>
  <si>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</si>
  <si>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</si>
  <si>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</si>
  <si>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</si>
  <si>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</si>
  <si>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</si>
  <si>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</si>
  <si>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</si>
  <si>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</si>
  <si>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</si>
  <si>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</si>
  <si>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</si>
  <si>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</si>
  <si>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</si>
  <si>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</si>
  <si>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</si>
  <si>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</si>
  <si>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</si>
  <si>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</si>
  <si>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</si>
  <si>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</si>
  <si>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</si>
  <si>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</si>
  <si>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</si>
  <si>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</si>
  <si>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</si>
  <si>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</si>
  <si>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</si>
  <si>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</si>
  <si>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</si>
  <si>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</si>
  <si>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</si>
  <si>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</si>
  <si>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</si>
  <si>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</si>
  <si>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</si>
  <si>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</si>
  <si>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</si>
  <si>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</si>
  <si>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</si>
  <si>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</si>
  <si>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</si>
  <si>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</si>
  <si>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</si>
  <si>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</si>
  <si>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</si>
  <si>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</si>
  <si>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</si>
  <si>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</si>
  <si>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</si>
  <si>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</si>
  <si>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</si>
  <si>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</si>
  <si>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</si>
  <si>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</si>
  <si>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</si>
  <si>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</si>
  <si>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</si>
  <si>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</si>
  <si>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</si>
  <si>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</si>
  <si>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</si>
  <si>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</si>
  <si>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</si>
  <si>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</si>
  <si>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</si>
  <si>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</si>
  <si>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</si>
  <si>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</si>
  <si>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</si>
  <si>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</si>
  <si>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</si>
  <si>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</si>
  <si>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</si>
  <si>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</si>
  <si>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</si>
  <si>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</si>
  <si>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</si>
  <si>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</si>
  <si>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</si>
  <si>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</si>
  <si>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</si>
  <si>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</si>
  <si>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</si>
  <si>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</si>
  <si>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</si>
  <si>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</si>
  <si>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</si>
  <si>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</si>
  <si>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</si>
  <si>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</si>
  <si>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</si>
  <si>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</si>
  <si>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</si>
  <si>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</si>
  <si>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</si>
  <si>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</si>
  <si>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</si>
  <si>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</si>
  <si>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</si>
  <si>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</si>
  <si>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</si>
  <si>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</si>
  <si>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</si>
  <si>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</si>
  <si>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</si>
  <si>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</si>
  <si>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</si>
  <si>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</si>
  <si>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</si>
  <si>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</si>
  <si>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</si>
  <si>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</si>
  <si>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</si>
  <si>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</si>
  <si>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</si>
  <si>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</si>
  <si>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</si>
  <si>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</si>
  <si>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</si>
  <si>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</si>
  <si>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</si>
  <si>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</si>
  <si>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</si>
  <si>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</si>
  <si>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</si>
  <si>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</si>
  <si>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</si>
  <si>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</si>
  <si>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</si>
  <si>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</si>
  <si>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</si>
  <si>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</si>
  <si>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</si>
  <si>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</si>
  <si>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</si>
  <si>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</si>
  <si>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</si>
  <si>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</si>
  <si>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</si>
  <si>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</si>
  <si>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</si>
  <si>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</si>
  <si>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</si>
  <si>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</si>
  <si>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</si>
  <si>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</si>
  <si>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</si>
  <si>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</si>
  <si>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</si>
  <si>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</si>
  <si>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</si>
  <si>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</si>
  <si>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</si>
  <si>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</si>
  <si>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</si>
  <si>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</si>
  <si>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</si>
  <si>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</si>
  <si>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</si>
  <si>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</si>
  <si>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</si>
  <si>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</si>
  <si>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</si>
  <si>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</si>
  <si>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</si>
  <si>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</si>
  <si>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</si>
  <si>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</si>
  <si>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</si>
  <si>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</si>
  <si>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</si>
  <si>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</si>
  <si>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</si>
  <si>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</si>
  <si>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</si>
  <si>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</si>
  <si>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</si>
  <si>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</si>
  <si>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</si>
  <si>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</si>
  <si>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</si>
  <si>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</si>
  <si>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</si>
  <si>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</si>
  <si>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</si>
  <si>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</si>
  <si>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</si>
  <si>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</si>
  <si>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</si>
  <si>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</si>
  <si>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</si>
  <si>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</si>
  <si>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</si>
  <si>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</si>
  <si>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</si>
  <si>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</si>
  <si>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</si>
  <si>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</si>
  <si>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</si>
  <si>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</si>
  <si>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</si>
  <si>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</si>
  <si>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</si>
  <si>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</si>
  <si>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</si>
  <si>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</si>
  <si>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</si>
  <si>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</si>
  <si>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</si>
  <si>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</si>
  <si>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</si>
  <si>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</si>
  <si>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</si>
  <si>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</si>
  <si>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</si>
  <si>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</si>
  <si>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</si>
  <si>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</si>
  <si>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</si>
  <si>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</si>
  <si>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</si>
  <si>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</si>
  <si>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</si>
  <si>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</si>
  <si>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</si>
  <si>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</si>
  <si>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</si>
  <si>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</si>
  <si>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</si>
  <si>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</si>
  <si>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</si>
  <si>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</si>
  <si>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</si>
  <si>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</si>
  <si>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</si>
  <si>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</si>
  <si>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</si>
  <si>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</si>
  <si>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</si>
  <si>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</si>
  <si>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</si>
  <si>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</si>
  <si>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</si>
  <si>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</si>
  <si>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</si>
  <si>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</si>
  <si>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</si>
  <si>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</si>
  <si>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</si>
  <si>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</si>
  <si>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</si>
  <si>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</si>
  <si>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</si>
  <si>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</si>
  <si>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</si>
  <si>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</si>
  <si>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</si>
  <si>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</si>
  <si>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</si>
  <si>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</si>
  <si>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</si>
  <si>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</si>
  <si>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</si>
  <si>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</si>
  <si>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</si>
  <si>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</si>
  <si>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</si>
  <si>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</si>
  <si>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</si>
  <si>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</si>
  <si>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</si>
  <si>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</si>
  <si>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</si>
  <si>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</si>
  <si>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</si>
  <si>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</si>
  <si>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</si>
  <si>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</si>
  <si>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</si>
  <si>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</si>
  <si>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</si>
  <si>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</si>
  <si>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</si>
  <si>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</si>
  <si>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</si>
  <si>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</si>
  <si>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</si>
  <si>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</si>
  <si>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</si>
  <si>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</si>
  <si>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</si>
  <si>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</si>
  <si>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</si>
  <si>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</si>
  <si>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</si>
  <si>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</si>
  <si>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</si>
  <si>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</si>
  <si>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</si>
  <si>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</si>
  <si>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</si>
  <si>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</si>
  <si>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</si>
  <si>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</si>
  <si>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</si>
  <si>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</si>
  <si>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</si>
  <si>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</si>
  <si>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</si>
  <si>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</si>
  <si>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</si>
  <si>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</si>
  <si>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</si>
  <si>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</si>
  <si>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</si>
  <si>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</si>
  <si>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</si>
  <si>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</si>
  <si>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</si>
  <si>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</si>
  <si>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</si>
  <si>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</si>
  <si>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</si>
  <si>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</si>
  <si>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</si>
  <si>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</si>
  <si>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</si>
  <si>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</si>
  <si>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</si>
  <si>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</si>
  <si>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</si>
  <si>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</si>
  <si>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</si>
  <si>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</si>
  <si>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</si>
  <si>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</si>
  <si>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</si>
  <si>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</si>
  <si>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</si>
  <si>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</si>
  <si>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</si>
  <si>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</si>
  <si>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</si>
  <si>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</si>
  <si>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</si>
  <si>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</si>
  <si>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</si>
  <si>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</si>
  <si>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</si>
  <si>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</si>
  <si>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</si>
  <si>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</si>
  <si>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</si>
  <si>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</si>
  <si>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</si>
  <si>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</si>
  <si>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</si>
  <si>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</si>
  <si>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</si>
  <si>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</si>
  <si>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</si>
  <si>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</si>
  <si>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</si>
  <si>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</si>
  <si>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</si>
  <si>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</si>
  <si>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</si>
  <si>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</si>
  <si>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</si>
  <si>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</si>
  <si>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</si>
  <si>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</si>
  <si>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</si>
  <si>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</si>
  <si>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</si>
  <si>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</si>
  <si>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</si>
  <si>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</si>
  <si>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</si>
  <si>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</si>
  <si>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</si>
  <si>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</si>
  <si>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</si>
  <si>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</si>
  <si>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</si>
  <si>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</si>
  <si>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</si>
  <si>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</si>
  <si>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</si>
  <si>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</si>
  <si>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</si>
  <si>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</si>
  <si>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</si>
  <si>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</si>
  <si>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</si>
  <si>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</si>
  <si>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</si>
  <si>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</si>
  <si>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</si>
  <si>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</si>
  <si>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</si>
  <si>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</si>
  <si>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</si>
  <si>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</si>
  <si>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</si>
  <si>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</si>
  <si>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</si>
  <si>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</si>
  <si>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</si>
  <si>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</si>
  <si>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</si>
  <si>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</si>
  <si>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</si>
  <si>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</si>
  <si>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</si>
  <si>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</si>
  <si>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</si>
  <si>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</si>
  <si>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</si>
  <si>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</si>
  <si>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</si>
  <si>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</si>
  <si>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</si>
  <si>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</si>
  <si>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</si>
  <si>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</si>
  <si>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</si>
  <si>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</si>
  <si>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</si>
  <si>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</si>
  <si>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</si>
  <si>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</si>
  <si>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</si>
  <si>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</si>
  <si>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</si>
  <si>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</si>
  <si>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</si>
  <si>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</si>
  <si>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</si>
  <si>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</si>
  <si>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</si>
  <si>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</si>
  <si>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</si>
  <si>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</si>
  <si>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</si>
  <si>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</si>
  <si>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</si>
  <si>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</si>
  <si>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</si>
  <si>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</si>
  <si>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</si>
  <si>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</si>
  <si>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</si>
  <si>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</si>
  <si>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</si>
  <si>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</si>
  <si>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</si>
  <si>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</si>
  <si>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</si>
  <si>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</si>
  <si>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</si>
  <si>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</si>
  <si>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</si>
  <si>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</si>
  <si>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</si>
  <si>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</si>
  <si>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</si>
  <si>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</si>
  <si>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</si>
  <si>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</si>
  <si>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</si>
  <si>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</si>
  <si>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</si>
  <si>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</si>
  <si>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</si>
  <si>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</si>
  <si>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</si>
  <si>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</si>
  <si>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</si>
  <si>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</si>
  <si>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</si>
  <si>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</si>
  <si>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</si>
  <si>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</si>
  <si>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</si>
  <si>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</si>
  <si>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</si>
  <si>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</si>
  <si>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</si>
  <si>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</si>
  <si>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</si>
  <si>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</si>
  <si>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</si>
  <si>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</si>
  <si>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</si>
  <si>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</si>
  <si>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</si>
  <si>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</si>
  <si>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</si>
  <si>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</si>
  <si>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</si>
  <si>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</si>
  <si>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</si>
  <si>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</si>
  <si>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</si>
  <si>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</si>
  <si>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</si>
  <si>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</si>
  <si>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</si>
  <si>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</si>
  <si>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</si>
  <si>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</si>
  <si>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</si>
  <si>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</si>
  <si>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</si>
  <si>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</si>
  <si>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</si>
  <si>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</si>
  <si>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</si>
  <si>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</si>
  <si>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</si>
  <si>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</si>
  <si>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</si>
  <si>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</si>
  <si>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</si>
  <si>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</si>
  <si>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</si>
  <si>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</si>
  <si>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</si>
  <si>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</si>
  <si>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</si>
  <si>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</si>
  <si>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</si>
  <si>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</si>
  <si>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</si>
  <si>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</si>
  <si>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</si>
  <si>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</si>
  <si>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</si>
  <si>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</si>
  <si>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</si>
  <si>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</si>
  <si>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</si>
  <si>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</si>
  <si>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</si>
  <si>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</si>
  <si>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</si>
  <si>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</si>
  <si>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</si>
  <si>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</si>
  <si>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</si>
  <si>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</si>
  <si>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</si>
  <si>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</si>
  <si>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</si>
  <si>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</si>
  <si>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</si>
  <si>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</si>
  <si>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</si>
  <si>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</si>
  <si>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</si>
  <si>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</si>
  <si>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</si>
  <si>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</si>
  <si>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</si>
  <si>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</si>
  <si>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</si>
  <si>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</si>
  <si>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</si>
  <si>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</si>
  <si>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</si>
  <si>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</si>
  <si>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</si>
  <si>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</si>
  <si>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</si>
  <si>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</si>
  <si>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</si>
  <si>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</si>
  <si>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</si>
  <si>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</si>
  <si>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</si>
  <si>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</si>
  <si>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</si>
  <si>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</si>
  <si>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</si>
  <si>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</si>
  <si>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</si>
  <si>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</si>
  <si>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</si>
  <si>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</si>
  <si>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</si>
  <si>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</si>
  <si>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</si>
  <si>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</si>
  <si>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</si>
  <si>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</si>
  <si>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</si>
  <si>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</si>
  <si>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</si>
  <si>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</si>
  <si>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</si>
  <si>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</si>
  <si>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</si>
  <si>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</si>
  <si>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</si>
  <si>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</si>
  <si>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</si>
  <si>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</si>
  <si>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</si>
  <si>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</si>
  <si>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</si>
  <si>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</si>
  <si>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</si>
  <si>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</si>
  <si>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</si>
  <si>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</si>
  <si>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</si>
  <si>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</si>
  <si>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</si>
  <si>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</si>
  <si>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</si>
  <si>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</si>
  <si>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</si>
  <si>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</si>
  <si>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</si>
  <si>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</si>
  <si>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</si>
  <si>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</si>
  <si>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</si>
  <si>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</si>
  <si>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</si>
  <si>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</si>
  <si>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</si>
  <si>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</si>
  <si>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</si>
  <si>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</si>
  <si>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</si>
  <si>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</si>
  <si>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</si>
  <si>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</si>
  <si>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</si>
  <si>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</si>
  <si>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</si>
  <si>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</si>
  <si>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</si>
  <si>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</si>
  <si>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</si>
  <si>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</si>
  <si>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</si>
  <si>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</si>
  <si>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</si>
  <si>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</si>
  <si>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</si>
  <si>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</si>
  <si>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</si>
  <si>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</si>
  <si>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</si>
  <si>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</si>
  <si>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</si>
  <si>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</si>
  <si>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</si>
  <si>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</si>
  <si>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</si>
  <si>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</si>
  <si>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</si>
  <si>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</si>
  <si>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</si>
  <si>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</si>
  <si>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</si>
  <si>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</si>
  <si>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</si>
  <si>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</si>
  <si>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</si>
  <si>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</si>
  <si>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</si>
  <si>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</si>
  <si>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</si>
  <si>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</si>
  <si>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</si>
  <si>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</si>
  <si>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</si>
  <si>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</si>
  <si>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</si>
  <si>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</si>
  <si>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</si>
  <si>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</si>
  <si>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</si>
  <si>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</si>
  <si>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</si>
  <si>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</si>
  <si>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</si>
  <si>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</si>
  <si>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</si>
  <si>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</si>
  <si>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</si>
  <si>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</si>
  <si>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</si>
  <si>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</si>
  <si>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</si>
  <si>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</si>
  <si>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</si>
  <si>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</si>
  <si>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</si>
  <si>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</si>
  <si>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</si>
  <si>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</si>
  <si>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</si>
  <si>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</si>
  <si>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</si>
  <si>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</si>
  <si>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</si>
  <si>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</si>
  <si>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</si>
  <si>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</si>
  <si>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</si>
  <si>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</si>
  <si>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</si>
  <si>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</si>
  <si>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</si>
  <si>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</si>
  <si>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</si>
  <si>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</si>
  <si>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</si>
  <si>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</si>
  <si>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</si>
  <si>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</si>
  <si>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</si>
  <si>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</si>
  <si>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</si>
  <si>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</si>
  <si>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</si>
  <si>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</si>
  <si>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</si>
  <si>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</si>
  <si>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</si>
  <si>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</si>
  <si>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</si>
  <si>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</si>
  <si>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</si>
  <si>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</si>
  <si>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</si>
  <si>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</si>
  <si>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</si>
  <si>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</si>
  <si>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</si>
  <si>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</si>
  <si>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</si>
  <si>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</si>
  <si>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</si>
  <si>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</si>
  <si>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</si>
  <si>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</si>
  <si>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</si>
  <si>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</si>
  <si>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</si>
  <si>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</si>
  <si>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</si>
  <si>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</si>
  <si>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</si>
  <si>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</si>
  <si>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</si>
  <si>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</si>
  <si>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</si>
  <si>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</si>
  <si>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</si>
  <si>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</si>
  <si>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</si>
  <si>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</si>
  <si>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</si>
  <si>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</si>
  <si>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</si>
  <si>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</si>
  <si>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</si>
  <si>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</si>
  <si>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</si>
  <si>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</si>
  <si>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</si>
  <si>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</si>
  <si>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</si>
  <si>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</si>
  <si>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</si>
  <si>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</si>
  <si>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</si>
  <si>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</si>
  <si>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</si>
  <si>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</si>
  <si>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</si>
  <si>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</si>
  <si>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</si>
  <si>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</si>
  <si>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</si>
  <si>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</si>
  <si>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</si>
  <si>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</si>
  <si>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</si>
  <si>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</si>
  <si>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</si>
  <si>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</si>
  <si>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</si>
  <si>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</si>
  <si>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</si>
  <si>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</si>
  <si>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</si>
  <si>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</si>
  <si>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</si>
  <si>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</si>
  <si>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</si>
  <si>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</si>
  <si>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</si>
  <si>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</si>
  <si>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</si>
  <si>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</si>
  <si>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</si>
  <si>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</si>
  <si>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</si>
  <si>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</si>
  <si>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</si>
  <si>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</si>
  <si>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</si>
  <si>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</si>
  <si>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</si>
  <si>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</si>
  <si>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</si>
  <si>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</si>
  <si>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</si>
  <si>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</si>
  <si>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</si>
  <si>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</si>
  <si>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</si>
  <si>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</si>
  <si>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</si>
  <si>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</si>
  <si>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</si>
  <si>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</si>
  <si>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</si>
  <si>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</si>
  <si>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</si>
  <si>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</si>
  <si>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</si>
  <si>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</si>
  <si>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</si>
  <si>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</si>
  <si>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</si>
  <si>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</si>
  <si>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</si>
  <si>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</si>
  <si>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</si>
  <si>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</si>
  <si>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</si>
  <si>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</si>
  <si>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</si>
  <si>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</si>
  <si>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</si>
  <si>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</si>
  <si>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</si>
  <si>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</si>
  <si>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</si>
  <si>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</si>
  <si>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</si>
  <si>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</si>
  <si>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</si>
  <si>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</si>
  <si>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</si>
  <si>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</si>
  <si>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</si>
  <si>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</si>
  <si>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</si>
  <si>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</si>
  <si>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</si>
  <si>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</si>
  <si>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</si>
  <si>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</si>
  <si>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</si>
  <si>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</si>
  <si>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</si>
  <si>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</si>
  <si>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</si>
  <si>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</si>
  <si>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</si>
  <si>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</si>
  <si>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</si>
  <si>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</si>
  <si>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</si>
  <si>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</si>
  <si>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</si>
  <si>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</si>
  <si>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</si>
  <si>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</si>
  <si>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</si>
  <si>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</si>
  <si>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</si>
  <si>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</si>
  <si>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</si>
  <si>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</si>
  <si>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</si>
  <si>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</si>
  <si>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</si>
  <si>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</si>
  <si>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</si>
  <si>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</si>
  <si>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</si>
  <si>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</si>
  <si>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</si>
  <si>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</si>
  <si>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</si>
  <si>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</si>
  <si>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</si>
  <si>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</si>
  <si>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</si>
  <si>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</si>
  <si>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</si>
  <si>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</si>
  <si>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</si>
  <si>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</si>
  <si>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</si>
  <si>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</si>
  <si>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</si>
  <si>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</si>
  <si>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</si>
  <si>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</si>
  <si>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</si>
  <si>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</si>
  <si>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</si>
  <si>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</si>
  <si>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</si>
  <si>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</si>
  <si>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</si>
  <si>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</si>
  <si>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</si>
  <si>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</si>
  <si>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</si>
  <si>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</si>
  <si>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</si>
  <si>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</si>
  <si>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</si>
  <si>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</si>
  <si>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</si>
  <si>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</si>
  <si>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</si>
  <si>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</si>
  <si>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</si>
  <si>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</si>
  <si>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</si>
  <si>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</si>
  <si>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</si>
  <si>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</si>
  <si>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</si>
  <si>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</si>
  <si>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</si>
  <si>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</si>
  <si>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</si>
  <si>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</si>
  <si>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</si>
  <si>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</si>
  <si>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</si>
  <si>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</si>
  <si>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</si>
  <si>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</si>
  <si>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</si>
  <si>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</si>
  <si>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</si>
  <si>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</si>
  <si>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</si>
  <si>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</si>
  <si>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</si>
  <si>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</si>
  <si>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</si>
  <si>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</si>
  <si>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</si>
  <si>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</si>
  <si>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</si>
  <si>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</si>
  <si>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</si>
  <si>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</si>
  <si>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</si>
  <si>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</si>
  <si>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</si>
  <si>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</si>
  <si>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</si>
  <si>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</si>
  <si>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</si>
  <si>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</si>
  <si>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</si>
  <si>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</si>
  <si>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</si>
  <si>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</si>
  <si>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</si>
  <si>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</si>
  <si>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</si>
  <si>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</si>
  <si>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</si>
  <si>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</si>
  <si>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</si>
  <si>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</si>
  <si>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</si>
  <si>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</si>
  <si>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</si>
  <si>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</si>
  <si>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</si>
  <si>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</si>
  <si>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</si>
  <si>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</si>
  <si>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</si>
  <si>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</si>
  <si>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</si>
  <si>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</si>
  <si>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</si>
  <si>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</si>
  <si>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</si>
  <si>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</si>
  <si>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</si>
  <si>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</si>
  <si>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</si>
  <si>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</si>
  <si>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</si>
  <si>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</si>
  <si>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</si>
  <si>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</si>
  <si>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</si>
  <si>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</si>
  <si>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</si>
  <si>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</si>
  <si>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</si>
  <si>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</si>
  <si>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</si>
  <si>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</si>
  <si>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</si>
  <si>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</si>
  <si>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</si>
  <si>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</si>
  <si>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</si>
  <si>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</si>
  <si>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</si>
  <si>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</si>
  <si>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</si>
  <si>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</si>
  <si>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</si>
  <si>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</si>
  <si>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</si>
  <si>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</si>
  <si>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</si>
  <si>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</si>
  <si>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</si>
  <si>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</si>
  <si>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</si>
  <si>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</si>
  <si>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</si>
  <si>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</si>
  <si>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</si>
  <si>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</si>
  <si>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</si>
  <si>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</si>
  <si>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</si>
  <si>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</si>
  <si>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</si>
  <si>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</si>
  <si>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</si>
  <si>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</si>
  <si>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</si>
  <si>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</si>
  <si>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</si>
  <si>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</si>
  <si>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</si>
  <si>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</si>
  <si>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</si>
  <si>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</si>
  <si>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</si>
  <si>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</si>
  <si>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</si>
  <si>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</si>
  <si>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</si>
  <si>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</si>
  <si>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</si>
  <si>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</si>
  <si>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</si>
  <si>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</si>
  <si>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</si>
  <si>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</si>
  <si>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</si>
  <si>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</si>
  <si>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</si>
  <si>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</si>
  <si>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</si>
  <si>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</si>
  <si>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</si>
  <si>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</si>
  <si>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</si>
  <si>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</si>
  <si>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</si>
  <si>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</si>
  <si>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</si>
  <si>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</si>
  <si>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</si>
  <si>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</si>
  <si>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</si>
  <si>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</si>
  <si>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</si>
  <si>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</si>
  <si>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</si>
  <si>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</si>
  <si>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</si>
  <si>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</si>
  <si>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</si>
  <si>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</si>
  <si>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</si>
  <si>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</si>
  <si>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</si>
  <si>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</si>
  <si>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</si>
  <si>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</si>
  <si>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</si>
  <si>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</si>
  <si>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</si>
  <si>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</si>
  <si>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</si>
  <si>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</si>
  <si>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</si>
  <si>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</si>
  <si>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</si>
  <si>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</si>
  <si>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</si>
  <si>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517 Deerfield Road</t>
  </si>
  <si>
    <t>Deerfield</t>
  </si>
  <si>
    <t>847-945-1844</t>
  </si>
  <si>
    <t>847-945-1892</t>
  </si>
  <si>
    <t>Evoy, Kamschulte, Jacobs &amp; Co. LLP</t>
  </si>
  <si>
    <t>John D. Aceto, Jr., CPA</t>
  </si>
  <si>
    <t>2122 Yeoman Street</t>
  </si>
  <si>
    <t>Waukegan</t>
  </si>
  <si>
    <t>IL</t>
  </si>
  <si>
    <t>847-662-8300</t>
  </si>
  <si>
    <t>847-662-8305</t>
  </si>
  <si>
    <t>066-033289</t>
  </si>
  <si>
    <t>jaceto@ekjllp.com</t>
  </si>
  <si>
    <t>Dr. Anthony McConnell</t>
  </si>
  <si>
    <t>1999B LIMITED TAX SCHOOL BONDS</t>
  </si>
  <si>
    <t>2010 DEBT CERTIFICATES</t>
  </si>
  <si>
    <t>2013 GENERAL OBLIGATION LIMITED SCHOOL BONDS</t>
  </si>
  <si>
    <t>2015 GENERAL OBLIGATION LIMITED SCHOOL BONDS</t>
  </si>
  <si>
    <t>2/4</t>
  </si>
  <si>
    <t>1/2</t>
  </si>
  <si>
    <t>DEBT CERTIFICATES</t>
  </si>
  <si>
    <t>CBA's</t>
  </si>
  <si>
    <t>Member of Ec Benefit Coop (100+Sch Dist) for health disability coverage</t>
  </si>
  <si>
    <t>Member of IUPC shared purchase of elect &amp; natural gas</t>
  </si>
  <si>
    <t>Member of ESIC for liability, property, casualty ins.</t>
  </si>
  <si>
    <t>IIT,PMA, ISDLAF investment pool, joint banking ser D113</t>
  </si>
  <si>
    <t>North Suburban Special Education District (NSSED)</t>
  </si>
  <si>
    <t>Shared Paper purchaseing bid D113, 112, 106</t>
  </si>
  <si>
    <t>Education Fund</t>
  </si>
  <si>
    <t>Page 8, Line 75, Other Uses Not Classified Elsewhere, Transfer to the Capital Projects Fund - $8,000,000.</t>
  </si>
  <si>
    <t>Capital Projects Fund</t>
  </si>
  <si>
    <t>Page 7, Line 43, Other Sources Not Classified Elsewhere, Transfer From Operations Fund - $8,000,000.</t>
  </si>
  <si>
    <t>Page 11, Line 107, Other Revenue, P-Card Rebate $40,362; Jury Duty $548; Tuition $8,090; Reimbursement to Ed fund 3,000</t>
  </si>
  <si>
    <t>Page 9, Line 17, Other Payments in Lieu of Taxes, TIF Receipts, $13,910.</t>
  </si>
  <si>
    <t>Page 12, Line 171, Other Restricted Revneue form State Sources, Library Grant - $4,062.</t>
  </si>
  <si>
    <t>Bond &amp; Interest Fund</t>
  </si>
  <si>
    <t>Page 18, Line 171, Debt Service Other, Bond redemption fees - $2,895</t>
  </si>
  <si>
    <t>ED-Information Services</t>
  </si>
  <si>
    <t>10-2630-300</t>
  </si>
  <si>
    <t>Net 56</t>
  </si>
  <si>
    <t>OM-Oper &amp; Plant Maint</t>
  </si>
  <si>
    <t>20-2540-300</t>
  </si>
  <si>
    <t>Green Associates</t>
  </si>
  <si>
    <t>ED-Board of Ed Services</t>
  </si>
  <si>
    <t>DMG Group</t>
  </si>
  <si>
    <t>10-2300-300</t>
  </si>
  <si>
    <t>TR-Transportation Service</t>
  </si>
  <si>
    <t>40-2550-300</t>
  </si>
  <si>
    <t>Olson Transportation</t>
  </si>
  <si>
    <t>ED-Elem School</t>
  </si>
  <si>
    <t>10-1000-300</t>
  </si>
  <si>
    <t>Xerox</t>
  </si>
  <si>
    <t>ECRA Group</t>
  </si>
  <si>
    <t>Deerfield SD 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</si>
</sst>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53" fillId="0" borderId="2" xfId="9" quotePrefix="1" applyNumberFormat="1" applyFont="1" applyFill="1" applyBorder="1" applyAlignment="1" applyProtection="1">
      <alignment horizontal="right" vertical="center"/>
      <protection locked="0"/>
    </xf>
    <xf numFmtId="0" fontId="53" fillId="0" borderId="2" xfId="0" quotePrefix="1" applyFont="1" applyFill="1" applyBorder="1" applyAlignment="1" applyProtection="1">
      <alignment horizontal="right"/>
      <protection locked="0"/>
    </xf>
    <xf numFmtId="0" fontId="73" fillId="0" borderId="0" xfId="0"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943841</xdr:colOff>
          <xdr:row>4</xdr:row>
          <xdr:rowOff>25978</xdr:rowOff>
        </xdr:from>
        <xdr:to>
          <xdr:col>1</xdr:col>
          <xdr:colOff>1827068</xdr:colOff>
          <xdr:row>7</xdr:row>
          <xdr:rowOff>54553</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t="s">
        <v>2077</v>
      </c>
      <c r="C5" s="26" t="s">
        <v>966</v>
      </c>
      <c r="D5" s="84"/>
      <c r="E5" s="84"/>
      <c r="H5" s="38"/>
      <c r="I5" s="2013" t="s">
        <v>701</v>
      </c>
      <c r="J5" s="2012"/>
      <c r="K5" s="2012"/>
      <c r="L5" s="2012"/>
      <c r="M5" s="2012"/>
      <c r="N5" s="2012"/>
      <c r="O5" s="2012"/>
      <c r="P5" s="2012"/>
      <c r="Q5" s="2012"/>
      <c r="R5" s="2012"/>
      <c r="S5" s="2012"/>
    </row>
    <row r="6" spans="1:28" ht="14.1" customHeight="1" x14ac:dyDescent="0.2">
      <c r="B6" s="104"/>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38">
        <v>34049109002</v>
      </c>
      <c r="B13" s="2039"/>
      <c r="C13" s="2039"/>
      <c r="D13" s="2039"/>
      <c r="E13" s="2039"/>
      <c r="F13" s="2039"/>
      <c r="G13" s="2039"/>
      <c r="H13" s="2040"/>
      <c r="I13" s="31"/>
      <c r="J13" s="30"/>
      <c r="K13" s="28"/>
      <c r="L13" s="30"/>
      <c r="M13" s="30"/>
      <c r="N13" s="30"/>
      <c r="O13" s="30"/>
      <c r="P13" s="30"/>
      <c r="Q13" s="30"/>
      <c r="R13" s="30"/>
      <c r="S13" s="30"/>
      <c r="T13" s="2043" t="s">
        <v>2083</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2078</v>
      </c>
      <c r="B15" s="2041"/>
      <c r="C15" s="2041"/>
      <c r="D15" s="2041"/>
      <c r="E15" s="2041"/>
      <c r="F15" s="2041"/>
      <c r="G15" s="2041"/>
      <c r="H15" s="2042"/>
      <c r="T15" s="2047" t="s">
        <v>2084</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2132</v>
      </c>
      <c r="B17" s="1998"/>
      <c r="C17" s="1998"/>
      <c r="D17" s="1998"/>
      <c r="E17" s="1998"/>
      <c r="F17" s="1998"/>
      <c r="G17" s="1998"/>
      <c r="H17" s="2023"/>
      <c r="T17" s="2054" t="s">
        <v>2085</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2079</v>
      </c>
      <c r="B19" s="1983"/>
      <c r="C19" s="1983"/>
      <c r="D19" s="1983"/>
      <c r="E19" s="1983"/>
      <c r="F19" s="1983"/>
      <c r="G19" s="1983"/>
      <c r="H19" s="1963"/>
      <c r="I19" s="30"/>
      <c r="J19" s="99"/>
      <c r="K19" s="40"/>
      <c r="L19" s="38"/>
      <c r="M19" s="112" t="s">
        <v>333</v>
      </c>
      <c r="P19" s="27"/>
      <c r="Q19" s="27"/>
      <c r="R19" s="27"/>
      <c r="S19" s="31"/>
      <c r="T19" s="2037" t="s">
        <v>2086</v>
      </c>
      <c r="U19" s="1962"/>
      <c r="V19" s="1962"/>
      <c r="W19" s="1963"/>
      <c r="X19" s="2052" t="s">
        <v>2087</v>
      </c>
      <c r="Y19" s="2053"/>
      <c r="Z19" s="2050">
        <v>60087</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2080</v>
      </c>
      <c r="B21" s="1962"/>
      <c r="C21" s="1962"/>
      <c r="D21" s="1962"/>
      <c r="E21" s="1962"/>
      <c r="F21" s="1962"/>
      <c r="G21" s="1962"/>
      <c r="H21" s="1963"/>
      <c r="I21" s="2017" t="s">
        <v>699</v>
      </c>
      <c r="J21" s="2012"/>
      <c r="K21" s="2012"/>
      <c r="L21" s="2012"/>
      <c r="M21" s="2012"/>
      <c r="N21" s="2012"/>
      <c r="O21" s="2012"/>
      <c r="P21" s="2012"/>
      <c r="Q21" s="2012"/>
      <c r="R21" s="2012"/>
      <c r="S21" s="2018"/>
      <c r="T21" s="2061" t="s">
        <v>2088</v>
      </c>
      <c r="U21" s="2062"/>
      <c r="V21" s="2062"/>
      <c r="W21" s="2062"/>
      <c r="X21" s="2067" t="s">
        <v>2089</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c r="B23" s="2015"/>
      <c r="C23" s="2015"/>
      <c r="D23" s="2015"/>
      <c r="E23" s="2015"/>
      <c r="F23" s="2015"/>
      <c r="G23" s="2015"/>
      <c r="H23" s="2016"/>
      <c r="T23" s="1997" t="s">
        <v>2090</v>
      </c>
      <c r="U23" s="2060"/>
      <c r="V23" s="2060"/>
      <c r="W23" s="2060"/>
      <c r="X23" s="2064">
        <v>43434</v>
      </c>
      <c r="Y23" s="2065"/>
      <c r="Z23" s="2065"/>
      <c r="AA23" s="2066"/>
    </row>
    <row r="24" spans="1:27" ht="14.1" customHeight="1" x14ac:dyDescent="0.2">
      <c r="A24" s="88" t="s">
        <v>698</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v>60015</v>
      </c>
      <c r="B25" s="1962"/>
      <c r="C25" s="1962"/>
      <c r="D25" s="1962"/>
      <c r="E25" s="1962"/>
      <c r="F25" s="1962"/>
      <c r="G25" s="1962"/>
      <c r="H25" s="1963"/>
      <c r="I25" s="113"/>
      <c r="J25" s="1986"/>
      <c r="K25" s="1986"/>
      <c r="L25" s="1986"/>
      <c r="M25" s="1986"/>
      <c r="N25" s="1986"/>
      <c r="O25" s="1986"/>
      <c r="P25" s="1986"/>
      <c r="Q25" s="1986"/>
      <c r="R25" s="1986"/>
      <c r="S25" s="1987"/>
      <c r="T25" s="2057" t="s">
        <v>2091</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48"/>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t="s">
        <v>2092</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t="s">
        <v>2081</v>
      </c>
      <c r="B42" s="1981"/>
      <c r="C42" s="1982"/>
      <c r="D42" s="1980" t="s">
        <v>2082</v>
      </c>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3" t="s">
        <v>1905</v>
      </c>
      <c r="B2" s="1549" t="s">
        <v>2037</v>
      </c>
      <c r="C2" s="715" t="s">
        <v>1910</v>
      </c>
      <c r="D2" s="715" t="s">
        <v>1911</v>
      </c>
      <c r="E2" s="715" t="s">
        <v>1912</v>
      </c>
      <c r="F2" s="715" t="s">
        <v>1913</v>
      </c>
    </row>
    <row r="3" spans="1:6" ht="12" customHeight="1" x14ac:dyDescent="0.2">
      <c r="A3" s="2204"/>
      <c r="B3" s="1546"/>
      <c r="C3" s="1547"/>
      <c r="D3" s="1548" t="s">
        <v>274</v>
      </c>
      <c r="E3" s="1547"/>
      <c r="F3" s="1548" t="s">
        <v>275</v>
      </c>
    </row>
    <row r="4" spans="1:6" ht="13.7" customHeight="1" x14ac:dyDescent="0.2">
      <c r="A4" s="716" t="s">
        <v>1217</v>
      </c>
      <c r="B4" s="1770">
        <f>'Revenues 9-14'!C5</f>
        <v>39889796</v>
      </c>
      <c r="C4" s="1545"/>
      <c r="D4" s="1773">
        <f>B4-C4</f>
        <v>39889796</v>
      </c>
      <c r="E4" s="1545">
        <v>41221714</v>
      </c>
      <c r="F4" s="1773">
        <f>E4-C4</f>
        <v>41221714</v>
      </c>
    </row>
    <row r="5" spans="1:6" ht="13.7" customHeight="1" x14ac:dyDescent="0.2">
      <c r="A5" s="716" t="s">
        <v>925</v>
      </c>
      <c r="B5" s="1771">
        <f>'Revenues 9-14'!D5</f>
        <v>6019298</v>
      </c>
      <c r="C5" s="585"/>
      <c r="D5" s="1774">
        <f t="shared" ref="D5:D18" si="0">B5-C5</f>
        <v>6019298</v>
      </c>
      <c r="E5" s="585">
        <v>6456715</v>
      </c>
      <c r="F5" s="1774">
        <f>E5-C5</f>
        <v>6456715</v>
      </c>
    </row>
    <row r="6" spans="1:6" ht="13.7" customHeight="1" x14ac:dyDescent="0.2">
      <c r="A6" s="716" t="s">
        <v>431</v>
      </c>
      <c r="B6" s="1771">
        <f>'Revenues 9-14'!E5</f>
        <v>1107422</v>
      </c>
      <c r="C6" s="585"/>
      <c r="D6" s="1774">
        <f t="shared" si="0"/>
        <v>1107422</v>
      </c>
      <c r="E6" s="585">
        <v>1112194</v>
      </c>
      <c r="F6" s="1774">
        <f t="shared" ref="F6:F18" si="1">E6-C6</f>
        <v>1112194</v>
      </c>
    </row>
    <row r="7" spans="1:6" ht="13.7" customHeight="1" x14ac:dyDescent="0.2">
      <c r="A7" s="716" t="s">
        <v>157</v>
      </c>
      <c r="B7" s="1771">
        <f>'Revenues 9-14'!F5</f>
        <v>1321497</v>
      </c>
      <c r="C7" s="585"/>
      <c r="D7" s="1774">
        <f t="shared" si="0"/>
        <v>1321497</v>
      </c>
      <c r="E7" s="585">
        <v>1344773</v>
      </c>
      <c r="F7" s="1774">
        <f t="shared" si="1"/>
        <v>1344773</v>
      </c>
    </row>
    <row r="8" spans="1:6" ht="13.7" customHeight="1" x14ac:dyDescent="0.2">
      <c r="A8" s="716" t="s">
        <v>1241</v>
      </c>
      <c r="B8" s="1771">
        <f>'Revenues 9-14'!G5</f>
        <v>486197</v>
      </c>
      <c r="C8" s="585"/>
      <c r="D8" s="1774">
        <f t="shared" si="0"/>
        <v>486197</v>
      </c>
      <c r="E8" s="585">
        <v>484125</v>
      </c>
      <c r="F8" s="1774">
        <f t="shared" si="1"/>
        <v>484125</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705838</v>
      </c>
      <c r="C14" s="585"/>
      <c r="D14" s="1774">
        <f t="shared" si="0"/>
        <v>705838</v>
      </c>
      <c r="E14" s="585">
        <v>740001</v>
      </c>
      <c r="F14" s="1774">
        <f t="shared" si="1"/>
        <v>740001</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646463</v>
      </c>
      <c r="C16" s="585"/>
      <c r="D16" s="1774">
        <f t="shared" si="0"/>
        <v>646463</v>
      </c>
      <c r="E16" s="585">
        <v>645499</v>
      </c>
      <c r="F16" s="1774">
        <f t="shared" si="1"/>
        <v>645499</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50176511</v>
      </c>
      <c r="C19" s="1772">
        <f>SUM(C4:C18)</f>
        <v>0</v>
      </c>
      <c r="D19" s="1772">
        <f>SUM(D4:D18)</f>
        <v>50176511</v>
      </c>
      <c r="E19" s="1772">
        <f>SUM(E4:E18)</f>
        <v>52005021</v>
      </c>
      <c r="F19" s="1772">
        <f>SUM(F4:F18)</f>
        <v>52005021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7" colorId="8" zoomScale="110" zoomScaleNormal="110" workbookViewId="0">
      <selection activeCell="F53" sqref="F53:G5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1905</v>
      </c>
      <c r="B2" s="2231"/>
      <c r="C2" s="1908" t="s">
        <v>2038</v>
      </c>
      <c r="D2" s="724" t="s">
        <v>2045</v>
      </c>
      <c r="E2" s="724" t="s">
        <v>2046</v>
      </c>
      <c r="F2" s="1908" t="s">
        <v>2039</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6">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6" t="s">
        <v>652</v>
      </c>
      <c r="B15" s="2217"/>
      <c r="C15" s="1776">
        <f>SUM(C6:C14)</f>
        <v>0</v>
      </c>
      <c r="D15" s="1776">
        <f>SUM(D6:D14)</f>
        <v>0</v>
      </c>
      <c r="E15" s="1776">
        <f>SUM(E6:E14)</f>
        <v>0</v>
      </c>
      <c r="F15" s="1776">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6">
        <f>SUM(C17+D17)-E17</f>
        <v>0</v>
      </c>
    </row>
    <row r="18" spans="1:11" ht="12.75" customHeight="1" thickTop="1" thickBot="1" x14ac:dyDescent="0.25">
      <c r="A18" s="2211" t="s">
        <v>6</v>
      </c>
      <c r="B18" s="2212"/>
      <c r="C18" s="727"/>
      <c r="D18" s="585"/>
      <c r="E18" s="727"/>
      <c r="F18" s="1776">
        <f>SUM(C18+D18)-E18</f>
        <v>0</v>
      </c>
    </row>
    <row r="19" spans="1:11" ht="12.75" customHeight="1" thickTop="1" thickBot="1" x14ac:dyDescent="0.25">
      <c r="A19" s="2211" t="s">
        <v>406</v>
      </c>
      <c r="B19" s="2212"/>
      <c r="C19" s="727"/>
      <c r="D19" s="585"/>
      <c r="E19" s="727"/>
      <c r="F19" s="1776">
        <f>SUM(C19+D19)-E19</f>
        <v>0</v>
      </c>
    </row>
    <row r="20" spans="1:11" ht="12.75" customHeight="1" thickTop="1" thickBot="1" x14ac:dyDescent="0.25">
      <c r="A20" s="2211" t="s">
        <v>468</v>
      </c>
      <c r="B20" s="2212"/>
      <c r="C20" s="727"/>
      <c r="D20" s="585"/>
      <c r="E20" s="727"/>
      <c r="F20" s="1776">
        <f>SUM(C20+D20)-E20</f>
        <v>0</v>
      </c>
    </row>
    <row r="21" spans="1:11" ht="14.25" thickTop="1" thickBot="1" x14ac:dyDescent="0.25">
      <c r="A21" s="2216" t="s">
        <v>653</v>
      </c>
      <c r="B21" s="2217"/>
      <c r="C21" s="1776">
        <f>SUM(C17:C20)</f>
        <v>0</v>
      </c>
      <c r="D21" s="1776">
        <f>SUM(D17:D20)</f>
        <v>0</v>
      </c>
      <c r="E21" s="1776">
        <f>SUM(E17:E20)</f>
        <v>0</v>
      </c>
      <c r="F21" s="1776">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6">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6">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6">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2093</v>
      </c>
      <c r="B31" s="734">
        <v>36161</v>
      </c>
      <c r="C31" s="735">
        <v>10785000</v>
      </c>
      <c r="D31" s="736">
        <v>1</v>
      </c>
      <c r="E31" s="735">
        <v>830000</v>
      </c>
      <c r="F31" s="735"/>
      <c r="G31" s="735"/>
      <c r="H31" s="735">
        <v>390000</v>
      </c>
      <c r="I31" s="1777">
        <f>((E31+F31)-H31)+G31</f>
        <v>440000</v>
      </c>
      <c r="J31" s="735">
        <v>-247836</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t="s">
        <v>2094</v>
      </c>
      <c r="B33" s="734">
        <v>40238</v>
      </c>
      <c r="C33" s="735">
        <v>4970000</v>
      </c>
      <c r="D33" s="736">
        <v>7</v>
      </c>
      <c r="E33" s="735">
        <v>1945000</v>
      </c>
      <c r="F33" s="735"/>
      <c r="G33" s="735"/>
      <c r="H33" s="735"/>
      <c r="I33" s="1777">
        <f t="shared" ref="I33:I48" si="1">((E33+F33)-H33)+G33</f>
        <v>1945000</v>
      </c>
      <c r="J33" s="735">
        <v>1945000</v>
      </c>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t="s">
        <v>2095</v>
      </c>
      <c r="B35" s="734">
        <v>41540</v>
      </c>
      <c r="C35" s="739">
        <v>8975000</v>
      </c>
      <c r="D35" s="1955" t="s">
        <v>2097</v>
      </c>
      <c r="E35" s="739">
        <v>8975000</v>
      </c>
      <c r="F35" s="739"/>
      <c r="G35" s="739"/>
      <c r="H35" s="739"/>
      <c r="I35" s="1777">
        <f t="shared" si="1"/>
        <v>8975000</v>
      </c>
      <c r="J35" s="739">
        <v>8972137</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t="s">
        <v>2096</v>
      </c>
      <c r="B37" s="734">
        <v>42124</v>
      </c>
      <c r="C37" s="467">
        <v>9270000</v>
      </c>
      <c r="D37" s="1956" t="s">
        <v>2098</v>
      </c>
      <c r="E37" s="467">
        <v>9270000</v>
      </c>
      <c r="F37" s="467"/>
      <c r="G37" s="467"/>
      <c r="H37" s="467"/>
      <c r="I37" s="1777">
        <f t="shared" si="1"/>
        <v>9270000</v>
      </c>
      <c r="J37" s="467">
        <v>9086104</v>
      </c>
      <c r="K37" s="738"/>
    </row>
    <row r="38" spans="1:11" ht="12" customHeight="1" x14ac:dyDescent="0.2">
      <c r="A38" s="733"/>
      <c r="B38" s="734"/>
      <c r="C38" s="735"/>
      <c r="D38" s="741"/>
      <c r="E38" s="742"/>
      <c r="F38" s="742"/>
      <c r="G38" s="742"/>
      <c r="H38" s="742"/>
      <c r="I38" s="1777">
        <f t="shared" si="1"/>
        <v>0</v>
      </c>
      <c r="J38" s="743" t="s">
        <v>282</v>
      </c>
      <c r="K38" s="744"/>
    </row>
    <row r="39" spans="1:11" ht="12" customHeight="1" x14ac:dyDescent="0.2">
      <c r="A39" s="733"/>
      <c r="B39" s="734"/>
      <c r="C39" s="735"/>
      <c r="D39" s="741"/>
      <c r="E39" s="742"/>
      <c r="F39" s="742"/>
      <c r="G39" s="742"/>
      <c r="H39" s="742"/>
      <c r="I39" s="1777">
        <f t="shared" si="1"/>
        <v>0</v>
      </c>
      <c r="J39" s="743"/>
      <c r="K39" s="744"/>
    </row>
    <row r="40" spans="1:11" ht="12" customHeight="1" x14ac:dyDescent="0.2">
      <c r="A40" s="733"/>
      <c r="B40" s="734"/>
      <c r="C40" s="735"/>
      <c r="D40" s="741"/>
      <c r="E40" s="742"/>
      <c r="F40" s="742"/>
      <c r="G40" s="742"/>
      <c r="H40" s="742"/>
      <c r="I40" s="1777">
        <f t="shared" si="1"/>
        <v>0</v>
      </c>
      <c r="J40" s="743"/>
      <c r="K40" s="744"/>
    </row>
    <row r="41" spans="1:11" ht="12" customHeight="1" x14ac:dyDescent="0.2">
      <c r="A41" s="733"/>
      <c r="B41" s="734"/>
      <c r="C41" s="735"/>
      <c r="D41" s="741"/>
      <c r="E41" s="742"/>
      <c r="F41" s="742"/>
      <c r="G41" s="742"/>
      <c r="H41" s="742"/>
      <c r="I41" s="1777">
        <f t="shared" si="1"/>
        <v>0</v>
      </c>
      <c r="J41" s="743"/>
      <c r="K41" s="744"/>
    </row>
    <row r="42" spans="1:11" ht="12" customHeight="1" x14ac:dyDescent="0.2">
      <c r="A42" s="733"/>
      <c r="B42" s="734"/>
      <c r="C42" s="735"/>
      <c r="D42" s="741"/>
      <c r="E42" s="742"/>
      <c r="F42" s="742"/>
      <c r="G42" s="742"/>
      <c r="H42" s="742"/>
      <c r="I42" s="1777">
        <f t="shared" si="1"/>
        <v>0</v>
      </c>
      <c r="J42" s="743"/>
      <c r="K42" s="744"/>
    </row>
    <row r="43" spans="1:11" ht="12" customHeight="1" x14ac:dyDescent="0.2">
      <c r="A43" s="733"/>
      <c r="B43" s="734"/>
      <c r="C43" s="735"/>
      <c r="D43" s="741"/>
      <c r="E43" s="742"/>
      <c r="F43" s="742"/>
      <c r="G43" s="742"/>
      <c r="H43" s="742"/>
      <c r="I43" s="1777">
        <f t="shared" si="1"/>
        <v>0</v>
      </c>
      <c r="J43" s="743"/>
      <c r="K43" s="744"/>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34000000</v>
      </c>
      <c r="D49" s="745"/>
      <c r="E49" s="1777">
        <f t="shared" ref="E49:J49" si="2">SUM(E31:E48)</f>
        <v>21020000</v>
      </c>
      <c r="F49" s="1777">
        <f t="shared" si="2"/>
        <v>0</v>
      </c>
      <c r="G49" s="1777">
        <f t="shared" si="2"/>
        <v>0</v>
      </c>
      <c r="H49" s="1777">
        <f t="shared" si="2"/>
        <v>390000</v>
      </c>
      <c r="I49" s="1777">
        <f t="shared" si="2"/>
        <v>20630000</v>
      </c>
      <c r="J49" s="1777">
        <f t="shared" si="2"/>
        <v>19755405</v>
      </c>
      <c r="K49" s="738"/>
    </row>
    <row r="50" spans="1:11" ht="6" customHeight="1" x14ac:dyDescent="0.2">
      <c r="A50" s="746"/>
      <c r="B50" s="737"/>
      <c r="C50" s="737"/>
      <c r="D50" s="737"/>
      <c r="E50" s="737"/>
      <c r="F50" s="737"/>
      <c r="G50" s="737"/>
      <c r="H50" s="737"/>
      <c r="I50" s="737"/>
      <c r="J50" s="746"/>
    </row>
    <row r="51" spans="1:11" x14ac:dyDescent="0.2">
      <c r="A51" s="747" t="s">
        <v>1914</v>
      </c>
      <c r="B51" s="746"/>
      <c r="C51" s="738"/>
      <c r="D51" s="738"/>
      <c r="E51" s="738"/>
      <c r="F51" s="738"/>
      <c r="G51" s="738"/>
      <c r="H51" s="737"/>
      <c r="I51" s="737"/>
      <c r="J51" s="746"/>
    </row>
    <row r="52" spans="1:11" ht="11.25" customHeight="1" x14ac:dyDescent="0.2">
      <c r="A52" s="748" t="s">
        <v>968</v>
      </c>
      <c r="B52" s="2205" t="s">
        <v>605</v>
      </c>
      <c r="C52" s="2206"/>
      <c r="D52" s="2206"/>
      <c r="E52" s="749" t="s">
        <v>900</v>
      </c>
      <c r="F52" s="2207" t="s">
        <v>2099</v>
      </c>
      <c r="G52" s="2208"/>
      <c r="H52" s="737"/>
      <c r="I52" s="737"/>
      <c r="J52" s="746"/>
    </row>
    <row r="53" spans="1:11" ht="11.25" customHeight="1" x14ac:dyDescent="0.2">
      <c r="A53" s="750" t="s">
        <v>969</v>
      </c>
      <c r="B53" s="751" t="s">
        <v>1008</v>
      </c>
      <c r="C53" s="746"/>
      <c r="D53" s="738"/>
      <c r="E53" s="749" t="s">
        <v>518</v>
      </c>
      <c r="F53" s="2209"/>
      <c r="G53" s="2210"/>
      <c r="H53" s="737"/>
      <c r="I53" s="737"/>
      <c r="J53" s="746"/>
    </row>
    <row r="54" spans="1:11" ht="11.25" customHeight="1" x14ac:dyDescent="0.2">
      <c r="A54" s="752" t="s">
        <v>970</v>
      </c>
      <c r="B54" s="747" t="s">
        <v>1009</v>
      </c>
      <c r="C54" s="746"/>
      <c r="D54" s="738"/>
      <c r="E54" s="749" t="s">
        <v>519</v>
      </c>
      <c r="F54" s="2209"/>
      <c r="G54" s="2210"/>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1"/>
      <c r="I1" s="760"/>
      <c r="J1" s="433"/>
    </row>
    <row r="2" spans="1:11" ht="26.25" x14ac:dyDescent="0.2">
      <c r="A2" s="2253" t="s">
        <v>1776</v>
      </c>
      <c r="B2" s="2254"/>
      <c r="C2" s="2254"/>
      <c r="D2" s="2254"/>
      <c r="E2" s="2255"/>
      <c r="F2" s="761" t="s">
        <v>960</v>
      </c>
      <c r="G2" s="762" t="s">
        <v>1773</v>
      </c>
      <c r="H2" s="762" t="s">
        <v>430</v>
      </c>
      <c r="I2" s="762" t="s">
        <v>1220</v>
      </c>
      <c r="J2" s="762" t="s">
        <v>1919</v>
      </c>
      <c r="K2" s="762" t="s">
        <v>140</v>
      </c>
    </row>
    <row r="3" spans="1:11" x14ac:dyDescent="0.2">
      <c r="A3" s="2256" t="s">
        <v>1698</v>
      </c>
      <c r="B3" s="2257"/>
      <c r="C3" s="2257"/>
      <c r="D3" s="2257"/>
      <c r="E3" s="2258"/>
      <c r="F3" s="763"/>
      <c r="G3" s="764"/>
      <c r="H3" s="764"/>
      <c r="I3" s="764"/>
      <c r="J3" s="765"/>
      <c r="K3" s="765"/>
    </row>
    <row r="4" spans="1:11" x14ac:dyDescent="0.2">
      <c r="A4" s="2259" t="s">
        <v>387</v>
      </c>
      <c r="B4" s="2260"/>
      <c r="C4" s="2260"/>
      <c r="D4" s="2260"/>
      <c r="E4" s="2206"/>
      <c r="F4" s="766"/>
      <c r="G4" s="767"/>
      <c r="H4" s="768"/>
      <c r="I4" s="767"/>
      <c r="J4" s="769"/>
      <c r="K4" s="769"/>
    </row>
    <row r="5" spans="1:11" x14ac:dyDescent="0.2">
      <c r="A5" s="2237" t="s">
        <v>1129</v>
      </c>
      <c r="B5" s="2238"/>
      <c r="C5" s="2238"/>
      <c r="D5" s="2238"/>
      <c r="E5" s="2239"/>
      <c r="F5" s="770" t="s">
        <v>903</v>
      </c>
      <c r="G5" s="771"/>
      <c r="H5" s="764">
        <v>705838</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237" t="s">
        <v>1920</v>
      </c>
      <c r="B10" s="2238"/>
      <c r="C10" s="2238"/>
      <c r="D10" s="2238"/>
      <c r="E10" s="2240"/>
      <c r="F10" s="783" t="s">
        <v>917</v>
      </c>
      <c r="G10" s="782"/>
      <c r="H10" s="784"/>
      <c r="I10" s="764"/>
      <c r="J10" s="765"/>
      <c r="K10" s="765"/>
    </row>
    <row r="11" spans="1:11" x14ac:dyDescent="0.2">
      <c r="A11" s="2237" t="s">
        <v>162</v>
      </c>
      <c r="B11" s="2238"/>
      <c r="C11" s="2238"/>
      <c r="D11" s="2238"/>
      <c r="E11" s="2239"/>
      <c r="F11" s="770" t="s">
        <v>907</v>
      </c>
      <c r="G11" s="771"/>
      <c r="H11" s="764"/>
      <c r="I11" s="764"/>
      <c r="J11" s="765"/>
      <c r="K11" s="773"/>
    </row>
    <row r="12" spans="1:11" ht="13.5" thickBot="1" x14ac:dyDescent="0.25">
      <c r="A12" s="2264" t="s">
        <v>961</v>
      </c>
      <c r="B12" s="2265"/>
      <c r="C12" s="2265"/>
      <c r="D12" s="2265"/>
      <c r="E12" s="2266"/>
      <c r="F12" s="1778"/>
      <c r="G12" s="1779">
        <f>SUM(G5:G11)</f>
        <v>0</v>
      </c>
      <c r="H12" s="1779">
        <f>SUM(H5:H11)</f>
        <v>705838</v>
      </c>
      <c r="I12" s="1779">
        <f>SUM(I5:I11)</f>
        <v>0</v>
      </c>
      <c r="J12" s="1779">
        <f>SUM(J5:J11)</f>
        <v>0</v>
      </c>
      <c r="K12" s="1779">
        <f>SUM(K5:K11)</f>
        <v>0</v>
      </c>
    </row>
    <row r="13" spans="1:11" ht="13.5" thickTop="1" x14ac:dyDescent="0.2">
      <c r="A13" s="2261" t="s">
        <v>388</v>
      </c>
      <c r="B13" s="2262"/>
      <c r="C13" s="2262"/>
      <c r="D13" s="2262"/>
      <c r="E13" s="2263"/>
      <c r="F13" s="785"/>
      <c r="G13" s="786"/>
      <c r="H13" s="787"/>
      <c r="I13" s="788"/>
      <c r="J13" s="788"/>
      <c r="K13" s="788"/>
    </row>
    <row r="14" spans="1:11" x14ac:dyDescent="0.2">
      <c r="A14" s="2244" t="s">
        <v>476</v>
      </c>
      <c r="B14" s="2244"/>
      <c r="C14" s="2244"/>
      <c r="D14" s="2244"/>
      <c r="E14" s="2245"/>
      <c r="F14" s="789" t="s">
        <v>909</v>
      </c>
      <c r="G14" s="782"/>
      <c r="H14" s="764">
        <v>705838</v>
      </c>
      <c r="I14" s="771"/>
      <c r="J14" s="773"/>
      <c r="K14" s="765"/>
    </row>
    <row r="15" spans="1:11" x14ac:dyDescent="0.2">
      <c r="A15" s="2238" t="s">
        <v>4</v>
      </c>
      <c r="B15" s="2238"/>
      <c r="C15" s="2238"/>
      <c r="D15" s="2238"/>
      <c r="E15" s="2239"/>
      <c r="F15" s="789" t="s">
        <v>910</v>
      </c>
      <c r="G15" s="771"/>
      <c r="H15" s="764"/>
      <c r="I15" s="764"/>
      <c r="J15" s="765"/>
      <c r="K15" s="765"/>
    </row>
    <row r="16" spans="1:11" x14ac:dyDescent="0.2">
      <c r="A16" s="2238" t="s">
        <v>316</v>
      </c>
      <c r="B16" s="2238"/>
      <c r="C16" s="2238"/>
      <c r="D16" s="2238"/>
      <c r="E16" s="2239"/>
      <c r="F16" s="789" t="s">
        <v>980</v>
      </c>
      <c r="G16" s="772"/>
      <c r="H16" s="767"/>
      <c r="I16" s="767"/>
      <c r="J16" s="769"/>
      <c r="K16" s="769"/>
    </row>
    <row r="17" spans="1:11" x14ac:dyDescent="0.2">
      <c r="A17" s="2269" t="s">
        <v>992</v>
      </c>
      <c r="B17" s="2269"/>
      <c r="C17" s="2269"/>
      <c r="D17" s="2269"/>
      <c r="E17" s="2270"/>
      <c r="F17" s="790"/>
      <c r="G17" s="791"/>
      <c r="H17" s="792"/>
      <c r="I17" s="792"/>
      <c r="J17" s="793"/>
      <c r="K17" s="794"/>
    </row>
    <row r="18" spans="1:11" x14ac:dyDescent="0.2">
      <c r="A18" s="2248" t="s">
        <v>386</v>
      </c>
      <c r="B18" s="2249"/>
      <c r="C18" s="2249"/>
      <c r="D18" s="2249"/>
      <c r="E18" s="2250"/>
      <c r="F18" s="789" t="s">
        <v>989</v>
      </c>
      <c r="G18" s="782"/>
      <c r="H18" s="782"/>
      <c r="I18" s="782"/>
      <c r="J18" s="765"/>
      <c r="K18" s="795"/>
    </row>
    <row r="19" spans="1:11" ht="21.75" customHeight="1" x14ac:dyDescent="0.2">
      <c r="A19" s="2246" t="s">
        <v>1916</v>
      </c>
      <c r="B19" s="2246"/>
      <c r="C19" s="2246"/>
      <c r="D19" s="2246"/>
      <c r="E19" s="2247"/>
      <c r="F19" s="789" t="s">
        <v>990</v>
      </c>
      <c r="G19" s="782"/>
      <c r="H19" s="782"/>
      <c r="I19" s="782"/>
      <c r="J19" s="765"/>
      <c r="K19" s="795"/>
    </row>
    <row r="20" spans="1:11" x14ac:dyDescent="0.2">
      <c r="A20" s="2248" t="s">
        <v>1921</v>
      </c>
      <c r="B20" s="2249"/>
      <c r="C20" s="2249"/>
      <c r="D20" s="2249"/>
      <c r="E20" s="2250"/>
      <c r="F20" s="789" t="s">
        <v>991</v>
      </c>
      <c r="G20" s="782"/>
      <c r="H20" s="782"/>
      <c r="I20" s="782"/>
      <c r="J20" s="765"/>
      <c r="K20" s="795"/>
    </row>
    <row r="21" spans="1:11" ht="13.5" thickBot="1" x14ac:dyDescent="0.25">
      <c r="A21" s="2267" t="s">
        <v>659</v>
      </c>
      <c r="B21" s="2267"/>
      <c r="C21" s="2267"/>
      <c r="D21" s="2267"/>
      <c r="E21" s="2267"/>
      <c r="F21" s="1780"/>
      <c r="G21" s="792"/>
      <c r="H21" s="796"/>
      <c r="I21" s="796"/>
      <c r="J21" s="1781">
        <f>SUM(J18:J20)</f>
        <v>0</v>
      </c>
      <c r="K21" s="793"/>
    </row>
    <row r="22" spans="1:11" ht="13.5" thickTop="1" x14ac:dyDescent="0.2">
      <c r="A22" s="2238" t="s">
        <v>1922</v>
      </c>
      <c r="B22" s="2238"/>
      <c r="C22" s="2238"/>
      <c r="D22" s="2238"/>
      <c r="E22" s="2239"/>
      <c r="F22" s="789" t="s">
        <v>917</v>
      </c>
      <c r="G22" s="782"/>
      <c r="H22" s="764"/>
      <c r="I22" s="764"/>
      <c r="J22" s="797"/>
      <c r="K22" s="765"/>
    </row>
    <row r="23" spans="1:11" ht="13.5" thickBot="1" x14ac:dyDescent="0.25">
      <c r="A23" s="2268" t="s">
        <v>962</v>
      </c>
      <c r="B23" s="2267"/>
      <c r="C23" s="2267"/>
      <c r="D23" s="2267"/>
      <c r="E23" s="2267"/>
      <c r="F23" s="1782"/>
      <c r="G23" s="1779">
        <f>SUM(G14:G16,G21,G22)</f>
        <v>0</v>
      </c>
      <c r="H23" s="1779">
        <f>SUM(H14:H16,H21,H22)</f>
        <v>705838</v>
      </c>
      <c r="I23" s="1779">
        <f>SUM(I14:I16,I21,I22)</f>
        <v>0</v>
      </c>
      <c r="J23" s="1779">
        <f>SUM(J14:J16,J21,J22)</f>
        <v>0</v>
      </c>
      <c r="K23" s="1779">
        <f>SUM(K14:K16,K21,K22)</f>
        <v>0</v>
      </c>
    </row>
    <row r="24" spans="1:11" ht="14.25" thickTop="1" thickBot="1" x14ac:dyDescent="0.25">
      <c r="A24" s="2268" t="s">
        <v>2026</v>
      </c>
      <c r="B24" s="2267"/>
      <c r="C24" s="2267"/>
      <c r="D24" s="2267"/>
      <c r="E24" s="2267"/>
      <c r="F24" s="1783"/>
      <c r="G24" s="1784">
        <f>SUM(G3,G12)-G23</f>
        <v>0</v>
      </c>
      <c r="H24" s="1784">
        <f>SUM(H3,H12)-H23</f>
        <v>0</v>
      </c>
      <c r="I24" s="1784">
        <f>SUM(I3,I12)-I23</f>
        <v>0</v>
      </c>
      <c r="J24" s="1784">
        <f>SUM(J3,J12)-J23</f>
        <v>0</v>
      </c>
      <c r="K24" s="1784">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3"/>
      <c r="G28" s="804"/>
    </row>
    <row r="29" spans="1:11" x14ac:dyDescent="0.2">
      <c r="B29" s="501"/>
      <c r="C29" s="501"/>
      <c r="D29" s="501"/>
      <c r="F29" s="202"/>
      <c r="G29" s="805"/>
    </row>
    <row r="30" spans="1:11" x14ac:dyDescent="0.2">
      <c r="A30" s="806" t="s">
        <v>593</v>
      </c>
      <c r="B30" s="807"/>
      <c r="C30" s="806" t="s">
        <v>401</v>
      </c>
      <c r="D30" s="807" t="s">
        <v>2077</v>
      </c>
      <c r="E30" s="808" t="s">
        <v>792</v>
      </c>
      <c r="F30" s="202"/>
      <c r="G30" s="805"/>
    </row>
    <row r="31" spans="1:11" x14ac:dyDescent="0.2">
      <c r="A31" s="809"/>
      <c r="D31" s="237"/>
      <c r="E31" s="810" t="s">
        <v>793</v>
      </c>
      <c r="F31" s="811" t="s">
        <v>560</v>
      </c>
      <c r="G31" s="764"/>
      <c r="H31" s="2241"/>
      <c r="I31" s="2242"/>
      <c r="J31" s="2242"/>
      <c r="K31" s="2242"/>
    </row>
    <row r="32" spans="1:11" x14ac:dyDescent="0.2">
      <c r="A32" s="809"/>
      <c r="B32" s="237"/>
      <c r="C32" s="237"/>
      <c r="D32" s="237"/>
      <c r="E32" s="805"/>
      <c r="F32" s="811" t="s">
        <v>561</v>
      </c>
      <c r="G32" s="764"/>
      <c r="H32" s="2243"/>
      <c r="I32" s="2242"/>
      <c r="J32" s="2242"/>
      <c r="K32" s="2242"/>
    </row>
    <row r="33" spans="1:11" ht="1.5" customHeight="1" x14ac:dyDescent="0.2">
      <c r="A33" s="812" t="s">
        <v>1231</v>
      </c>
      <c r="B33" s="364"/>
      <c r="C33" s="364"/>
      <c r="D33" s="364"/>
      <c r="E33" s="364"/>
      <c r="F33" s="364"/>
      <c r="G33" s="813"/>
      <c r="H33" s="2243"/>
      <c r="I33" s="2242"/>
      <c r="J33" s="2242"/>
      <c r="K33" s="2242"/>
    </row>
    <row r="34" spans="1:11" x14ac:dyDescent="0.2">
      <c r="A34" s="814" t="s">
        <v>1923</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v>162131</v>
      </c>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8" t="s">
        <v>562</v>
      </c>
      <c r="B41" s="2251"/>
      <c r="C41" s="2251"/>
      <c r="D41" s="2251"/>
      <c r="E41" s="2251"/>
      <c r="F41" s="2252"/>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2" t="s">
        <v>1917</v>
      </c>
      <c r="B46" s="408" t="s">
        <v>1774</v>
      </c>
    </row>
    <row r="47" spans="1:11" s="823" customFormat="1" ht="12.75" customHeight="1" x14ac:dyDescent="0.2">
      <c r="A47" s="821"/>
      <c r="B47" s="822" t="s">
        <v>1775</v>
      </c>
      <c r="E47" s="822"/>
      <c r="K47" s="824"/>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6"/>
      <c r="E1" s="827"/>
      <c r="F1" s="827"/>
      <c r="G1" s="828"/>
      <c r="H1" s="829"/>
      <c r="I1" s="830"/>
      <c r="J1" s="2271"/>
      <c r="K1" s="2272"/>
      <c r="L1" s="2272"/>
    </row>
    <row r="2" spans="1:14" ht="69.75" customHeight="1" x14ac:dyDescent="0.2">
      <c r="A2" s="831" t="s">
        <v>1777</v>
      </c>
      <c r="B2" s="832" t="s">
        <v>396</v>
      </c>
      <c r="C2" s="833" t="s">
        <v>2030</v>
      </c>
      <c r="D2" s="833" t="s">
        <v>2027</v>
      </c>
      <c r="E2" s="833" t="s">
        <v>2028</v>
      </c>
      <c r="F2" s="833" t="s">
        <v>2029</v>
      </c>
      <c r="G2" s="833" t="s">
        <v>626</v>
      </c>
      <c r="H2" s="833" t="s">
        <v>2031</v>
      </c>
      <c r="I2" s="833" t="s">
        <v>2032</v>
      </c>
      <c r="J2" s="833" t="s">
        <v>2047</v>
      </c>
      <c r="K2" s="833" t="s">
        <v>2033</v>
      </c>
      <c r="L2" s="833" t="s">
        <v>2034</v>
      </c>
      <c r="M2" s="834"/>
      <c r="N2" s="834"/>
    </row>
    <row r="3" spans="1:14" ht="13.5" thickBot="1" x14ac:dyDescent="0.25">
      <c r="A3" s="1650" t="s">
        <v>948</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949</v>
      </c>
      <c r="B5" s="840">
        <v>221</v>
      </c>
      <c r="C5" s="841">
        <v>127188</v>
      </c>
      <c r="D5" s="841"/>
      <c r="E5" s="841"/>
      <c r="F5" s="1781">
        <f>(C5+D5)-E5</f>
        <v>127188</v>
      </c>
      <c r="G5" s="837"/>
      <c r="H5" s="842"/>
      <c r="I5" s="842"/>
      <c r="J5" s="842"/>
      <c r="K5" s="793"/>
      <c r="L5" s="1790">
        <f>F5-K5</f>
        <v>127188</v>
      </c>
    </row>
    <row r="6" spans="1:14" ht="14.25" thickTop="1" thickBot="1" x14ac:dyDescent="0.25">
      <c r="A6" s="778" t="s">
        <v>1179</v>
      </c>
      <c r="B6" s="840">
        <v>222</v>
      </c>
      <c r="C6" s="765"/>
      <c r="D6" s="765"/>
      <c r="E6" s="765"/>
      <c r="F6" s="1781">
        <f>(C6+D6)-E6</f>
        <v>0</v>
      </c>
      <c r="G6" s="837">
        <v>50</v>
      </c>
      <c r="H6" s="765"/>
      <c r="I6" s="765"/>
      <c r="J6" s="765"/>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1180</v>
      </c>
      <c r="B8" s="840">
        <v>231</v>
      </c>
      <c r="C8" s="844">
        <v>88474971</v>
      </c>
      <c r="D8" s="844">
        <v>3278366</v>
      </c>
      <c r="E8" s="844"/>
      <c r="F8" s="1781">
        <f>(C8+D8)-E8</f>
        <v>91753337</v>
      </c>
      <c r="G8" s="843">
        <v>50</v>
      </c>
      <c r="H8" s="765">
        <v>25484228</v>
      </c>
      <c r="I8" s="765">
        <v>1681894</v>
      </c>
      <c r="J8" s="765"/>
      <c r="K8" s="1790">
        <f>(H8+I8)-J8</f>
        <v>27166122</v>
      </c>
      <c r="L8" s="1790">
        <f>F8-K8</f>
        <v>64587215</v>
      </c>
    </row>
    <row r="9" spans="1:14" ht="14.25" thickTop="1" thickBot="1" x14ac:dyDescent="0.25">
      <c r="A9" s="778" t="s">
        <v>1181</v>
      </c>
      <c r="B9" s="840">
        <v>232</v>
      </c>
      <c r="C9" s="765"/>
      <c r="D9" s="765"/>
      <c r="E9" s="765"/>
      <c r="F9" s="1781">
        <f>(C9+D9)-E9</f>
        <v>0</v>
      </c>
      <c r="G9" s="843">
        <v>20</v>
      </c>
      <c r="H9" s="765"/>
      <c r="I9" s="765"/>
      <c r="J9" s="765"/>
      <c r="K9" s="1790">
        <f>(H9+I9)-J9</f>
        <v>0</v>
      </c>
      <c r="L9" s="1790">
        <f>F9-K9</f>
        <v>0</v>
      </c>
    </row>
    <row r="10" spans="1:14" ht="24" thickTop="1" thickBot="1" x14ac:dyDescent="0.25">
      <c r="A10" s="845" t="s">
        <v>1182</v>
      </c>
      <c r="B10" s="840">
        <v>240</v>
      </c>
      <c r="C10" s="846">
        <v>2547355</v>
      </c>
      <c r="D10" s="846">
        <v>367170</v>
      </c>
      <c r="E10" s="846"/>
      <c r="F10" s="1785">
        <f>(C10+D10)-E10</f>
        <v>2914525</v>
      </c>
      <c r="G10" s="843">
        <v>20</v>
      </c>
      <c r="H10" s="847">
        <v>866000</v>
      </c>
      <c r="I10" s="847">
        <v>139709</v>
      </c>
      <c r="J10" s="847"/>
      <c r="K10" s="1790">
        <f>(H10+I10)-J10</f>
        <v>1005709</v>
      </c>
      <c r="L10" s="1790">
        <f>F10-K10</f>
        <v>1908816</v>
      </c>
    </row>
    <row r="11" spans="1:14" ht="13.5" thickTop="1" x14ac:dyDescent="0.2">
      <c r="A11" s="1653" t="s">
        <v>1198</v>
      </c>
      <c r="B11" s="1651">
        <v>250</v>
      </c>
      <c r="C11" s="781"/>
      <c r="D11" s="781"/>
      <c r="E11" s="781"/>
      <c r="F11" s="773"/>
      <c r="G11" s="843"/>
      <c r="H11" s="781"/>
      <c r="I11" s="781"/>
      <c r="J11" s="781"/>
      <c r="K11" s="773"/>
      <c r="L11" s="773"/>
    </row>
    <row r="12" spans="1:14" ht="13.5" thickBot="1" x14ac:dyDescent="0.25">
      <c r="A12" s="848" t="s">
        <v>1183</v>
      </c>
      <c r="B12" s="840">
        <v>251</v>
      </c>
      <c r="C12" s="844">
        <v>28979362</v>
      </c>
      <c r="D12" s="844">
        <v>940543</v>
      </c>
      <c r="E12" s="844"/>
      <c r="F12" s="1781">
        <f>(C12+D12)-E12</f>
        <v>29919905</v>
      </c>
      <c r="G12" s="843">
        <v>10</v>
      </c>
      <c r="H12" s="765">
        <v>18634221</v>
      </c>
      <c r="I12" s="765">
        <v>1896292</v>
      </c>
      <c r="J12" s="765"/>
      <c r="K12" s="1790">
        <f>(H12+I12)-J12</f>
        <v>20530513</v>
      </c>
      <c r="L12" s="1790">
        <f>F12-K12</f>
        <v>9389392</v>
      </c>
    </row>
    <row r="13" spans="1:14" ht="14.25" thickTop="1" thickBot="1" x14ac:dyDescent="0.25">
      <c r="A13" s="848" t="s">
        <v>1184</v>
      </c>
      <c r="B13" s="840">
        <v>252</v>
      </c>
      <c r="C13" s="844"/>
      <c r="D13" s="844"/>
      <c r="E13" s="844"/>
      <c r="F13" s="1781">
        <f>(C13+D13)-E13</f>
        <v>0</v>
      </c>
      <c r="G13" s="843">
        <v>5</v>
      </c>
      <c r="H13" s="765"/>
      <c r="I13" s="765"/>
      <c r="J13" s="765"/>
      <c r="K13" s="1790">
        <f>(H13+I13)-J13</f>
        <v>0</v>
      </c>
      <c r="L13" s="1790">
        <f>F13-K13</f>
        <v>0</v>
      </c>
    </row>
    <row r="14" spans="1:14" ht="14.25" thickTop="1" thickBot="1" x14ac:dyDescent="0.25">
      <c r="A14" s="848" t="s">
        <v>1185</v>
      </c>
      <c r="B14" s="840">
        <v>253</v>
      </c>
      <c r="C14" s="765"/>
      <c r="D14" s="765"/>
      <c r="E14" s="765"/>
      <c r="F14" s="1781">
        <f>(C14+D14)-E14</f>
        <v>0</v>
      </c>
      <c r="G14" s="843">
        <v>3</v>
      </c>
      <c r="H14" s="765"/>
      <c r="I14" s="765"/>
      <c r="J14" s="765"/>
      <c r="K14" s="1790">
        <f>(H14+I14)-J14</f>
        <v>0</v>
      </c>
      <c r="L14" s="1790">
        <f>F14-K14</f>
        <v>0</v>
      </c>
    </row>
    <row r="15" spans="1:14" ht="15" customHeight="1" thickTop="1" thickBot="1" x14ac:dyDescent="0.25">
      <c r="A15" s="1652" t="s">
        <v>549</v>
      </c>
      <c r="B15" s="1651">
        <v>260</v>
      </c>
      <c r="C15" s="844"/>
      <c r="D15" s="844"/>
      <c r="E15" s="844"/>
      <c r="F15" s="1781">
        <f>(C15+D15)-E15</f>
        <v>0</v>
      </c>
      <c r="G15" s="849" t="s">
        <v>917</v>
      </c>
      <c r="H15" s="781"/>
      <c r="I15" s="781"/>
      <c r="J15" s="781"/>
      <c r="K15" s="781"/>
      <c r="L15" s="1790">
        <f>F15-K15</f>
        <v>0</v>
      </c>
    </row>
    <row r="16" spans="1:14" ht="15" customHeight="1" thickTop="1" thickBot="1" x14ac:dyDescent="0.25">
      <c r="A16" s="1786" t="s">
        <v>664</v>
      </c>
      <c r="B16" s="1787">
        <v>200</v>
      </c>
      <c r="C16" s="1781">
        <f>SUM(C3,C5:C6,C8:C10,C12:C15)</f>
        <v>120128876</v>
      </c>
      <c r="D16" s="1781">
        <f>SUM(D3,D5:D6,D8:D10,D12:D15)</f>
        <v>4586079</v>
      </c>
      <c r="E16" s="1781">
        <f>SUM(E3,E5:E6,E8:E10,E12:E15)</f>
        <v>0</v>
      </c>
      <c r="F16" s="1781">
        <f>SUM(F3,F5:F6,F8:F10,F12:F15)</f>
        <v>124714955</v>
      </c>
      <c r="G16" s="843"/>
      <c r="H16" s="1781">
        <f>SUM(H3,H6,H8:H10,H12:H14,)</f>
        <v>44984449</v>
      </c>
      <c r="I16" s="1781">
        <f>SUM(I3,I6,I8:I10,I12:I14,)</f>
        <v>3717895</v>
      </c>
      <c r="J16" s="1781">
        <f>SUM(J3,J6,J8:J10,J12:J14,)</f>
        <v>0</v>
      </c>
      <c r="K16" s="1781">
        <f>(H16+I16)-J16</f>
        <v>48702344</v>
      </c>
      <c r="L16" s="1781">
        <f>F16-K16</f>
        <v>76012611</v>
      </c>
    </row>
    <row r="17" spans="1:12" ht="15" customHeight="1" thickTop="1" thickBot="1" x14ac:dyDescent="0.25">
      <c r="A17" s="1654" t="s">
        <v>309</v>
      </c>
      <c r="B17" s="1651">
        <v>700</v>
      </c>
      <c r="C17" s="769"/>
      <c r="D17" s="769"/>
      <c r="E17" s="769"/>
      <c r="F17" s="1781">
        <f>SUM('Expenditures 15-22'!I114,'Expenditures 15-22'!I151,'Expenditures 15-22'!I210,'Expenditures 15-22'!I312,'Expenditures 15-22'!I342,'Expenditures 15-22'!I367)</f>
        <v>0</v>
      </c>
      <c r="G17" s="837">
        <v>10</v>
      </c>
      <c r="H17" s="769"/>
      <c r="I17" s="1790">
        <f>F17/G17</f>
        <v>0</v>
      </c>
      <c r="J17" s="769"/>
      <c r="K17" s="795"/>
      <c r="L17" s="795"/>
    </row>
    <row r="18" spans="1:12" ht="14.25" thickTop="1" thickBot="1" x14ac:dyDescent="0.25">
      <c r="A18" s="1788" t="s">
        <v>706</v>
      </c>
      <c r="B18" s="1789"/>
      <c r="C18" s="771"/>
      <c r="D18" s="771"/>
      <c r="E18" s="771"/>
      <c r="F18" s="850"/>
      <c r="G18" s="851"/>
      <c r="H18" s="773"/>
      <c r="I18" s="1781">
        <f>SUM(I16,I17)</f>
        <v>3717895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1" activePane="bottomLeft" state="frozen"/>
      <selection activeCell="A47" sqref="A47"/>
      <selection pane="bottomLeft" activeCell="F187" sqref="F18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9" t="s">
        <v>1699</v>
      </c>
      <c r="B1" s="2280"/>
      <c r="C1" s="2280"/>
      <c r="D1" s="2280"/>
      <c r="E1" s="2280"/>
      <c r="F1" s="2281"/>
      <c r="G1" s="855"/>
    </row>
    <row r="2" spans="1:7" ht="15" customHeight="1" thickBot="1" x14ac:dyDescent="0.25">
      <c r="A2" s="2282" t="s">
        <v>498</v>
      </c>
      <c r="B2" s="2283"/>
      <c r="C2" s="2283"/>
      <c r="D2" s="2283"/>
      <c r="E2" s="2283"/>
      <c r="F2" s="2284"/>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3">
        <f>'Expenditures 15-22'!K114</f>
        <v>42497189</v>
      </c>
      <c r="G8" s="865"/>
    </row>
    <row r="9" spans="1:7" x14ac:dyDescent="0.2">
      <c r="A9" s="869" t="s">
        <v>480</v>
      </c>
      <c r="B9" s="870" t="s">
        <v>1989</v>
      </c>
      <c r="C9" s="871"/>
      <c r="D9" s="869" t="s">
        <v>522</v>
      </c>
      <c r="E9" s="868"/>
      <c r="F9" s="1934">
        <f>'Expenditures 15-22'!K151</f>
        <v>5591702</v>
      </c>
      <c r="G9" s="872"/>
    </row>
    <row r="10" spans="1:7" x14ac:dyDescent="0.2">
      <c r="A10" s="869" t="s">
        <v>520</v>
      </c>
      <c r="B10" s="870" t="s">
        <v>1990</v>
      </c>
      <c r="C10" s="871"/>
      <c r="D10" s="869" t="s">
        <v>522</v>
      </c>
      <c r="E10" s="868"/>
      <c r="F10" s="1934">
        <f>'Expenditures 15-22'!K174</f>
        <v>1176862</v>
      </c>
      <c r="G10" s="872"/>
    </row>
    <row r="11" spans="1:7" x14ac:dyDescent="0.2">
      <c r="A11" s="869" t="s">
        <v>481</v>
      </c>
      <c r="B11" s="870" t="s">
        <v>1991</v>
      </c>
      <c r="C11" s="871"/>
      <c r="D11" s="869" t="s">
        <v>522</v>
      </c>
      <c r="E11" s="868"/>
      <c r="F11" s="1934">
        <f>'Expenditures 15-22'!K210</f>
        <v>1494036</v>
      </c>
      <c r="G11" s="872"/>
    </row>
    <row r="12" spans="1:7" x14ac:dyDescent="0.2">
      <c r="A12" s="869" t="s">
        <v>482</v>
      </c>
      <c r="B12" s="870" t="s">
        <v>1992</v>
      </c>
      <c r="C12" s="871"/>
      <c r="D12" s="869" t="s">
        <v>522</v>
      </c>
      <c r="E12" s="868"/>
      <c r="F12" s="1934">
        <f>'Expenditures 15-22'!K295</f>
        <v>1114167</v>
      </c>
      <c r="G12" s="872"/>
    </row>
    <row r="13" spans="1:7" x14ac:dyDescent="0.2">
      <c r="A13" s="869" t="s">
        <v>108</v>
      </c>
      <c r="B13" s="870" t="s">
        <v>1993</v>
      </c>
      <c r="C13" s="871"/>
      <c r="D13" s="869" t="s">
        <v>522</v>
      </c>
      <c r="E13" s="868"/>
      <c r="F13" s="1934">
        <f>'Expenditures 15-22'!K342</f>
        <v>0</v>
      </c>
      <c r="G13" s="873"/>
    </row>
    <row r="14" spans="1:7" ht="12" customHeight="1" thickBot="1" x14ac:dyDescent="0.25">
      <c r="A14" s="1791"/>
      <c r="B14" s="1792"/>
      <c r="C14" s="1793"/>
      <c r="D14" s="1794" t="s">
        <v>522</v>
      </c>
      <c r="E14" s="1795" t="s">
        <v>1015</v>
      </c>
      <c r="F14" s="1796">
        <f>SUM(F8:F13)</f>
        <v>51873956</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5">
        <f>'Revenues 9-14'!F43</f>
        <v>0</v>
      </c>
      <c r="G18" s="865"/>
    </row>
    <row r="19" spans="1:7" x14ac:dyDescent="0.2">
      <c r="A19" s="869" t="s">
        <v>481</v>
      </c>
      <c r="B19" s="870" t="s">
        <v>1069</v>
      </c>
      <c r="C19" s="877">
        <f>'Revenues 9-14'!B47</f>
        <v>1421</v>
      </c>
      <c r="D19" s="878" t="str">
        <f>'Revenues 9-14'!A47</f>
        <v>Summer Sch - Transp. Fees from Pupils or Parents (In State)</v>
      </c>
      <c r="E19" s="879"/>
      <c r="F19" s="1936">
        <f>'Revenues 9-14'!F47</f>
        <v>0</v>
      </c>
      <c r="G19" s="865"/>
    </row>
    <row r="20" spans="1:7" x14ac:dyDescent="0.2">
      <c r="A20" s="869" t="s">
        <v>481</v>
      </c>
      <c r="B20" s="870" t="s">
        <v>1070</v>
      </c>
      <c r="C20" s="875">
        <f>'Revenues 9-14'!B48</f>
        <v>1422</v>
      </c>
      <c r="D20" s="876" t="str">
        <f>'Revenues 9-14'!A48</f>
        <v>Summer Sch - Transp. Fees from Other Districts (In State)</v>
      </c>
      <c r="E20" s="868"/>
      <c r="F20" s="1937">
        <f>'Revenues 9-14'!F48</f>
        <v>0</v>
      </c>
      <c r="G20" s="865"/>
    </row>
    <row r="21" spans="1:7" x14ac:dyDescent="0.2">
      <c r="A21" s="869" t="s">
        <v>481</v>
      </c>
      <c r="B21" s="870" t="s">
        <v>1071</v>
      </c>
      <c r="C21" s="877">
        <f>'Revenues 9-14'!B49</f>
        <v>1423</v>
      </c>
      <c r="D21" s="876" t="str">
        <f>'Revenues 9-14'!A49</f>
        <v>Summer Sch - Transp. Fees from Other Sources (In State)</v>
      </c>
      <c r="E21" s="868"/>
      <c r="F21" s="1938">
        <f>'Revenues 9-14'!F49</f>
        <v>0</v>
      </c>
      <c r="G21" s="865"/>
    </row>
    <row r="22" spans="1:7" x14ac:dyDescent="0.2">
      <c r="A22" s="869" t="s">
        <v>481</v>
      </c>
      <c r="B22" s="870" t="s">
        <v>1072</v>
      </c>
      <c r="C22" s="877">
        <f>'Revenues 9-14'!B50</f>
        <v>1424</v>
      </c>
      <c r="D22" s="876" t="str">
        <f>'Revenues 9-14'!A50</f>
        <v>Summer Sch - Transp. Fees from Other Sources (Out of State)</v>
      </c>
      <c r="E22" s="868"/>
      <c r="F22" s="1938">
        <f>'Revenues 9-14'!F50</f>
        <v>0</v>
      </c>
      <c r="G22" s="865"/>
    </row>
    <row r="23" spans="1:7" x14ac:dyDescent="0.2">
      <c r="A23" s="869" t="s">
        <v>481</v>
      </c>
      <c r="B23" s="870" t="s">
        <v>1073</v>
      </c>
      <c r="C23" s="875">
        <f>'Revenues 9-14'!B52</f>
        <v>1432</v>
      </c>
      <c r="D23" s="876" t="str">
        <f>'Revenues 9-14'!A52</f>
        <v>CTE - Transp Fees from Other Districts (In State)</v>
      </c>
      <c r="E23" s="868"/>
      <c r="F23" s="1938">
        <f>'Revenues 9-14'!F52</f>
        <v>0</v>
      </c>
      <c r="G23" s="865"/>
    </row>
    <row r="24" spans="1:7" x14ac:dyDescent="0.2">
      <c r="A24" s="869" t="s">
        <v>481</v>
      </c>
      <c r="B24" s="870" t="s">
        <v>1074</v>
      </c>
      <c r="C24" s="875">
        <f>'Revenues 9-14'!B56</f>
        <v>1442</v>
      </c>
      <c r="D24" s="876" t="str">
        <f>'Revenues 9-14'!A56</f>
        <v>Special Ed - Transp Fees from Other Districts (In State)</v>
      </c>
      <c r="E24" s="868"/>
      <c r="F24" s="1938">
        <f>'Revenues 9-14'!F56</f>
        <v>0</v>
      </c>
      <c r="G24" s="865"/>
    </row>
    <row r="25" spans="1:7" x14ac:dyDescent="0.2">
      <c r="A25" s="869" t="s">
        <v>481</v>
      </c>
      <c r="B25" s="870" t="s">
        <v>1075</v>
      </c>
      <c r="C25" s="875">
        <f>'Revenues 9-14'!B59</f>
        <v>1451</v>
      </c>
      <c r="D25" s="876" t="str">
        <f>'Revenues 9-14'!A59</f>
        <v>Adult - Transp Fees from Pupils or Parents (In State)</v>
      </c>
      <c r="E25" s="868"/>
      <c r="F25" s="1938">
        <f>'Revenues 9-14'!F59</f>
        <v>0</v>
      </c>
      <c r="G25" s="865"/>
    </row>
    <row r="26" spans="1:7" x14ac:dyDescent="0.2">
      <c r="A26" s="869" t="s">
        <v>481</v>
      </c>
      <c r="B26" s="870" t="s">
        <v>1076</v>
      </c>
      <c r="C26" s="875">
        <f>'Revenues 9-14'!B60</f>
        <v>1452</v>
      </c>
      <c r="D26" s="876" t="str">
        <f>'Revenues 9-14'!A60</f>
        <v>Adult - Transp Fees from Other Districts (In State)</v>
      </c>
      <c r="E26" s="868"/>
      <c r="F26" s="1938">
        <f>'Revenues 9-14'!F60</f>
        <v>0</v>
      </c>
      <c r="G26" s="865"/>
    </row>
    <row r="27" spans="1:7" x14ac:dyDescent="0.2">
      <c r="A27" s="869" t="s">
        <v>481</v>
      </c>
      <c r="B27" s="870" t="s">
        <v>1077</v>
      </c>
      <c r="C27" s="875">
        <f>'Revenues 9-14'!B61</f>
        <v>1453</v>
      </c>
      <c r="D27" s="876" t="str">
        <f>'Revenues 9-14'!A61</f>
        <v>Adult - Transp Fees from Other Sources (In State)</v>
      </c>
      <c r="E27" s="868"/>
      <c r="F27" s="1938">
        <f>'Revenues 9-14'!F61</f>
        <v>0</v>
      </c>
      <c r="G27" s="865"/>
    </row>
    <row r="28" spans="1:7" x14ac:dyDescent="0.2">
      <c r="A28" s="869" t="s">
        <v>481</v>
      </c>
      <c r="B28" s="870" t="s">
        <v>1078</v>
      </c>
      <c r="C28" s="875">
        <f>'Revenues 9-14'!B62</f>
        <v>1454</v>
      </c>
      <c r="D28" s="876" t="str">
        <f>'Revenues 9-14'!A62</f>
        <v>Adult - Transp Fees from Other Sources (Out of State)</v>
      </c>
      <c r="E28" s="868"/>
      <c r="F28" s="1938">
        <f>'Revenues 9-14'!F62</f>
        <v>0</v>
      </c>
      <c r="G28" s="865"/>
    </row>
    <row r="29" spans="1:7" x14ac:dyDescent="0.2">
      <c r="A29" s="869" t="s">
        <v>1159</v>
      </c>
      <c r="B29" s="870" t="s">
        <v>1683</v>
      </c>
      <c r="C29" s="880">
        <f>'Revenues 9-14'!B148</f>
        <v>3410</v>
      </c>
      <c r="D29" s="881" t="str">
        <f>'Revenues 9-14'!A148</f>
        <v>Adult Ed (from ICCB)</v>
      </c>
      <c r="E29" s="868"/>
      <c r="F29" s="1938">
        <f>SUM('Revenues 9-14'!D148,F149)</f>
        <v>0</v>
      </c>
      <c r="G29" s="865"/>
    </row>
    <row r="30" spans="1:7" x14ac:dyDescent="0.2">
      <c r="A30" s="869" t="s">
        <v>1159</v>
      </c>
      <c r="B30" s="870" t="s">
        <v>861</v>
      </c>
      <c r="C30" s="880">
        <f>'Revenues 9-14'!B149</f>
        <v>3499</v>
      </c>
      <c r="D30" s="881" t="str">
        <f>'Revenues 9-14'!A149</f>
        <v>Adult Ed - Other (Describe &amp; Itemize)</v>
      </c>
      <c r="E30" s="868"/>
      <c r="F30" s="1939">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8">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8">
        <f>SUM('Revenues 9-14'!D219,'Revenues 9-14'!F219)</f>
        <v>0</v>
      </c>
      <c r="G32" s="865"/>
    </row>
    <row r="33" spans="1:7" x14ac:dyDescent="0.2">
      <c r="A33" s="869" t="s">
        <v>480</v>
      </c>
      <c r="B33" s="870" t="s">
        <v>801</v>
      </c>
      <c r="C33" s="875">
        <f>'Revenues 9-14'!B229</f>
        <v>4810</v>
      </c>
      <c r="D33" s="883" t="str">
        <f>'Revenues 9-14'!A229</f>
        <v>Federal - Adult Education</v>
      </c>
      <c r="E33" s="868"/>
      <c r="F33" s="1938">
        <f>'Revenues 9-14'!D229</f>
        <v>0</v>
      </c>
      <c r="G33" s="865"/>
    </row>
    <row r="34" spans="1:7" x14ac:dyDescent="0.2">
      <c r="A34" s="869" t="s">
        <v>479</v>
      </c>
      <c r="B34" s="869" t="s">
        <v>1545</v>
      </c>
      <c r="C34" s="886" t="str">
        <f>'Expenditures 15-22'!B7</f>
        <v>1125</v>
      </c>
      <c r="D34" s="887" t="str">
        <f>'Expenditures 15-22'!A7</f>
        <v>Pre-K Programs</v>
      </c>
      <c r="E34" s="868"/>
      <c r="F34" s="1938">
        <f>'Expenditures 15-22'!K7-SUM('Expenditures 15-22'!G7,'Expenditures 15-22'!I7)</f>
        <v>0</v>
      </c>
      <c r="G34" s="865"/>
    </row>
    <row r="35" spans="1:7" x14ac:dyDescent="0.2">
      <c r="A35" s="869" t="s">
        <v>479</v>
      </c>
      <c r="B35" s="869" t="s">
        <v>1546</v>
      </c>
      <c r="C35" s="886" t="str">
        <f>'Expenditures 15-22'!B9</f>
        <v>1225</v>
      </c>
      <c r="D35" s="887" t="str">
        <f>'Expenditures 15-22'!A9</f>
        <v>Special Education Programs Pre-K</v>
      </c>
      <c r="E35" s="868"/>
      <c r="F35" s="1938">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8">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8">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8">
        <f>'Expenditures 15-22'!K15-SUM('Expenditures 15-22'!G15,'Expenditures 15-22'!I15)</f>
        <v>54695</v>
      </c>
      <c r="G38" s="865"/>
    </row>
    <row r="39" spans="1:7" x14ac:dyDescent="0.2">
      <c r="A39" s="869" t="s">
        <v>479</v>
      </c>
      <c r="B39" s="869" t="s">
        <v>119</v>
      </c>
      <c r="C39" s="886" t="str">
        <f>'Expenditures 15-22'!B20</f>
        <v>1910</v>
      </c>
      <c r="D39" s="888" t="str">
        <f>'Expenditures 15-22'!A20</f>
        <v>Pre-K Programs - Private Tuition</v>
      </c>
      <c r="E39" s="868"/>
      <c r="F39" s="1938">
        <f>'Expenditures 15-22'!K20</f>
        <v>0</v>
      </c>
      <c r="G39" s="865"/>
    </row>
    <row r="40" spans="1:7" x14ac:dyDescent="0.2">
      <c r="A40" s="869" t="s">
        <v>479</v>
      </c>
      <c r="B40" s="869" t="s">
        <v>120</v>
      </c>
      <c r="C40" s="886" t="str">
        <f>'Expenditures 15-22'!B21</f>
        <v>1911</v>
      </c>
      <c r="D40" s="888" t="str">
        <f>'Expenditures 15-22'!A21</f>
        <v>Regular K-12 Programs - Private Tuition</v>
      </c>
      <c r="E40" s="868"/>
      <c r="F40" s="1938">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8">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8">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8">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8">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8">
        <f>'Expenditures 15-22'!K26</f>
        <v>0</v>
      </c>
      <c r="G45" s="865"/>
    </row>
    <row r="46" spans="1:7" x14ac:dyDescent="0.2">
      <c r="A46" s="869" t="s">
        <v>479</v>
      </c>
      <c r="B46" s="869" t="s">
        <v>126</v>
      </c>
      <c r="C46" s="886" t="str">
        <f>'Expenditures 15-22'!B27</f>
        <v>1917</v>
      </c>
      <c r="D46" s="888" t="str">
        <f>'Expenditures 15-22'!A27</f>
        <v>CTE Programs - Private Tuition</v>
      </c>
      <c r="E46" s="868"/>
      <c r="F46" s="1938">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8">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8">
        <f>'Expenditures 15-22'!K29</f>
        <v>0</v>
      </c>
      <c r="G48" s="865"/>
    </row>
    <row r="49" spans="1:7" x14ac:dyDescent="0.2">
      <c r="A49" s="869" t="s">
        <v>479</v>
      </c>
      <c r="B49" s="869" t="s">
        <v>129</v>
      </c>
      <c r="C49" s="886" t="str">
        <f>'Expenditures 15-22'!B30</f>
        <v>1920</v>
      </c>
      <c r="D49" s="888" t="str">
        <f>'Expenditures 15-22'!A30</f>
        <v>Gifted Programs - Private Tuition</v>
      </c>
      <c r="E49" s="868"/>
      <c r="F49" s="1938">
        <f>'Expenditures 15-22'!K30</f>
        <v>0</v>
      </c>
      <c r="G49" s="865"/>
    </row>
    <row r="50" spans="1:7" x14ac:dyDescent="0.2">
      <c r="A50" s="869" t="s">
        <v>479</v>
      </c>
      <c r="B50" s="869" t="s">
        <v>130</v>
      </c>
      <c r="C50" s="886" t="str">
        <f>'Expenditures 15-22'!B31</f>
        <v>1921</v>
      </c>
      <c r="D50" s="888" t="str">
        <f>'Expenditures 15-22'!A31</f>
        <v>Bilingual Programs - Private Tuition</v>
      </c>
      <c r="E50" s="868"/>
      <c r="F50" s="1938">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8">
        <f>'Expenditures 15-22'!K32</f>
        <v>0</v>
      </c>
      <c r="G51" s="865"/>
    </row>
    <row r="52" spans="1:7" x14ac:dyDescent="0.2">
      <c r="A52" s="869" t="s">
        <v>479</v>
      </c>
      <c r="B52" s="869" t="s">
        <v>1550</v>
      </c>
      <c r="C52" s="889" t="str">
        <f>'Expenditures 15-22'!B75</f>
        <v>3000</v>
      </c>
      <c r="D52" s="888" t="s">
        <v>469</v>
      </c>
      <c r="E52" s="868"/>
      <c r="F52" s="1938">
        <f>'Expenditures 15-22'!K75-SUM('Expenditures 15-22'!G75,'Expenditures 15-22'!I75)</f>
        <v>191590</v>
      </c>
      <c r="G52" s="865"/>
    </row>
    <row r="53" spans="1:7" x14ac:dyDescent="0.2">
      <c r="A53" s="869" t="s">
        <v>479</v>
      </c>
      <c r="B53" s="869" t="s">
        <v>1551</v>
      </c>
      <c r="C53" s="889">
        <f>'Expenditures 15-22'!B102</f>
        <v>4000</v>
      </c>
      <c r="D53" s="888" t="str">
        <f>'Expenditures 15-22'!A102</f>
        <v>Total Payments to Other Govt Units</v>
      </c>
      <c r="E53" s="868"/>
      <c r="F53" s="1938">
        <f>'Expenditures 15-22'!K102</f>
        <v>498054</v>
      </c>
      <c r="G53" s="865"/>
    </row>
    <row r="54" spans="1:7" x14ac:dyDescent="0.2">
      <c r="A54" s="869" t="s">
        <v>479</v>
      </c>
      <c r="B54" s="869" t="s">
        <v>1552</v>
      </c>
      <c r="C54" s="889" t="s">
        <v>1039</v>
      </c>
      <c r="D54" s="885" t="s">
        <v>1157</v>
      </c>
      <c r="E54" s="868"/>
      <c r="F54" s="1938">
        <f>'Expenditures 15-22'!G114</f>
        <v>877122</v>
      </c>
      <c r="G54" s="865"/>
    </row>
    <row r="55" spans="1:7" x14ac:dyDescent="0.2">
      <c r="A55" s="869" t="s">
        <v>479</v>
      </c>
      <c r="B55" s="869" t="s">
        <v>1553</v>
      </c>
      <c r="C55" s="889" t="s">
        <v>1039</v>
      </c>
      <c r="D55" s="885" t="s">
        <v>309</v>
      </c>
      <c r="E55" s="868"/>
      <c r="F55" s="1938">
        <f>'Expenditures 15-22'!I114</f>
        <v>0</v>
      </c>
      <c r="G55" s="865"/>
    </row>
    <row r="56" spans="1:7" x14ac:dyDescent="0.2">
      <c r="A56" s="869" t="s">
        <v>480</v>
      </c>
      <c r="B56" s="869" t="s">
        <v>1554</v>
      </c>
      <c r="C56" s="886" t="str">
        <f>'Expenditures 15-22'!B130</f>
        <v>3000</v>
      </c>
      <c r="D56" s="892" t="s">
        <v>469</v>
      </c>
      <c r="E56" s="868"/>
      <c r="F56" s="1938">
        <f>'Expenditures 15-22'!K130-SUM('Expenditures 15-22'!G130+'Expenditures 15-22'!I130)</f>
        <v>0</v>
      </c>
      <c r="G56" s="865"/>
    </row>
    <row r="57" spans="1:7" x14ac:dyDescent="0.2">
      <c r="A57" s="869" t="s">
        <v>480</v>
      </c>
      <c r="B57" s="869" t="s">
        <v>1994</v>
      </c>
      <c r="C57" s="889">
        <f>'Expenditures 15-22'!B139</f>
        <v>4000</v>
      </c>
      <c r="D57" s="887" t="str">
        <f>'Expenditures 15-22'!A139</f>
        <v>Total Payments to Other Govt Units</v>
      </c>
      <c r="E57" s="868"/>
      <c r="F57" s="1938">
        <f>'Expenditures 15-22'!K139</f>
        <v>0</v>
      </c>
      <c r="G57" s="865"/>
    </row>
    <row r="58" spans="1:7" x14ac:dyDescent="0.2">
      <c r="A58" s="869" t="s">
        <v>480</v>
      </c>
      <c r="B58" s="869" t="s">
        <v>1995</v>
      </c>
      <c r="C58" s="886" t="s">
        <v>1039</v>
      </c>
      <c r="D58" s="885" t="s">
        <v>1157</v>
      </c>
      <c r="E58" s="868"/>
      <c r="F58" s="1940">
        <f>'Expenditures 15-22'!G151</f>
        <v>702197</v>
      </c>
      <c r="G58" s="865"/>
    </row>
    <row r="59" spans="1:7" x14ac:dyDescent="0.2">
      <c r="A59" s="893" t="s">
        <v>480</v>
      </c>
      <c r="B59" s="856" t="s">
        <v>1996</v>
      </c>
      <c r="C59" s="894" t="s">
        <v>1039</v>
      </c>
      <c r="D59" s="856" t="s">
        <v>309</v>
      </c>
      <c r="F59" s="1941">
        <f>'Expenditures 15-22'!I151</f>
        <v>0</v>
      </c>
      <c r="G59" s="865"/>
    </row>
    <row r="60" spans="1:7" x14ac:dyDescent="0.2">
      <c r="A60" s="893" t="s">
        <v>520</v>
      </c>
      <c r="B60" s="856" t="s">
        <v>1997</v>
      </c>
      <c r="C60" s="894">
        <v>4000</v>
      </c>
      <c r="D60" s="856" t="s">
        <v>330</v>
      </c>
      <c r="F60" s="1939">
        <f>'Expenditures 15-22'!K160</f>
        <v>0</v>
      </c>
      <c r="G60" s="865"/>
    </row>
    <row r="61" spans="1:7" x14ac:dyDescent="0.2">
      <c r="A61" s="895" t="s">
        <v>520</v>
      </c>
      <c r="B61" s="895" t="s">
        <v>1998</v>
      </c>
      <c r="C61" s="896" t="str">
        <f>'Expenditures 15-22'!B170</f>
        <v>5300</v>
      </c>
      <c r="D61" s="897" t="s">
        <v>329</v>
      </c>
      <c r="E61" s="879"/>
      <c r="F61" s="1938">
        <f>'Expenditures 15-22'!K170</f>
        <v>390000</v>
      </c>
      <c r="G61" s="865"/>
    </row>
    <row r="62" spans="1:7" x14ac:dyDescent="0.2">
      <c r="A62" s="869" t="s">
        <v>481</v>
      </c>
      <c r="B62" s="869" t="s">
        <v>1999</v>
      </c>
      <c r="C62" s="886">
        <f>'Expenditures 15-22'!B185</f>
        <v>3000</v>
      </c>
      <c r="D62" s="876" t="s">
        <v>469</v>
      </c>
      <c r="E62" s="868"/>
      <c r="F62" s="1938">
        <f>'Expenditures 15-22'!K185-SUM('Expenditures 15-22'!G185,'Expenditures 15-22'!I185)</f>
        <v>0</v>
      </c>
      <c r="G62" s="865"/>
    </row>
    <row r="63" spans="1:7" x14ac:dyDescent="0.2">
      <c r="A63" s="869" t="s">
        <v>481</v>
      </c>
      <c r="B63" s="869" t="s">
        <v>2000</v>
      </c>
      <c r="C63" s="886" t="str">
        <f>'Expenditures 15-22'!B196</f>
        <v>4000</v>
      </c>
      <c r="D63" s="887" t="str">
        <f>'Expenditures 15-22'!A196</f>
        <v>Total Payments to Other Govt Units</v>
      </c>
      <c r="E63" s="868"/>
      <c r="F63" s="1938">
        <f>'Expenditures 15-22'!K196</f>
        <v>0</v>
      </c>
      <c r="G63" s="865"/>
    </row>
    <row r="64" spans="1:7" x14ac:dyDescent="0.2">
      <c r="A64" s="895" t="s">
        <v>481</v>
      </c>
      <c r="B64" s="895" t="s">
        <v>2001</v>
      </c>
      <c r="C64" s="896" t="str">
        <f>'Expenditures 15-22'!B206</f>
        <v>5300</v>
      </c>
      <c r="D64" s="892" t="s">
        <v>329</v>
      </c>
      <c r="E64" s="868"/>
      <c r="F64" s="1938">
        <f>'Expenditures 15-22'!K206</f>
        <v>0</v>
      </c>
      <c r="G64" s="865"/>
    </row>
    <row r="65" spans="1:8" x14ac:dyDescent="0.2">
      <c r="A65" s="869" t="s">
        <v>481</v>
      </c>
      <c r="B65" s="869" t="s">
        <v>2002</v>
      </c>
      <c r="C65" s="886" t="s">
        <v>1039</v>
      </c>
      <c r="D65" s="885" t="s">
        <v>1157</v>
      </c>
      <c r="E65" s="868"/>
      <c r="F65" s="1938">
        <f>'Expenditures 15-22'!G210</f>
        <v>0</v>
      </c>
      <c r="G65" s="865"/>
    </row>
    <row r="66" spans="1:8" x14ac:dyDescent="0.2">
      <c r="A66" s="869" t="s">
        <v>481</v>
      </c>
      <c r="B66" s="869" t="s">
        <v>2003</v>
      </c>
      <c r="C66" s="886" t="s">
        <v>1039</v>
      </c>
      <c r="D66" s="885" t="s">
        <v>309</v>
      </c>
      <c r="E66" s="868"/>
      <c r="F66" s="1938">
        <f>'Expenditures 15-22'!I210</f>
        <v>0</v>
      </c>
      <c r="G66" s="865"/>
    </row>
    <row r="67" spans="1:8" x14ac:dyDescent="0.2">
      <c r="A67" s="869" t="s">
        <v>482</v>
      </c>
      <c r="B67" s="869" t="s">
        <v>2004</v>
      </c>
      <c r="C67" s="886" t="str">
        <f>'Expenditures 15-22'!B216</f>
        <v>1125</v>
      </c>
      <c r="D67" s="892" t="str">
        <f>'Expenditures 15-22'!A216</f>
        <v>Pre-K Programs</v>
      </c>
      <c r="E67" s="868"/>
      <c r="F67" s="1938">
        <f>'Expenditures 15-22'!K216</f>
        <v>0</v>
      </c>
      <c r="G67" s="865"/>
    </row>
    <row r="68" spans="1:8" x14ac:dyDescent="0.2">
      <c r="A68" s="869" t="s">
        <v>482</v>
      </c>
      <c r="B68" s="869" t="s">
        <v>1555</v>
      </c>
      <c r="C68" s="886" t="str">
        <f>'Expenditures 15-22'!B218</f>
        <v>1225</v>
      </c>
      <c r="D68" s="892" t="str">
        <f>'Expenditures 15-22'!A218</f>
        <v>Special Education Programs - Pre-K</v>
      </c>
      <c r="E68" s="868"/>
      <c r="F68" s="1938">
        <f>'Expenditures 15-22'!K218</f>
        <v>0</v>
      </c>
      <c r="G68" s="865"/>
    </row>
    <row r="69" spans="1:8" x14ac:dyDescent="0.2">
      <c r="A69" s="869" t="s">
        <v>482</v>
      </c>
      <c r="B69" s="869" t="s">
        <v>2005</v>
      </c>
      <c r="C69" s="886" t="str">
        <f>'Expenditures 15-22'!B220</f>
        <v>1275</v>
      </c>
      <c r="D69" s="892" t="str">
        <f>'Expenditures 15-22'!A220</f>
        <v>Remedial and Supplemental Programs - Pre-K</v>
      </c>
      <c r="E69" s="868"/>
      <c r="F69" s="1938">
        <f>'Expenditures 15-22'!K220</f>
        <v>0</v>
      </c>
      <c r="G69" s="865"/>
    </row>
    <row r="70" spans="1:8" x14ac:dyDescent="0.2">
      <c r="A70" s="869" t="s">
        <v>482</v>
      </c>
      <c r="B70" s="869" t="s">
        <v>2006</v>
      </c>
      <c r="C70" s="886">
        <f>'Expenditures 15-22'!B221</f>
        <v>1300</v>
      </c>
      <c r="D70" s="887" t="str">
        <f>'Expenditures 15-22'!A221</f>
        <v>Adult/Continuing Education Programs</v>
      </c>
      <c r="E70" s="868"/>
      <c r="F70" s="1938">
        <f>'Expenditures 15-22'!K221</f>
        <v>0</v>
      </c>
      <c r="G70" s="865"/>
    </row>
    <row r="71" spans="1:8" x14ac:dyDescent="0.2">
      <c r="A71" s="869" t="s">
        <v>482</v>
      </c>
      <c r="B71" s="869" t="s">
        <v>2007</v>
      </c>
      <c r="C71" s="886">
        <f>'Expenditures 15-22'!B224</f>
        <v>1600</v>
      </c>
      <c r="D71" s="887" t="str">
        <f>'Expenditures 15-22'!A224</f>
        <v>Summer School Programs</v>
      </c>
      <c r="E71" s="868"/>
      <c r="F71" s="1938">
        <f>'Expenditures 15-22'!K224</f>
        <v>2980</v>
      </c>
      <c r="G71" s="865"/>
    </row>
    <row r="72" spans="1:8" x14ac:dyDescent="0.2">
      <c r="A72" s="869" t="s">
        <v>482</v>
      </c>
      <c r="B72" s="869" t="s">
        <v>2008</v>
      </c>
      <c r="C72" s="886">
        <f>'Expenditures 15-22'!B280</f>
        <v>3000</v>
      </c>
      <c r="D72" s="876" t="s">
        <v>469</v>
      </c>
      <c r="E72" s="868"/>
      <c r="F72" s="1938">
        <f>'Expenditures 15-22'!K280</f>
        <v>21240</v>
      </c>
      <c r="G72" s="865"/>
    </row>
    <row r="73" spans="1:8" x14ac:dyDescent="0.2">
      <c r="A73" s="869" t="s">
        <v>482</v>
      </c>
      <c r="B73" s="869" t="s">
        <v>2009</v>
      </c>
      <c r="C73" s="886" t="str">
        <f>'Expenditures 15-22'!B285</f>
        <v>4000</v>
      </c>
      <c r="D73" s="887" t="str">
        <f>'Expenditures 15-22'!A285</f>
        <v>Total Payments to Other Govt Units</v>
      </c>
      <c r="E73" s="868"/>
      <c r="F73" s="1938">
        <f>'Expenditures 15-22'!K285</f>
        <v>0</v>
      </c>
      <c r="G73" s="865"/>
    </row>
    <row r="74" spans="1:8" x14ac:dyDescent="0.2">
      <c r="A74" s="869" t="s">
        <v>456</v>
      </c>
      <c r="B74" s="869" t="s">
        <v>2010</v>
      </c>
      <c r="C74" s="886" t="s">
        <v>915</v>
      </c>
      <c r="D74" s="887" t="s">
        <v>1567</v>
      </c>
      <c r="E74" s="868"/>
      <c r="F74" s="1942">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2011</v>
      </c>
      <c r="E76" s="1795" t="s">
        <v>1015</v>
      </c>
      <c r="F76" s="1799">
        <f>SUM(F18:F74)</f>
        <v>2737878</v>
      </c>
      <c r="G76" s="865"/>
    </row>
    <row r="77" spans="1:8" s="893" customFormat="1" ht="12" customHeight="1" thickTop="1" thickBot="1" x14ac:dyDescent="0.25">
      <c r="A77" s="1800"/>
      <c r="B77" s="1797"/>
      <c r="C77" s="1793"/>
      <c r="D77" s="1798" t="s">
        <v>2012</v>
      </c>
      <c r="E77" s="1795"/>
      <c r="F77" s="1801">
        <f>(F14-F76)</f>
        <v>49136078</v>
      </c>
      <c r="G77" s="869"/>
    </row>
    <row r="78" spans="1:8" s="893" customFormat="1" ht="12" customHeight="1" thickTop="1" x14ac:dyDescent="0.2">
      <c r="A78" s="1802"/>
      <c r="B78" s="1797"/>
      <c r="C78" s="1793"/>
      <c r="D78" s="1798" t="s">
        <v>2059</v>
      </c>
      <c r="E78" s="1795"/>
      <c r="F78" s="898">
        <v>2783.84</v>
      </c>
      <c r="G78" s="899"/>
      <c r="H78" s="869"/>
    </row>
    <row r="79" spans="1:8" s="893" customFormat="1" ht="12" customHeight="1" thickBot="1" x14ac:dyDescent="0.25">
      <c r="A79" s="1803"/>
      <c r="B79" s="1797"/>
      <c r="C79" s="1793"/>
      <c r="D79" s="1798" t="s">
        <v>2013</v>
      </c>
      <c r="E79" s="1795" t="s">
        <v>1015</v>
      </c>
      <c r="F79" s="1804">
        <f>IF(F78&gt;0,F77/F78," Complete Line 78")</f>
        <v>17650.467699293062</v>
      </c>
      <c r="G79" s="869"/>
    </row>
    <row r="80" spans="1:8" s="893" customFormat="1" ht="8.25" customHeight="1" thickTop="1" x14ac:dyDescent="0.2">
      <c r="A80" s="900"/>
      <c r="B80" s="869"/>
      <c r="C80" s="871"/>
      <c r="D80" s="901"/>
      <c r="E80" s="868"/>
      <c r="F80" s="902"/>
      <c r="G80" s="869"/>
    </row>
    <row r="81" spans="1:7" s="893" customFormat="1" ht="12" thickBot="1" x14ac:dyDescent="0.25">
      <c r="A81" s="2276" t="s">
        <v>1167</v>
      </c>
      <c r="B81" s="2277"/>
      <c r="C81" s="2277"/>
      <c r="D81" s="2277"/>
      <c r="E81" s="2277"/>
      <c r="F81" s="2278"/>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32">
        <f>'Revenues 9-14'!F42</f>
        <v>84426</v>
      </c>
      <c r="G84" s="912"/>
    </row>
    <row r="85" spans="1:7" x14ac:dyDescent="0.2">
      <c r="A85" s="908" t="s">
        <v>481</v>
      </c>
      <c r="B85" s="908" t="s">
        <v>192</v>
      </c>
      <c r="C85" s="913">
        <f>'Revenues 9-14'!B44</f>
        <v>1413</v>
      </c>
      <c r="D85" s="911" t="str">
        <f>'Revenues 9-14'!A44</f>
        <v>Regular - Transp Fees from Other Sources (In State)</v>
      </c>
      <c r="E85" s="906"/>
      <c r="F85" s="1810">
        <f>'Revenues 9-14'!F44</f>
        <v>0</v>
      </c>
      <c r="G85" s="914"/>
    </row>
    <row r="86" spans="1:7" x14ac:dyDescent="0.2">
      <c r="A86" s="908" t="s">
        <v>481</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481</v>
      </c>
      <c r="B87" s="908" t="s">
        <v>169</v>
      </c>
      <c r="C87" s="910">
        <v>1416</v>
      </c>
      <c r="D87" s="911" t="str">
        <f>'Revenues 9-14'!A46</f>
        <v>Regular Transp Fees from Other Sources (Out of State)</v>
      </c>
      <c r="E87" s="906"/>
      <c r="F87" s="1810">
        <f>'Revenues 9-14'!F46</f>
        <v>0</v>
      </c>
      <c r="G87" s="914"/>
    </row>
    <row r="88" spans="1:7" x14ac:dyDescent="0.2">
      <c r="A88" s="908" t="s">
        <v>481</v>
      </c>
      <c r="B88" s="908" t="s">
        <v>170</v>
      </c>
      <c r="C88" s="910">
        <f>'Revenues 9-14'!B51</f>
        <v>1431</v>
      </c>
      <c r="D88" s="911" t="str">
        <f>'Revenues 9-14'!A51</f>
        <v>CTE - Transp Fees from Pupils or Parents (In State)</v>
      </c>
      <c r="E88" s="906"/>
      <c r="F88" s="1810">
        <f>'Revenues 9-14'!F51</f>
        <v>0</v>
      </c>
      <c r="G88" s="914"/>
    </row>
    <row r="89" spans="1:7" x14ac:dyDescent="0.2">
      <c r="A89" s="908" t="s">
        <v>481</v>
      </c>
      <c r="B89" s="908" t="s">
        <v>171</v>
      </c>
      <c r="C89" s="910">
        <f>'Revenues 9-14'!B53</f>
        <v>1433</v>
      </c>
      <c r="D89" s="911" t="str">
        <f>'Revenues 9-14'!A53</f>
        <v>CTE - Transp Fees from Other Sources (In State)</v>
      </c>
      <c r="E89" s="906"/>
      <c r="F89" s="1810">
        <f>'Revenues 9-14'!F53</f>
        <v>0</v>
      </c>
      <c r="G89" s="914"/>
    </row>
    <row r="90" spans="1:7" x14ac:dyDescent="0.2">
      <c r="A90" s="908" t="s">
        <v>481</v>
      </c>
      <c r="B90" s="908" t="s">
        <v>172</v>
      </c>
      <c r="C90" s="910">
        <f>'Revenues 9-14'!B54</f>
        <v>1434</v>
      </c>
      <c r="D90" s="911" t="str">
        <f>'Revenues 9-14'!A54</f>
        <v>CTE - Transp Fees from Other Sources (Out of State)</v>
      </c>
      <c r="E90" s="906"/>
      <c r="F90" s="1810">
        <f>'Revenues 9-14'!F54</f>
        <v>0</v>
      </c>
      <c r="G90" s="914"/>
    </row>
    <row r="91" spans="1:7" x14ac:dyDescent="0.2">
      <c r="A91" s="908" t="s">
        <v>481</v>
      </c>
      <c r="B91" s="908" t="s">
        <v>173</v>
      </c>
      <c r="C91" s="915">
        <f>'Revenues 9-14'!B55</f>
        <v>1441</v>
      </c>
      <c r="D91" s="911" t="str">
        <f>'Revenues 9-14'!A55</f>
        <v>Special Ed - Transp Fees from Pupils or Parents (In State)</v>
      </c>
      <c r="E91" s="906"/>
      <c r="F91" s="1810">
        <f>'Revenues 9-14'!F55</f>
        <v>0</v>
      </c>
      <c r="G91" s="914"/>
    </row>
    <row r="92" spans="1:7" x14ac:dyDescent="0.2">
      <c r="A92" s="908" t="s">
        <v>481</v>
      </c>
      <c r="B92" s="908" t="s">
        <v>174</v>
      </c>
      <c r="C92" s="910">
        <f>'Revenues 9-14'!B57</f>
        <v>1443</v>
      </c>
      <c r="D92" s="911" t="str">
        <f>'Revenues 9-14'!A57</f>
        <v>Special Ed - Transp Fees from Other Sources (In State)</v>
      </c>
      <c r="E92" s="906"/>
      <c r="F92" s="1810">
        <f>'Revenues 9-14'!F57</f>
        <v>0</v>
      </c>
      <c r="G92" s="916"/>
    </row>
    <row r="93" spans="1:7" x14ac:dyDescent="0.2">
      <c r="A93" s="908" t="s">
        <v>481</v>
      </c>
      <c r="B93" s="908" t="s">
        <v>175</v>
      </c>
      <c r="C93" s="910">
        <f>'Revenues 9-14'!B58</f>
        <v>1444</v>
      </c>
      <c r="D93" s="911" t="str">
        <f>'Revenues 9-14'!A58</f>
        <v>Special Ed - Transp Fees from Other Sources (Out of State)</v>
      </c>
      <c r="E93" s="906"/>
      <c r="F93" s="1810">
        <f>'Revenues 9-14'!F58</f>
        <v>0</v>
      </c>
      <c r="G93" s="916"/>
    </row>
    <row r="94" spans="1:7" x14ac:dyDescent="0.2">
      <c r="A94" s="908" t="s">
        <v>479</v>
      </c>
      <c r="B94" s="908" t="s">
        <v>176</v>
      </c>
      <c r="C94" s="910">
        <v>1600</v>
      </c>
      <c r="D94" s="917" t="str">
        <f>'Revenues 9-14'!A75</f>
        <v>Total Food Service</v>
      </c>
      <c r="E94" s="906"/>
      <c r="F94" s="1810">
        <f>'Revenues 9-14'!C75</f>
        <v>29894</v>
      </c>
      <c r="G94" s="912"/>
    </row>
    <row r="95" spans="1:7" x14ac:dyDescent="0.2">
      <c r="A95" s="908" t="s">
        <v>142</v>
      </c>
      <c r="B95" s="908" t="s">
        <v>177</v>
      </c>
      <c r="C95" s="910">
        <v>1700</v>
      </c>
      <c r="D95" s="918" t="str">
        <f>'Revenues 9-14'!A82</f>
        <v>Total District/School Activity Income</v>
      </c>
      <c r="E95" s="906"/>
      <c r="F95" s="1810">
        <f>SUM('Revenues 9-14'!C82,'Revenues 9-14'!D82)</f>
        <v>123710</v>
      </c>
      <c r="G95" s="912"/>
    </row>
    <row r="96" spans="1:7" x14ac:dyDescent="0.2">
      <c r="A96" s="908" t="s">
        <v>479</v>
      </c>
      <c r="B96" s="908" t="s">
        <v>178</v>
      </c>
      <c r="C96" s="910">
        <f>'Revenues 9-14'!B84</f>
        <v>1811</v>
      </c>
      <c r="D96" s="911" t="str">
        <f>'Revenues 9-14'!A84</f>
        <v>Rentals - Regular Textbooks</v>
      </c>
      <c r="E96" s="906"/>
      <c r="F96" s="1810">
        <f>'Revenues 9-14'!C84</f>
        <v>327652</v>
      </c>
      <c r="G96" s="912"/>
    </row>
    <row r="97" spans="1:7" x14ac:dyDescent="0.2">
      <c r="A97" s="908" t="s">
        <v>479</v>
      </c>
      <c r="B97" s="908" t="s">
        <v>179</v>
      </c>
      <c r="C97" s="910">
        <f>'Revenues 9-14'!B87</f>
        <v>1819</v>
      </c>
      <c r="D97" s="911" t="str">
        <f>'Revenues 9-14'!A87</f>
        <v>Rentals - Other (Describe &amp; Itemize)</v>
      </c>
      <c r="E97" s="906"/>
      <c r="F97" s="1810">
        <f>'Revenues 9-14'!C87</f>
        <v>0</v>
      </c>
      <c r="G97" s="912"/>
    </row>
    <row r="98" spans="1:7" x14ac:dyDescent="0.2">
      <c r="A98" s="908" t="s">
        <v>479</v>
      </c>
      <c r="B98" s="908" t="s">
        <v>180</v>
      </c>
      <c r="C98" s="910">
        <f>'Revenues 9-14'!B88</f>
        <v>1821</v>
      </c>
      <c r="D98" s="911" t="str">
        <f>'Revenues 9-14'!A88</f>
        <v>Sales - Regular Textbooks</v>
      </c>
      <c r="E98" s="906"/>
      <c r="F98" s="1810">
        <f>'Revenues 9-14'!C88</f>
        <v>0</v>
      </c>
      <c r="G98" s="912"/>
    </row>
    <row r="99" spans="1:7" x14ac:dyDescent="0.2">
      <c r="A99" s="908" t="s">
        <v>479</v>
      </c>
      <c r="B99" s="908" t="s">
        <v>181</v>
      </c>
      <c r="C99" s="910">
        <f>'Revenues 9-14'!B91</f>
        <v>1829</v>
      </c>
      <c r="D99" s="911" t="str">
        <f>'Revenues 9-14'!A91</f>
        <v>Sales - Other (Describe &amp; Itemize)</v>
      </c>
      <c r="E99" s="906"/>
      <c r="F99" s="1810">
        <f>'Revenues 9-14'!C91</f>
        <v>0</v>
      </c>
      <c r="G99" s="912"/>
    </row>
    <row r="100" spans="1:7" x14ac:dyDescent="0.2">
      <c r="A100" s="908" t="s">
        <v>479</v>
      </c>
      <c r="B100" s="908" t="s">
        <v>182</v>
      </c>
      <c r="C100" s="910">
        <f>'Revenues 9-14'!B92</f>
        <v>1890</v>
      </c>
      <c r="D100" s="911" t="str">
        <f>'Revenues 9-14'!A92</f>
        <v>Other (Describe &amp; Itemize)</v>
      </c>
      <c r="E100" s="906"/>
      <c r="F100" s="1810">
        <f>'Revenues 9-14'!C92</f>
        <v>0</v>
      </c>
      <c r="G100" s="912"/>
    </row>
    <row r="101" spans="1:7" x14ac:dyDescent="0.2">
      <c r="A101" s="908" t="s">
        <v>142</v>
      </c>
      <c r="B101" s="908" t="s">
        <v>183</v>
      </c>
      <c r="C101" s="910">
        <f>'Revenues 9-14'!B95</f>
        <v>1910</v>
      </c>
      <c r="D101" s="911" t="str">
        <f>'Revenues 9-14'!A95</f>
        <v>Rentals</v>
      </c>
      <c r="E101" s="906"/>
      <c r="F101" s="1810">
        <f>SUM('Revenues 9-14'!C95:D95)</f>
        <v>32174</v>
      </c>
      <c r="G101" s="912"/>
    </row>
    <row r="102" spans="1:7" x14ac:dyDescent="0.2">
      <c r="A102" s="908" t="s">
        <v>524</v>
      </c>
      <c r="B102" s="908" t="s">
        <v>184</v>
      </c>
      <c r="C102" s="910">
        <f>'Revenues 9-14'!B98</f>
        <v>1940</v>
      </c>
      <c r="D102" s="911" t="str">
        <f>'Revenues 9-14'!A98</f>
        <v>Services Provided Other Districts</v>
      </c>
      <c r="E102" s="906"/>
      <c r="F102" s="1810">
        <f>SUM('Revenues 9-14'!C98,'Revenues 9-14'!D98,'Revenues 9-14'!F98)</f>
        <v>3381</v>
      </c>
      <c r="G102" s="912"/>
    </row>
    <row r="103" spans="1:7" x14ac:dyDescent="0.2">
      <c r="A103" s="908" t="s">
        <v>1066</v>
      </c>
      <c r="B103" s="908" t="s">
        <v>834</v>
      </c>
      <c r="C103" s="910">
        <f>'Revenues 9-14'!B104</f>
        <v>1991</v>
      </c>
      <c r="D103" s="919" t="str">
        <f>'Revenues 9-14'!A104</f>
        <v>Payment from Other Districts</v>
      </c>
      <c r="E103" s="906"/>
      <c r="F103" s="1810">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10">
        <f>('Revenues 9-14'!C106)</f>
        <v>2378</v>
      </c>
      <c r="G104" s="912"/>
    </row>
    <row r="105" spans="1:7" x14ac:dyDescent="0.2">
      <c r="A105" s="908" t="s">
        <v>524</v>
      </c>
      <c r="B105" s="908" t="s">
        <v>842</v>
      </c>
      <c r="C105" s="913">
        <v>3100</v>
      </c>
      <c r="D105" s="919" t="str">
        <f>'Revenues 9-14'!A131</f>
        <v>Total Special Education</v>
      </c>
      <c r="E105" s="906"/>
      <c r="F105" s="1810">
        <f>SUM('Revenues 9-14'!C131:D131,'Revenues 9-14'!F131)</f>
        <v>425526</v>
      </c>
      <c r="G105" s="912"/>
    </row>
    <row r="106" spans="1:7" x14ac:dyDescent="0.2">
      <c r="A106" s="908" t="s">
        <v>694</v>
      </c>
      <c r="B106" s="908" t="s">
        <v>1483</v>
      </c>
      <c r="C106" s="920">
        <v>3200</v>
      </c>
      <c r="D106" s="911" t="str">
        <f>'Revenues 9-14'!A140</f>
        <v>Total Career and Technical Education</v>
      </c>
      <c r="E106" s="906"/>
      <c r="F106" s="1810">
        <f>SUM('Revenues 9-14'!C140,'Revenues 9-14'!D140,'Revenues 9-14'!G140)</f>
        <v>0</v>
      </c>
      <c r="G106" s="912"/>
    </row>
    <row r="107" spans="1:7" x14ac:dyDescent="0.2">
      <c r="A107" s="921" t="s">
        <v>685</v>
      </c>
      <c r="B107" s="908" t="s">
        <v>843</v>
      </c>
      <c r="C107" s="920">
        <v>3300</v>
      </c>
      <c r="D107" s="911" t="str">
        <f>'Revenues 9-14'!A144</f>
        <v>Total Bilingual Ed</v>
      </c>
      <c r="E107" s="906"/>
      <c r="F107" s="1810">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10">
        <f>'Revenues 9-14'!C145</f>
        <v>0</v>
      </c>
      <c r="G108" s="912"/>
    </row>
    <row r="109" spans="1:7" x14ac:dyDescent="0.2">
      <c r="A109" s="908" t="s">
        <v>694</v>
      </c>
      <c r="B109" s="908" t="s">
        <v>845</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10">
        <f>SUM('Revenues 9-14'!C147,'Revenues 9-14'!D147)</f>
        <v>0</v>
      </c>
      <c r="G110" s="912"/>
    </row>
    <row r="111" spans="1:7" x14ac:dyDescent="0.2">
      <c r="A111" s="908" t="s">
        <v>689</v>
      </c>
      <c r="B111" s="908" t="s">
        <v>802</v>
      </c>
      <c r="C111" s="922">
        <v>3500</v>
      </c>
      <c r="D111" s="911" t="str">
        <f>'Revenues 9-14'!A154</f>
        <v>Total Transportation</v>
      </c>
      <c r="E111" s="906"/>
      <c r="F111" s="1810">
        <f>SUM('Revenues 9-14'!C154,'Revenues 9-14'!D154,'Revenues 9-14'!F154,'Revenues 9-14'!G154)</f>
        <v>280838</v>
      </c>
      <c r="G111" s="912"/>
    </row>
    <row r="112" spans="1:7" x14ac:dyDescent="0.2">
      <c r="A112" s="908" t="s">
        <v>479</v>
      </c>
      <c r="B112" s="908" t="s">
        <v>847</v>
      </c>
      <c r="C112" s="920">
        <f>'Revenues 9-14'!B155</f>
        <v>3610</v>
      </c>
      <c r="D112" s="911" t="str">
        <f>'Revenues 9-14'!A155</f>
        <v>Learning Improvement - Change Grants</v>
      </c>
      <c r="E112" s="906"/>
      <c r="F112" s="1810">
        <f>'Revenues 9-14'!C155</f>
        <v>0</v>
      </c>
      <c r="G112" s="912"/>
    </row>
    <row r="113" spans="1:7" x14ac:dyDescent="0.2">
      <c r="A113" s="908" t="s">
        <v>689</v>
      </c>
      <c r="B113" s="908" t="s">
        <v>848</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31">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32">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32">
        <f>SUM('Revenues 9-14'!C166:G166)</f>
        <v>0</v>
      </c>
      <c r="G122" s="912"/>
    </row>
    <row r="123" spans="1:7" x14ac:dyDescent="0.2">
      <c r="A123" s="923" t="s">
        <v>525</v>
      </c>
      <c r="B123" s="923" t="s">
        <v>853</v>
      </c>
      <c r="C123" s="924">
        <f>'Revenues 9-14'!B167</f>
        <v>3815</v>
      </c>
      <c r="D123" s="925" t="str">
        <f>'Revenues 9-14'!A167</f>
        <v>State Charter Schools</v>
      </c>
      <c r="E123" s="906"/>
      <c r="F123" s="1932">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10">
        <f>'Revenues 9-14'!D170</f>
        <v>0</v>
      </c>
      <c r="G124" s="930"/>
    </row>
    <row r="125" spans="1:7" x14ac:dyDescent="0.2">
      <c r="A125" s="927" t="s">
        <v>521</v>
      </c>
      <c r="B125" s="927" t="s">
        <v>855</v>
      </c>
      <c r="C125" s="928">
        <f>'Revenues 9-14'!B171</f>
        <v>3999</v>
      </c>
      <c r="D125" s="929" t="s">
        <v>564</v>
      </c>
      <c r="E125" s="931"/>
      <c r="F125" s="1810">
        <f>SUM('Revenues 9-14'!C171:G171,'Revenues 9-14'!J171)</f>
        <v>4062</v>
      </c>
      <c r="G125" s="930"/>
    </row>
    <row r="126" spans="1:7" x14ac:dyDescent="0.2">
      <c r="A126" s="927" t="s">
        <v>479</v>
      </c>
      <c r="B126" s="927" t="s">
        <v>856</v>
      </c>
      <c r="C126" s="932">
        <f>'Revenues 9-14'!B180</f>
        <v>4045</v>
      </c>
      <c r="D126" s="929" t="str">
        <f>'Revenues 9-14'!A180 &amp; " (Subtract)"</f>
        <v>Head Start (Subtract)</v>
      </c>
      <c r="E126" s="906"/>
      <c r="F126" s="1810">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689</v>
      </c>
      <c r="B128" s="927" t="s">
        <v>858</v>
      </c>
      <c r="C128" s="932">
        <v>4100</v>
      </c>
      <c r="D128" s="933" t="str">
        <f>'Revenues 9-14'!A191</f>
        <v>Total Title V</v>
      </c>
      <c r="E128" s="906"/>
      <c r="F128" s="1810">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10">
        <f>SUM('Revenues 9-14'!C201,'Revenues 9-14'!G201)</f>
        <v>19676</v>
      </c>
      <c r="G129" s="930"/>
    </row>
    <row r="130" spans="1:7" x14ac:dyDescent="0.2">
      <c r="A130" s="927" t="s">
        <v>689</v>
      </c>
      <c r="B130" s="927" t="s">
        <v>804</v>
      </c>
      <c r="C130" s="932">
        <v>4300</v>
      </c>
      <c r="D130" s="933" t="str">
        <f>'Revenues 9-14'!A211</f>
        <v>Total Title I</v>
      </c>
      <c r="E130" s="906"/>
      <c r="F130" s="1810">
        <f>SUM('Revenues 9-14'!C211,'Revenues 9-14'!D211,'Revenues 9-14'!F211,'Revenues 9-14'!G211)</f>
        <v>106585</v>
      </c>
      <c r="G130" s="930"/>
    </row>
    <row r="131" spans="1:7" x14ac:dyDescent="0.2">
      <c r="A131" s="927" t="s">
        <v>689</v>
      </c>
      <c r="B131" s="927" t="s">
        <v>805</v>
      </c>
      <c r="C131" s="932">
        <v>4400</v>
      </c>
      <c r="D131" s="933" t="str">
        <f>'Revenues 9-14'!A216</f>
        <v>Total Title IV</v>
      </c>
      <c r="E131" s="906"/>
      <c r="F131" s="1810">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10">
        <f>SUM('Revenues 9-14'!C220:D220,'Revenues 9-14'!F220:G220)</f>
        <v>524116</v>
      </c>
      <c r="G132" s="930"/>
    </row>
    <row r="133" spans="1:7" x14ac:dyDescent="0.2">
      <c r="A133" s="927" t="s">
        <v>689</v>
      </c>
      <c r="B133" s="927" t="s">
        <v>191</v>
      </c>
      <c r="C133" s="932">
        <f>'Revenues 9-14'!B221</f>
        <v>4625</v>
      </c>
      <c r="D133" s="933" t="str">
        <f>'Revenues 9-14'!A221</f>
        <v>Fed - Spec Education - IDEA - Room &amp; Board</v>
      </c>
      <c r="E133" s="906"/>
      <c r="F133" s="1810">
        <f>SUM('Revenues 9-14'!C221,'Revenues 9-14'!D221,'Revenues 9-14'!F221,'Revenues 9-14'!G221)</f>
        <v>10356</v>
      </c>
      <c r="G133" s="930"/>
    </row>
    <row r="134" spans="1:7" x14ac:dyDescent="0.2">
      <c r="A134" s="927" t="s">
        <v>689</v>
      </c>
      <c r="B134" s="927" t="s">
        <v>859</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694</v>
      </c>
      <c r="B136" s="927" t="s">
        <v>807</v>
      </c>
      <c r="C136" s="932">
        <v>4700</v>
      </c>
      <c r="D136" s="929" t="str">
        <f>'Revenues 9-14'!A228</f>
        <v>Total CTE - Perkins</v>
      </c>
      <c r="E136" s="906"/>
      <c r="F136" s="1810">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32">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10">
        <f>SUM('Revenues 9-14'!C258:G258,'Revenues 9-14'!J258)</f>
        <v>0</v>
      </c>
      <c r="G160" s="905"/>
    </row>
    <row r="161" spans="1:7" s="867" customFormat="1" x14ac:dyDescent="0.2">
      <c r="A161" s="938" t="s">
        <v>521</v>
      </c>
      <c r="B161" s="939" t="s">
        <v>1564</v>
      </c>
      <c r="C161" s="940" t="s">
        <v>896</v>
      </c>
      <c r="D161" s="941" t="s">
        <v>808</v>
      </c>
      <c r="E161" s="942"/>
      <c r="F161" s="1810">
        <f>SUM(F137:F160)</f>
        <v>0</v>
      </c>
      <c r="G161" s="905"/>
    </row>
    <row r="162" spans="1:7" s="867" customFormat="1" x14ac:dyDescent="0.2">
      <c r="A162" s="938" t="s">
        <v>479</v>
      </c>
      <c r="B162" s="939" t="s">
        <v>1501</v>
      </c>
      <c r="C162" s="940" t="s">
        <v>1499</v>
      </c>
      <c r="D162" s="941" t="s">
        <v>1500</v>
      </c>
      <c r="E162" s="942"/>
      <c r="F162" s="1810">
        <f>SUM('Revenues 9-14'!C260)</f>
        <v>0</v>
      </c>
      <c r="G162" s="905"/>
    </row>
    <row r="163" spans="1:7" s="867" customFormat="1" x14ac:dyDescent="0.2">
      <c r="A163" s="938" t="s">
        <v>521</v>
      </c>
      <c r="B163" s="939" t="s">
        <v>1541</v>
      </c>
      <c r="C163" s="940" t="s">
        <v>1542</v>
      </c>
      <c r="D163" s="941" t="s">
        <v>1543</v>
      </c>
      <c r="E163" s="942"/>
      <c r="F163" s="1810">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10">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10">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10">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32">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32">
        <f>SUM('Revenues 9-14'!C268,'Revenues 9-14'!D268,'Revenues 9-14'!F268,'Revenues 9-14'!G268)</f>
        <v>46624</v>
      </c>
      <c r="G170" s="930"/>
    </row>
    <row r="171" spans="1:7" x14ac:dyDescent="0.2">
      <c r="A171" s="927" t="s">
        <v>689</v>
      </c>
      <c r="B171" s="927" t="s">
        <v>864</v>
      </c>
      <c r="C171" s="932">
        <f>'Revenues 9-14'!B269</f>
        <v>4960</v>
      </c>
      <c r="D171" s="929" t="str">
        <f>'Revenues 9-14'!A269</f>
        <v>Federal Charter Schools</v>
      </c>
      <c r="E171" s="906"/>
      <c r="F171" s="1810">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10">
        <f>SUM('Revenues 9-14'!C270:D270,'Revenues 9-14'!F270:G270)</f>
        <v>0</v>
      </c>
      <c r="G172" s="947">
        <v>6320</v>
      </c>
    </row>
    <row r="173" spans="1:7" x14ac:dyDescent="0.2">
      <c r="A173" s="927" t="s">
        <v>689</v>
      </c>
      <c r="B173" s="927" t="s">
        <v>1503</v>
      </c>
      <c r="C173" s="932">
        <f>'Revenues 9-14'!B271</f>
        <v>4992</v>
      </c>
      <c r="D173" s="933" t="str">
        <f>'Revenues 9-14'!A271</f>
        <v>Medicaid Matching Funds - Fee-for-Service Program</v>
      </c>
      <c r="E173" s="906"/>
      <c r="F173" s="1810">
        <f>SUM('Revenues 9-14'!C271:D271,'Revenues 9-14'!F271:G271)</f>
        <v>0</v>
      </c>
      <c r="G173" s="947"/>
    </row>
    <row r="174" spans="1:7" x14ac:dyDescent="0.2">
      <c r="A174" s="948" t="s">
        <v>689</v>
      </c>
      <c r="B174" s="944" t="s">
        <v>1558</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3" t="s">
        <v>5</v>
      </c>
      <c r="B175" s="1944" t="s">
        <v>2058</v>
      </c>
      <c r="C175" s="1945">
        <v>3100</v>
      </c>
      <c r="D175" s="1946" t="s">
        <v>2061</v>
      </c>
      <c r="E175" s="906"/>
      <c r="F175" s="1930">
        <v>1141365</v>
      </c>
      <c r="G175" s="927"/>
    </row>
    <row r="176" spans="1:7" x14ac:dyDescent="0.2">
      <c r="A176" s="1943" t="s">
        <v>685</v>
      </c>
      <c r="B176" s="1944" t="s">
        <v>2058</v>
      </c>
      <c r="C176" s="1945">
        <v>3300</v>
      </c>
      <c r="D176" s="1946" t="s">
        <v>2062</v>
      </c>
      <c r="E176" s="906"/>
      <c r="F176" s="1930">
        <v>25</v>
      </c>
      <c r="G176" s="927"/>
    </row>
    <row r="177" spans="1:7" ht="6" customHeight="1" x14ac:dyDescent="0.2">
      <c r="A177" s="927"/>
      <c r="B177" s="927"/>
      <c r="C177" s="949"/>
      <c r="D177" s="927"/>
      <c r="E177" s="906"/>
      <c r="F177" s="950"/>
      <c r="G177" s="947"/>
    </row>
    <row r="178" spans="1:7" x14ac:dyDescent="0.2">
      <c r="A178" s="1791"/>
      <c r="B178" s="1805"/>
      <c r="C178" s="1806"/>
      <c r="D178" s="1807" t="s">
        <v>2014</v>
      </c>
      <c r="E178" s="1808" t="s">
        <v>1015</v>
      </c>
      <c r="F178" s="1809">
        <f>SUM(F84:F136,F161:F176)</f>
        <v>3162788</v>
      </c>
    </row>
    <row r="179" spans="1:7" ht="12" customHeight="1" x14ac:dyDescent="0.2">
      <c r="A179" s="1791"/>
      <c r="B179" s="1805"/>
      <c r="C179" s="1806"/>
      <c r="D179" s="1807" t="s">
        <v>2015</v>
      </c>
      <c r="E179" s="1808"/>
      <c r="F179" s="1810">
        <f>'PCTC-OEPP 27-28'!F77-F178</f>
        <v>45973290</v>
      </c>
    </row>
    <row r="180" spans="1:7" ht="12" customHeight="1" x14ac:dyDescent="0.2">
      <c r="A180" s="1791"/>
      <c r="B180" s="1805"/>
      <c r="C180" s="1806"/>
      <c r="D180" s="1807" t="s">
        <v>1924</v>
      </c>
      <c r="E180" s="1808"/>
      <c r="F180" s="1810">
        <f>'Cap Outlay Deprec 26'!I18</f>
        <v>3717895</v>
      </c>
    </row>
    <row r="181" spans="1:7" ht="12" customHeight="1" x14ac:dyDescent="0.2">
      <c r="A181" s="1791"/>
      <c r="B181" s="1805"/>
      <c r="C181" s="1806"/>
      <c r="D181" s="1807" t="s">
        <v>2016</v>
      </c>
      <c r="E181" s="1808"/>
      <c r="F181" s="1810">
        <f>F179+F180</f>
        <v>49691185</v>
      </c>
    </row>
    <row r="182" spans="1:7" ht="12" customHeight="1" x14ac:dyDescent="0.2">
      <c r="A182" s="1791"/>
      <c r="B182" s="1811"/>
      <c r="C182" s="1806"/>
      <c r="D182" s="1807" t="str">
        <f>D78</f>
        <v>9 Month ADA from District Average Daily Attendance/Prior General State Aid Inquiry 2017-2018</v>
      </c>
      <c r="E182" s="1808"/>
      <c r="F182" s="1812">
        <f>'PCTC-OEPP 27-28'!F78</f>
        <v>2783.84</v>
      </c>
      <c r="G182" s="930"/>
    </row>
    <row r="183" spans="1:7" ht="12" customHeight="1" thickBot="1" x14ac:dyDescent="0.25">
      <c r="A183" s="1791"/>
      <c r="B183" s="1811"/>
      <c r="C183" s="1806"/>
      <c r="D183" s="1807" t="s">
        <v>2017</v>
      </c>
      <c r="E183" s="1808" t="s">
        <v>1626</v>
      </c>
      <c r="F183" s="1813">
        <f>F181/F182</f>
        <v>17849.871041439161</v>
      </c>
      <c r="G183" s="856">
        <v>6323</v>
      </c>
    </row>
    <row r="184" spans="1:7" ht="12" thickTop="1" x14ac:dyDescent="0.2">
      <c r="B184" s="930"/>
      <c r="C184" s="949"/>
      <c r="D184" s="930"/>
      <c r="E184" s="949"/>
      <c r="F184" s="930"/>
      <c r="G184" s="951">
        <v>6326</v>
      </c>
    </row>
    <row r="185" spans="1:7" ht="12.2" customHeight="1" x14ac:dyDescent="0.2">
      <c r="A185" s="930" t="s">
        <v>2060</v>
      </c>
      <c r="B185" s="930"/>
      <c r="C185" s="949"/>
      <c r="D185" s="930"/>
      <c r="E185" s="949"/>
      <c r="F185" s="930"/>
      <c r="G185" s="930"/>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49"/>
      <c r="D188" s="930"/>
      <c r="E188" s="949"/>
      <c r="F188" s="930"/>
      <c r="G188" s="930"/>
    </row>
    <row r="189" spans="1:7" x14ac:dyDescent="0.2">
      <c r="A189" s="1951" t="s">
        <v>2064</v>
      </c>
      <c r="B189" s="1952" t="s">
        <v>2063</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3" sqref="D23"/>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5" t="s">
        <v>1926</v>
      </c>
      <c r="B6" s="1556"/>
      <c r="C6" s="1556"/>
      <c r="D6" s="1556"/>
      <c r="E6" s="1556"/>
      <c r="F6" s="1556"/>
      <c r="G6" s="1557"/>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8" t="s">
        <v>1927</v>
      </c>
      <c r="B10" s="1559"/>
      <c r="C10" s="1559"/>
      <c r="D10" s="1559"/>
      <c r="E10" s="1559"/>
      <c r="F10" s="1559"/>
      <c r="G10" s="1560"/>
    </row>
    <row r="11" spans="1:7" ht="17.25" customHeight="1" x14ac:dyDescent="0.25">
      <c r="A11" s="2296" t="s">
        <v>1941</v>
      </c>
      <c r="B11" s="2297"/>
      <c r="C11" s="2297"/>
      <c r="D11" s="2297"/>
      <c r="E11" s="2297"/>
      <c r="F11" s="2297"/>
      <c r="G11" s="2298"/>
    </row>
    <row r="12" spans="1:7" ht="15" customHeight="1" x14ac:dyDescent="0.25">
      <c r="A12" s="1558" t="s">
        <v>1932</v>
      </c>
      <c r="B12" s="1559"/>
      <c r="C12" s="1559"/>
      <c r="D12" s="1559"/>
      <c r="E12" s="1559"/>
      <c r="F12" s="1559"/>
      <c r="G12" s="1560"/>
    </row>
    <row r="13" spans="1:7" ht="32.25" customHeight="1" x14ac:dyDescent="0.25">
      <c r="A13" s="2287" t="s">
        <v>1933</v>
      </c>
      <c r="B13" s="2288"/>
      <c r="C13" s="2288"/>
      <c r="D13" s="2288"/>
      <c r="E13" s="2288"/>
      <c r="F13" s="2288"/>
      <c r="G13" s="2289"/>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8" t="s">
        <v>2116</v>
      </c>
      <c r="B17" s="1959" t="s">
        <v>2117</v>
      </c>
      <c r="C17" s="1960" t="s">
        <v>2118</v>
      </c>
      <c r="D17" s="1866">
        <v>684790</v>
      </c>
      <c r="E17" s="1561">
        <f t="shared" ref="E17:E141" si="1">IF(D17&lt;=25000,D17,IF(D17&gt;25000,25000,0))</f>
        <v>25000</v>
      </c>
      <c r="F17" s="1814">
        <f t="shared" si="0"/>
        <v>25000</v>
      </c>
      <c r="G17" s="1815">
        <f>IF(F17=0,0,D17-F17)</f>
        <v>659790</v>
      </c>
      <c r="H17" s="1668"/>
    </row>
    <row r="18" spans="1:8" x14ac:dyDescent="0.25">
      <c r="A18" s="1958" t="s">
        <v>2119</v>
      </c>
      <c r="B18" s="1959" t="s">
        <v>2120</v>
      </c>
      <c r="C18" s="1960" t="s">
        <v>2121</v>
      </c>
      <c r="D18" s="1866">
        <v>496791</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471791</v>
      </c>
    </row>
    <row r="19" spans="1:8" x14ac:dyDescent="0.25">
      <c r="A19" s="1958" t="s">
        <v>2122</v>
      </c>
      <c r="B19" s="1959" t="s">
        <v>2124</v>
      </c>
      <c r="C19" s="1960" t="s">
        <v>2123</v>
      </c>
      <c r="D19" s="1866">
        <v>100000</v>
      </c>
      <c r="E19" s="1561">
        <f t="shared" si="2"/>
        <v>25000</v>
      </c>
      <c r="F19" s="1814">
        <f t="shared" si="3"/>
        <v>25000</v>
      </c>
      <c r="G19" s="1815">
        <f t="shared" si="4"/>
        <v>75000</v>
      </c>
    </row>
    <row r="20" spans="1:8" x14ac:dyDescent="0.25">
      <c r="A20" s="1958" t="s">
        <v>2125</v>
      </c>
      <c r="B20" s="1959" t="s">
        <v>2126</v>
      </c>
      <c r="C20" s="1960" t="s">
        <v>2127</v>
      </c>
      <c r="D20" s="1866">
        <v>1414165</v>
      </c>
      <c r="E20" s="1561">
        <f t="shared" si="2"/>
        <v>25000</v>
      </c>
      <c r="F20" s="1814">
        <f t="shared" si="3"/>
        <v>25000</v>
      </c>
      <c r="G20" s="1815">
        <f t="shared" si="4"/>
        <v>1389165</v>
      </c>
    </row>
    <row r="21" spans="1:8" x14ac:dyDescent="0.25">
      <c r="A21" s="1958" t="s">
        <v>2128</v>
      </c>
      <c r="B21" s="1959" t="s">
        <v>2129</v>
      </c>
      <c r="C21" s="1960" t="s">
        <v>2130</v>
      </c>
      <c r="D21" s="1866">
        <v>113918</v>
      </c>
      <c r="E21" s="1561">
        <f t="shared" si="2"/>
        <v>25000</v>
      </c>
      <c r="F21" s="1814">
        <f t="shared" si="3"/>
        <v>25000</v>
      </c>
      <c r="G21" s="1815">
        <f t="shared" si="4"/>
        <v>88918</v>
      </c>
    </row>
    <row r="22" spans="1:8" x14ac:dyDescent="0.25">
      <c r="A22" s="1958" t="s">
        <v>2122</v>
      </c>
      <c r="B22" s="1959" t="s">
        <v>2124</v>
      </c>
      <c r="C22" s="1960" t="s">
        <v>2131</v>
      </c>
      <c r="D22" s="1866">
        <v>57736</v>
      </c>
      <c r="E22" s="1561">
        <f t="shared" si="2"/>
        <v>25000</v>
      </c>
      <c r="F22" s="1814">
        <f t="shared" si="3"/>
        <v>25000</v>
      </c>
      <c r="G22" s="1815">
        <f t="shared" si="4"/>
        <v>32736</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2867400</v>
      </c>
      <c r="E141" s="1562">
        <f t="shared" si="1"/>
        <v>25000</v>
      </c>
      <c r="F141" s="1816">
        <f>SUM(F17:F140)</f>
        <v>150000</v>
      </c>
      <c r="G141" s="1817">
        <f>SUM(G17:G140)</f>
        <v>2717400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8" t="s">
        <v>214</v>
      </c>
      <c r="B6" s="966"/>
      <c r="C6" s="966"/>
      <c r="D6" s="967"/>
      <c r="E6" s="967"/>
      <c r="F6" s="968"/>
      <c r="G6" s="969"/>
      <c r="H6" s="162"/>
      <c r="I6" s="162"/>
    </row>
    <row r="7" spans="1:9" s="669" customFormat="1" ht="12" customHeight="1" x14ac:dyDescent="0.2">
      <c r="A7" s="970" t="s">
        <v>964</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c r="F9" s="974"/>
      <c r="G9" s="975"/>
      <c r="H9" s="162"/>
      <c r="I9" s="162"/>
    </row>
    <row r="10" spans="1:9" s="669" customFormat="1" ht="12" customHeight="1" x14ac:dyDescent="0.2">
      <c r="A10" s="970" t="s">
        <v>2076</v>
      </c>
      <c r="B10" s="971"/>
      <c r="C10" s="976"/>
      <c r="D10" s="972"/>
      <c r="E10" s="973">
        <v>35929</v>
      </c>
      <c r="F10" s="974"/>
      <c r="G10" s="975"/>
      <c r="H10" s="162"/>
      <c r="I10" s="162"/>
    </row>
    <row r="11" spans="1:9" s="669" customFormat="1" ht="22.5" customHeight="1" x14ac:dyDescent="0.2">
      <c r="A11" s="2307" t="s">
        <v>1945</v>
      </c>
      <c r="B11" s="2308"/>
      <c r="C11" s="2308"/>
      <c r="D11" s="2309"/>
      <c r="E11" s="977"/>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389</v>
      </c>
      <c r="B15" s="967"/>
      <c r="C15" s="967"/>
      <c r="D15" s="967"/>
      <c r="E15" s="967"/>
      <c r="F15" s="967"/>
      <c r="G15" s="981"/>
      <c r="H15" s="162"/>
      <c r="I15" s="162"/>
    </row>
    <row r="16" spans="1:9" s="669" customFormat="1" x14ac:dyDescent="0.2">
      <c r="A16" s="982" t="s">
        <v>1443</v>
      </c>
      <c r="B16" s="983"/>
      <c r="C16" s="984"/>
      <c r="D16" s="963"/>
      <c r="E16" s="958"/>
      <c r="F16" s="958"/>
      <c r="G16" s="959"/>
      <c r="H16" s="162"/>
      <c r="I16" s="162"/>
    </row>
    <row r="17" spans="1:9" s="669" customFormat="1" ht="12" customHeight="1" x14ac:dyDescent="0.2">
      <c r="A17" s="985"/>
      <c r="B17" s="986"/>
      <c r="C17" s="329"/>
      <c r="D17" s="1659" t="s">
        <v>553</v>
      </c>
      <c r="E17" s="1660"/>
      <c r="F17" s="1659" t="s">
        <v>453</v>
      </c>
      <c r="G17" s="1661"/>
      <c r="H17" s="162"/>
      <c r="I17" s="162"/>
    </row>
    <row r="18" spans="1:9" s="259" customFormat="1" ht="11.25" x14ac:dyDescent="0.2">
      <c r="A18" s="988"/>
      <c r="C18" s="989" t="s">
        <v>454</v>
      </c>
      <c r="D18" s="1662" t="s">
        <v>455</v>
      </c>
      <c r="E18" s="1662" t="s">
        <v>55</v>
      </c>
      <c r="F18" s="1662" t="s">
        <v>455</v>
      </c>
      <c r="G18" s="1662" t="s">
        <v>55</v>
      </c>
      <c r="H18" s="178"/>
      <c r="I18" s="178"/>
    </row>
    <row r="19" spans="1:9" s="669" customFormat="1" ht="12" customHeight="1" x14ac:dyDescent="0.2">
      <c r="A19" s="990" t="s">
        <v>476</v>
      </c>
      <c r="B19" s="991"/>
      <c r="C19" s="992" t="s">
        <v>591</v>
      </c>
      <c r="D19" s="1821"/>
      <c r="E19" s="1822">
        <f>'Expenditures 15-22'!K33-SUM('Expenditures 15-22'!G33,'Expenditures 15-22'!I33)+'Expenditures 15-22'!D229</f>
        <v>28136453</v>
      </c>
      <c r="F19" s="1821"/>
      <c r="G19" s="1823">
        <f>'Expenditures 15-22'!K33-SUM('Expenditures 15-22'!G33,'Expenditures 15-22'!I33)+'Expenditures 15-22'!D229</f>
        <v>28136453</v>
      </c>
      <c r="H19" s="987"/>
      <c r="I19" s="162"/>
    </row>
    <row r="20" spans="1:9" s="669" customFormat="1" ht="12" customHeight="1" x14ac:dyDescent="0.2">
      <c r="A20" s="990" t="s">
        <v>56</v>
      </c>
      <c r="B20" s="991"/>
      <c r="C20" s="993"/>
      <c r="D20" s="1824"/>
      <c r="E20" s="1824"/>
      <c r="F20" s="1824"/>
      <c r="G20" s="1825"/>
      <c r="H20" s="987"/>
      <c r="I20" s="162"/>
    </row>
    <row r="21" spans="1:9" s="669" customFormat="1" ht="12" customHeight="1" x14ac:dyDescent="0.2">
      <c r="A21" s="994" t="s">
        <v>421</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2794149</v>
      </c>
      <c r="F21" s="1824"/>
      <c r="G21" s="1827">
        <f>'Expenditures 15-22'!K42-SUM('Expenditures 15-22'!G42,'Expenditures 15-22'!I42)+'Expenditures 15-22'!K120-SUM('Expenditures 15-22'!G120,'Expenditures 15-22'!I120)+'Expenditures 15-22'!K180-SUM('Expenditures 15-22'!G180,'Expenditures 15-22'!I180)+'Expenditures 15-22'!D238</f>
        <v>2794149</v>
      </c>
      <c r="H21" s="987"/>
      <c r="I21" s="162"/>
    </row>
    <row r="22" spans="1:9" s="669" customFormat="1" ht="12" customHeight="1" x14ac:dyDescent="0.2">
      <c r="A22" s="994" t="s">
        <v>585</v>
      </c>
      <c r="B22" s="995"/>
      <c r="C22" s="993">
        <v>2200</v>
      </c>
      <c r="D22" s="1824"/>
      <c r="E22" s="1826">
        <f>'Expenditures 15-22'!K47-SUM('Expenditures 15-22'!G47,'Expenditures 15-22'!I47)+'Expenditures 15-22'!D243</f>
        <v>4227471</v>
      </c>
      <c r="F22" s="1824"/>
      <c r="G22" s="1827">
        <f>'Expenditures 15-22'!K47-SUM('Expenditures 15-22'!G47,'Expenditures 15-22'!I47)+'Expenditures 15-22'!D243</f>
        <v>4227471</v>
      </c>
      <c r="H22" s="987"/>
      <c r="I22" s="162"/>
    </row>
    <row r="23" spans="1:9" s="669" customFormat="1" ht="12" customHeight="1" x14ac:dyDescent="0.2">
      <c r="A23" s="994" t="s">
        <v>586</v>
      </c>
      <c r="B23" s="995"/>
      <c r="C23" s="993">
        <v>2300</v>
      </c>
      <c r="D23" s="1824"/>
      <c r="E23" s="1826">
        <f>'Expenditures 15-22'!K53-SUM('Expenditures 15-22'!G53,'Expenditures 15-22'!I53)+'Expenditures 15-22'!D257+'Expenditures 15-22'!K330-SUM('Expenditures 15-22'!G330,'Expenditures 15-22'!I330)</f>
        <v>1928884</v>
      </c>
      <c r="F23" s="1824"/>
      <c r="G23" s="1826">
        <f>'Expenditures 15-22'!K53-SUM('Expenditures 15-22'!G53,'Expenditures 15-22'!I53)+'Expenditures 15-22'!D257+'Expenditures 15-22'!K330-SUM('Expenditures 15-22'!G330,'Expenditures 15-22'!I330)</f>
        <v>1928884</v>
      </c>
      <c r="H23" s="987"/>
      <c r="I23" s="162"/>
    </row>
    <row r="24" spans="1:9" s="669" customFormat="1" ht="12" customHeight="1" x14ac:dyDescent="0.2">
      <c r="A24" s="994" t="s">
        <v>587</v>
      </c>
      <c r="B24" s="995"/>
      <c r="C24" s="993">
        <v>2400</v>
      </c>
      <c r="D24" s="1824"/>
      <c r="E24" s="1826">
        <f>'Expenditures 15-22'!K57-SUM('Expenditures 15-22'!G57,'Expenditures 15-22'!I57)+'Expenditures 15-22'!D261</f>
        <v>2268006</v>
      </c>
      <c r="F24" s="1824"/>
      <c r="G24" s="1827">
        <f>'Expenditures 15-22'!K57-SUM('Expenditures 15-22'!G57,'Expenditures 15-22'!I57)+'Expenditures 15-22'!D261</f>
        <v>2268006</v>
      </c>
      <c r="H24" s="987"/>
      <c r="I24" s="162"/>
    </row>
    <row r="25" spans="1:9" s="669" customFormat="1" ht="12" customHeight="1" x14ac:dyDescent="0.2">
      <c r="A25" s="990" t="s">
        <v>588</v>
      </c>
      <c r="B25" s="996"/>
      <c r="C25" s="993"/>
      <c r="D25" s="1824"/>
      <c r="E25" s="1826"/>
      <c r="F25" s="1824"/>
      <c r="G25" s="1827"/>
      <c r="H25" s="987"/>
      <c r="I25" s="162"/>
    </row>
    <row r="26" spans="1:9" s="669" customFormat="1" ht="12" customHeight="1" x14ac:dyDescent="0.2">
      <c r="A26" s="994" t="s">
        <v>536</v>
      </c>
      <c r="B26" s="997"/>
      <c r="C26" s="993">
        <v>2510</v>
      </c>
      <c r="D26" s="1826">
        <f>'Expenditures 15-22'!K59-SUM('Expenditures 15-22'!G59,'Expenditures 15-22'!I59)+'Expenditures 15-22'!D263-E7</f>
        <v>751486</v>
      </c>
      <c r="E26" s="1826">
        <f>'Expenditures 15-22'!K122-SUM('Expenditures 15-22'!G122,'Expenditures 15-22'!I122)+E7</f>
        <v>0</v>
      </c>
      <c r="F26" s="1826">
        <f>'Expenditures 15-22'!K59-SUM('Expenditures 15-22'!G59,'Expenditures 15-22'!I59)+'Expenditures 15-22'!D263-E7</f>
        <v>751486</v>
      </c>
      <c r="G26" s="1827">
        <f>'Expenditures 15-22'!K122-SUM('Expenditures 15-22'!G122,'Expenditures 15-22'!I122)+E7</f>
        <v>0</v>
      </c>
      <c r="H26" s="987"/>
      <c r="I26" s="162"/>
    </row>
    <row r="27" spans="1:9" s="669" customFormat="1" ht="12" customHeight="1" x14ac:dyDescent="0.2">
      <c r="A27" s="994" t="s">
        <v>483</v>
      </c>
      <c r="B27" s="997"/>
      <c r="C27" s="993">
        <v>2520</v>
      </c>
      <c r="D27" s="1826">
        <f>'Expenditures 15-22'!K60-SUM('Expenditures 15-22'!G60,'Expenditures 15-22'!I60)+'Expenditures 15-22'!D264-E8</f>
        <v>0</v>
      </c>
      <c r="E27" s="1826">
        <f>E8</f>
        <v>0</v>
      </c>
      <c r="F27" s="1826">
        <f>'Expenditures 15-22'!K60-SUM('Expenditures 15-22'!G60,'Expenditures 15-22'!I60)+'Expenditures 15-22'!D264-E8</f>
        <v>0</v>
      </c>
      <c r="G27" s="1827">
        <f>E8</f>
        <v>0</v>
      </c>
      <c r="H27" s="987"/>
      <c r="I27" s="162"/>
    </row>
    <row r="28" spans="1:9" s="669" customFormat="1" ht="12" customHeight="1" x14ac:dyDescent="0.2">
      <c r="A28" s="994" t="s">
        <v>537</v>
      </c>
      <c r="B28" s="997"/>
      <c r="C28" s="993">
        <v>2540</v>
      </c>
      <c r="D28" s="1828"/>
      <c r="E28" s="1826">
        <f>'Expenditures 15-22'!K61-SUM('Expenditures 15-22'!G61,'Expenditures 15-22'!I61)+'Expenditures 15-22'!K124-SUM('Expenditures 15-22'!G124,'Expenditures 15-22'!I124)+'Expenditures 15-22'!D266</f>
        <v>4973107</v>
      </c>
      <c r="F28" s="1828">
        <f>'Expenditures 15-22'!K61-SUM('Expenditures 15-22'!G61,'Expenditures 15-22'!I61)+'Expenditures 15-22'!K124-SUM('Expenditures 15-22'!G124,'Expenditures 15-22'!I124)+'Expenditures 15-22'!D266-E9</f>
        <v>4973107</v>
      </c>
      <c r="G28" s="1827">
        <f>E9</f>
        <v>0</v>
      </c>
      <c r="H28" s="987"/>
      <c r="I28" s="162"/>
    </row>
    <row r="29" spans="1:9" ht="12" customHeight="1" x14ac:dyDescent="0.2">
      <c r="A29" s="994" t="s">
        <v>538</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1497611</v>
      </c>
      <c r="F29" s="1824"/>
      <c r="G29" s="1827">
        <f>'Expenditures 15-22'!K62-SUM('Expenditures 15-22'!G62,'Expenditures 15-22'!I62)+'Expenditures 15-22'!K125-SUM('Expenditures 15-22'!G125,'Expenditures 15-22'!I125)+'Expenditures 15-22'!K182-SUM('Expenditures 15-22'!G182,'Expenditures 15-22'!I182)+'Expenditures 15-22'!D267</f>
        <v>1497611</v>
      </c>
      <c r="H29" s="985"/>
    </row>
    <row r="30" spans="1:9" ht="12" customHeight="1" x14ac:dyDescent="0.2">
      <c r="A30" s="994" t="s">
        <v>102</v>
      </c>
      <c r="B30" s="997"/>
      <c r="C30" s="993">
        <v>2560</v>
      </c>
      <c r="D30" s="1824"/>
      <c r="E30" s="1826">
        <f>'Expenditures 15-22'!K63-SUM('Expenditures 15-22'!G63,'Expenditures 15-22'!I63)+'Expenditures 15-22'!D268-E10</f>
        <v>344352</v>
      </c>
      <c r="F30" s="1824"/>
      <c r="G30" s="1826">
        <f>'Expenditures 15-22'!K63-SUM('Expenditures 15-22'!G63,'Expenditures 15-22'!I63)+'Expenditures 15-22'!D268-E10</f>
        <v>344352</v>
      </c>
    </row>
    <row r="31" spans="1:9" ht="12" customHeight="1" x14ac:dyDescent="0.2">
      <c r="A31" s="994" t="s">
        <v>103</v>
      </c>
      <c r="B31" s="997"/>
      <c r="C31" s="993">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0" t="s">
        <v>539</v>
      </c>
      <c r="B32" s="996"/>
      <c r="C32" s="993"/>
      <c r="D32" s="1824"/>
      <c r="E32" s="1824"/>
      <c r="F32" s="1824"/>
      <c r="G32" s="1824"/>
    </row>
    <row r="33" spans="1:7" ht="12" customHeight="1" x14ac:dyDescent="0.2">
      <c r="A33" s="994" t="s">
        <v>540</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4" t="s">
        <v>541</v>
      </c>
      <c r="B34" s="997"/>
      <c r="C34" s="993">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4" t="s">
        <v>1121</v>
      </c>
      <c r="B35" s="997"/>
      <c r="C35" s="993">
        <v>2630</v>
      </c>
      <c r="D35" s="1824"/>
      <c r="E35" s="1826">
        <f>'Expenditures 15-22'!K69-SUM('Expenditures 15-22'!G69,'Expenditures 15-22'!I69)+'Expenditures 15-22'!D274</f>
        <v>1418630</v>
      </c>
      <c r="F35" s="1824"/>
      <c r="G35" s="1826">
        <f>'Expenditures 15-22'!K69-SUM('Expenditures 15-22'!G69,'Expenditures 15-22'!I69)+'Expenditures 15-22'!D274</f>
        <v>1418630</v>
      </c>
    </row>
    <row r="36" spans="1:7" ht="12" customHeight="1" x14ac:dyDescent="0.2">
      <c r="A36" s="994" t="s">
        <v>423</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4" t="s">
        <v>424</v>
      </c>
      <c r="B37" s="997"/>
      <c r="C37" s="993">
        <v>2660</v>
      </c>
      <c r="D37" s="1826">
        <f>'Expenditures 15-22'!K71-SUM('Expenditures 15-22'!G71,'Expenditures 15-22'!I71)+'Expenditures 15-22'!D276-E14</f>
        <v>30813</v>
      </c>
      <c r="E37" s="1826">
        <f>E14</f>
        <v>0</v>
      </c>
      <c r="F37" s="1826">
        <f>'Expenditures 15-22'!K71-SUM('Expenditures 15-22'!G71,'Expenditures 15-22'!I71)+'Expenditures 15-22'!D276-E14</f>
        <v>30813</v>
      </c>
      <c r="G37" s="1826">
        <f>E14</f>
        <v>0</v>
      </c>
    </row>
    <row r="38" spans="1:7" ht="12" customHeight="1" x14ac:dyDescent="0.2">
      <c r="A38" s="990" t="s">
        <v>542</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212830</v>
      </c>
      <c r="F39" s="1824"/>
      <c r="G39" s="1826">
        <f>'Expenditures 15-22'!K75-SUM('Expenditures 15-22'!G75,'Expenditures 15-22'!I75)+'Expenditures 15-22'!K130-SUM('Expenditures 15-22'!G130,'Expenditures 15-22'!I130)+'Expenditures 15-22'!K185-SUM('Expenditures 15-22'!G185,'Expenditures 15-22'!I185)+'Expenditures 15-22'!D280</f>
        <v>212830</v>
      </c>
    </row>
    <row r="40" spans="1:7" ht="12" customHeight="1" x14ac:dyDescent="0.2">
      <c r="A40" s="990" t="s">
        <v>1930</v>
      </c>
      <c r="B40" s="991"/>
      <c r="C40" s="993"/>
      <c r="D40" s="1824"/>
      <c r="E40" s="1828">
        <f>-'Contracts Paid in CY 29'!G141</f>
        <v>-2717400</v>
      </c>
      <c r="F40" s="1824"/>
      <c r="G40" s="1828">
        <f>-'Contracts Paid in CY 29'!G141</f>
        <v>-2717400</v>
      </c>
    </row>
    <row r="41" spans="1:7" ht="12" customHeight="1" x14ac:dyDescent="0.2">
      <c r="A41" s="998" t="s">
        <v>158</v>
      </c>
      <c r="B41" s="999"/>
      <c r="C41" s="1000"/>
      <c r="D41" s="1828">
        <f>SUM(D19:D39)</f>
        <v>782299</v>
      </c>
      <c r="E41" s="1828">
        <f>SUM(E19:E40)</f>
        <v>45084093</v>
      </c>
      <c r="F41" s="1828">
        <f>SUM(F19:F39)</f>
        <v>5755406</v>
      </c>
      <c r="G41" s="1828">
        <f>SUM(G19:G40)</f>
        <v>40110986</v>
      </c>
    </row>
    <row r="42" spans="1:7" x14ac:dyDescent="0.2">
      <c r="A42" s="987"/>
      <c r="B42" s="162"/>
      <c r="C42" s="1001"/>
      <c r="D42" s="2305" t="s">
        <v>543</v>
      </c>
      <c r="E42" s="2306"/>
      <c r="F42" s="1002" t="s">
        <v>544</v>
      </c>
      <c r="G42" s="1003"/>
    </row>
    <row r="43" spans="1:7" ht="12" customHeight="1" x14ac:dyDescent="0.2">
      <c r="A43" s="987"/>
      <c r="B43" s="162"/>
      <c r="C43" s="1001"/>
      <c r="D43" s="1829" t="s">
        <v>493</v>
      </c>
      <c r="E43" s="1830">
        <f>D41</f>
        <v>782299</v>
      </c>
      <c r="F43" s="1829" t="s">
        <v>495</v>
      </c>
      <c r="G43" s="1830">
        <f>F41</f>
        <v>5755406</v>
      </c>
    </row>
    <row r="44" spans="1:7" ht="12" customHeight="1" x14ac:dyDescent="0.2">
      <c r="A44" s="987"/>
      <c r="B44" s="162"/>
      <c r="C44" s="1001"/>
      <c r="D44" s="1829" t="s">
        <v>494</v>
      </c>
      <c r="E44" s="1830">
        <f>E41</f>
        <v>45084093</v>
      </c>
      <c r="F44" s="1829" t="s">
        <v>494</v>
      </c>
      <c r="G44" s="1830">
        <f>G41</f>
        <v>40110986</v>
      </c>
    </row>
    <row r="45" spans="1:7" ht="12" customHeight="1" x14ac:dyDescent="0.2">
      <c r="A45" s="987"/>
      <c r="B45" s="162"/>
      <c r="C45" s="162"/>
      <c r="D45" s="1831" t="s">
        <v>1063</v>
      </c>
      <c r="E45" s="1832">
        <f>(E43/E44)</f>
        <v>1.7351995968955172E-2</v>
      </c>
      <c r="F45" s="1831" t="s">
        <v>1063</v>
      </c>
      <c r="G45" s="1832">
        <f>(G43/G44)</f>
        <v>0.14348702372960864</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E32" sqref="E32"/>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4" t="s">
        <v>1446</v>
      </c>
      <c r="B1" s="2324"/>
      <c r="C1" s="2324"/>
      <c r="D1" s="2324"/>
      <c r="E1" s="2324"/>
      <c r="F1" s="2324"/>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5" t="s">
        <v>1627</v>
      </c>
      <c r="B5" s="2326"/>
      <c r="C5" s="2327"/>
      <c r="D5" s="2327"/>
      <c r="E5" s="2327"/>
      <c r="F5" s="2327"/>
    </row>
    <row r="6" spans="1:10" ht="12" customHeight="1" x14ac:dyDescent="0.25">
      <c r="A6" s="1874"/>
      <c r="B6" s="1875"/>
      <c r="C6" s="2328" t="str">
        <f>COVER!A17</f>
        <v>Deerfield SD 109</v>
      </c>
      <c r="D6" s="2328"/>
      <c r="E6" s="2328"/>
      <c r="F6" s="1876"/>
    </row>
    <row r="7" spans="1:10" ht="11.25" customHeight="1" thickBot="1" x14ac:dyDescent="0.3">
      <c r="A7" s="1874"/>
      <c r="B7" s="1875"/>
      <c r="C7" s="2329">
        <f>COVER!A13</f>
        <v>34049109002</v>
      </c>
      <c r="D7" s="2329"/>
      <c r="E7" s="2329"/>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2077</v>
      </c>
      <c r="D14" s="1889" t="s">
        <v>2077</v>
      </c>
      <c r="E14" s="1892" t="s">
        <v>2100</v>
      </c>
      <c r="F14" s="1891" t="s">
        <v>2101</v>
      </c>
      <c r="H14" s="1902">
        <f t="shared" si="0"/>
        <v>5</v>
      </c>
      <c r="I14" s="1902">
        <f t="shared" si="1"/>
        <v>5</v>
      </c>
      <c r="J14" s="1902">
        <f t="shared" si="2"/>
        <v>0</v>
      </c>
    </row>
    <row r="15" spans="1:10" ht="12" customHeight="1" x14ac:dyDescent="0.2">
      <c r="A15" s="1887" t="s">
        <v>1454</v>
      </c>
      <c r="B15" s="1888"/>
      <c r="C15" s="1889" t="s">
        <v>2077</v>
      </c>
      <c r="D15" s="1889" t="s">
        <v>2077</v>
      </c>
      <c r="E15" s="1892"/>
      <c r="F15" s="1891" t="s">
        <v>2102</v>
      </c>
      <c r="H15" s="1902">
        <f t="shared" si="0"/>
        <v>5</v>
      </c>
      <c r="I15" s="1902">
        <f t="shared" si="1"/>
        <v>5</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c r="F19" s="1891" t="s">
        <v>2103</v>
      </c>
      <c r="H19" s="1902">
        <f t="shared" si="0"/>
        <v>5</v>
      </c>
      <c r="I19" s="1902">
        <f t="shared" si="1"/>
        <v>5</v>
      </c>
      <c r="J19" s="1902">
        <f t="shared" si="2"/>
        <v>0</v>
      </c>
    </row>
    <row r="20" spans="1:12" ht="12" customHeight="1" x14ac:dyDescent="0.2">
      <c r="A20" s="1887" t="s">
        <v>1609</v>
      </c>
      <c r="B20" s="1888"/>
      <c r="C20" s="1889" t="s">
        <v>2077</v>
      </c>
      <c r="D20" s="1889" t="s">
        <v>2077</v>
      </c>
      <c r="E20" s="1892"/>
      <c r="F20" s="1891" t="s">
        <v>2104</v>
      </c>
      <c r="H20" s="1902">
        <f t="shared" si="0"/>
        <v>5</v>
      </c>
      <c r="I20" s="1902">
        <f t="shared" si="1"/>
        <v>5</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c r="F26" s="1891" t="s">
        <v>2105</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2077</v>
      </c>
      <c r="D28" s="1889" t="s">
        <v>2077</v>
      </c>
      <c r="E28" s="1892" t="s">
        <v>2100</v>
      </c>
      <c r="F28" s="1891" t="s">
        <v>2106</v>
      </c>
      <c r="H28" s="1902">
        <f t="shared" si="0"/>
        <v>5</v>
      </c>
      <c r="I28" s="1902">
        <f t="shared" si="1"/>
        <v>5</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30</v>
      </c>
      <c r="I34" s="1902">
        <f>SUM(I11:I32)</f>
        <v>30</v>
      </c>
      <c r="J34" s="1902">
        <f>SUM(J11:J32)</f>
        <v>0</v>
      </c>
      <c r="K34" s="1902">
        <f>SUM(H34:J34)</f>
        <v>60</v>
      </c>
    </row>
    <row r="35" spans="1:11" ht="12" customHeight="1" x14ac:dyDescent="0.2">
      <c r="A35" s="1895" t="s">
        <v>1459</v>
      </c>
      <c r="B35" s="1896"/>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7"/>
      <c r="B39" s="1897"/>
      <c r="C39" s="1897"/>
      <c r="D39" s="1897"/>
      <c r="E39" s="1897"/>
      <c r="F39" s="1897"/>
    </row>
    <row r="40" spans="1:11" s="1894" customFormat="1" ht="12" customHeight="1" x14ac:dyDescent="0.25">
      <c r="A40" s="1898" t="s">
        <v>1458</v>
      </c>
      <c r="B40" s="1899"/>
      <c r="C40" s="2319"/>
      <c r="D40" s="2319"/>
      <c r="E40" s="2319"/>
      <c r="F40" s="2320"/>
      <c r="H40" s="1903"/>
      <c r="I40" s="1903"/>
      <c r="J40" s="1903"/>
      <c r="K40" s="1903"/>
    </row>
    <row r="41" spans="1:11" s="1894" customFormat="1" ht="12" customHeight="1" x14ac:dyDescent="0.25">
      <c r="A41" s="2321"/>
      <c r="B41" s="2322"/>
      <c r="C41" s="2322"/>
      <c r="D41" s="2322"/>
      <c r="E41" s="2322"/>
      <c r="F41" s="2323"/>
      <c r="H41" s="1903"/>
      <c r="I41" s="1903"/>
      <c r="J41" s="1903"/>
      <c r="K41" s="1903"/>
    </row>
    <row r="42" spans="1:11" s="1894" customFormat="1" ht="12" customHeight="1" x14ac:dyDescent="0.25">
      <c r="A42" s="2321"/>
      <c r="B42" s="2322"/>
      <c r="C42" s="2322"/>
      <c r="D42" s="2322"/>
      <c r="E42" s="2322"/>
      <c r="F42" s="2323"/>
      <c r="H42" s="1903"/>
      <c r="I42" s="1903"/>
      <c r="J42" s="1903"/>
      <c r="K42" s="1903"/>
    </row>
    <row r="43" spans="1:11" s="1894" customFormat="1" ht="15" x14ac:dyDescent="0.25">
      <c r="A43" s="2310"/>
      <c r="B43" s="2311"/>
      <c r="C43" s="2311"/>
      <c r="D43" s="2311"/>
      <c r="E43" s="2311"/>
      <c r="F43" s="2312"/>
      <c r="H43" s="1903"/>
      <c r="I43" s="1903"/>
      <c r="J43" s="1903"/>
      <c r="K43" s="1903"/>
    </row>
    <row r="44" spans="1:11" s="1894" customFormat="1" ht="12" hidden="1" customHeight="1" x14ac:dyDescent="0.25">
      <c r="A44" s="2310"/>
      <c r="B44" s="2311"/>
      <c r="C44" s="2311"/>
      <c r="D44" s="2311"/>
      <c r="E44" s="2311"/>
      <c r="F44" s="2312"/>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8" t="s">
        <v>693</v>
      </c>
      <c r="B6" s="1663"/>
      <c r="C6" s="1663"/>
      <c r="D6" s="1663"/>
      <c r="E6" s="1664"/>
      <c r="F6" s="1015"/>
      <c r="G6" s="1009"/>
      <c r="H6" s="1016" t="s">
        <v>1086</v>
      </c>
      <c r="I6" s="2337" t="str">
        <f>COVER!A17</f>
        <v>Deerfield SD 109</v>
      </c>
      <c r="J6" s="2338"/>
      <c r="Q6" s="1685"/>
    </row>
    <row r="7" spans="1:17" x14ac:dyDescent="0.2">
      <c r="A7" s="2339" t="s">
        <v>924</v>
      </c>
      <c r="B7" s="2340"/>
      <c r="C7" s="2340"/>
      <c r="D7" s="2340"/>
      <c r="E7" s="2341"/>
      <c r="F7" s="1017"/>
      <c r="G7" s="1009"/>
      <c r="H7" s="1016" t="s">
        <v>390</v>
      </c>
      <c r="I7" s="2342">
        <f>COVER!A13</f>
        <v>34049109002</v>
      </c>
      <c r="J7" s="2342"/>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9" t="s">
        <v>1701</v>
      </c>
      <c r="F9" s="1023"/>
      <c r="G9" s="1023"/>
      <c r="H9" s="1920"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43" t="s">
        <v>502</v>
      </c>
      <c r="B11" s="2344"/>
      <c r="C11" s="2345"/>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3">
        <f>'Expenditures 15-22'!K50</f>
        <v>1069428</v>
      </c>
      <c r="F12" s="1039"/>
      <c r="G12" s="1833">
        <f t="shared" ref="G12:G18" si="0">SUM(E12:F12)</f>
        <v>1069428</v>
      </c>
      <c r="H12" s="1040">
        <v>978521</v>
      </c>
      <c r="I12" s="1039"/>
      <c r="J12" s="1833">
        <f t="shared" ref="J12:J18" si="1">SUM(H12:I12)</f>
        <v>978521</v>
      </c>
    </row>
    <row r="13" spans="1:17" ht="15" customHeight="1" x14ac:dyDescent="0.2">
      <c r="A13" s="1035">
        <v>2</v>
      </c>
      <c r="B13" s="1036" t="s">
        <v>44</v>
      </c>
      <c r="C13" s="1037"/>
      <c r="D13" s="1038">
        <v>2330</v>
      </c>
      <c r="E13" s="1833">
        <f>'Expenditures 15-22'!K51</f>
        <v>0</v>
      </c>
      <c r="F13" s="1039"/>
      <c r="G13" s="1833">
        <f t="shared" si="0"/>
        <v>0</v>
      </c>
      <c r="H13" s="1040"/>
      <c r="I13" s="1039"/>
      <c r="J13" s="1833">
        <f t="shared" si="1"/>
        <v>0</v>
      </c>
    </row>
    <row r="14" spans="1:17" ht="15" customHeight="1" x14ac:dyDescent="0.2">
      <c r="A14" s="1035">
        <v>3</v>
      </c>
      <c r="B14" s="1036" t="s">
        <v>45</v>
      </c>
      <c r="C14" s="1037"/>
      <c r="D14" s="1041">
        <v>2490</v>
      </c>
      <c r="E14" s="1833">
        <f>'Expenditures 15-22'!K56</f>
        <v>0</v>
      </c>
      <c r="F14" s="1039"/>
      <c r="G14" s="1833">
        <f t="shared" si="0"/>
        <v>0</v>
      </c>
      <c r="H14" s="1040"/>
      <c r="I14" s="1039"/>
      <c r="J14" s="1833">
        <f t="shared" si="1"/>
        <v>0</v>
      </c>
    </row>
    <row r="15" spans="1:17" ht="15" customHeight="1" x14ac:dyDescent="0.2">
      <c r="A15" s="1035">
        <v>4</v>
      </c>
      <c r="B15" s="1036" t="s">
        <v>1128</v>
      </c>
      <c r="C15" s="1037"/>
      <c r="D15" s="1038">
        <v>2510</v>
      </c>
      <c r="E15" s="1833">
        <f>'Expenditures 15-22'!K59</f>
        <v>699837</v>
      </c>
      <c r="F15" s="1833">
        <f>'Expenditures 15-22'!K122</f>
        <v>0</v>
      </c>
      <c r="G15" s="1833">
        <f t="shared" si="0"/>
        <v>699837</v>
      </c>
      <c r="H15" s="1040">
        <v>697390</v>
      </c>
      <c r="I15" s="1040"/>
      <c r="J15" s="1833">
        <f t="shared" si="1"/>
        <v>697390</v>
      </c>
    </row>
    <row r="16" spans="1:17" ht="15" customHeight="1" x14ac:dyDescent="0.2">
      <c r="A16" s="1035">
        <v>5</v>
      </c>
      <c r="B16" s="1036" t="s">
        <v>103</v>
      </c>
      <c r="C16" s="1037"/>
      <c r="D16" s="1038">
        <v>2570</v>
      </c>
      <c r="E16" s="1833">
        <f>'Expenditures 15-22'!K64</f>
        <v>0</v>
      </c>
      <c r="F16" s="1039"/>
      <c r="G16" s="1833">
        <f t="shared" si="0"/>
        <v>0</v>
      </c>
      <c r="H16" s="1040"/>
      <c r="I16" s="1039"/>
      <c r="J16" s="1833">
        <f t="shared" si="1"/>
        <v>0</v>
      </c>
    </row>
    <row r="17" spans="1:10" ht="15" customHeight="1" x14ac:dyDescent="0.2">
      <c r="A17" s="1035">
        <v>6</v>
      </c>
      <c r="B17" s="1036" t="s">
        <v>1120</v>
      </c>
      <c r="C17" s="1037"/>
      <c r="D17" s="1038">
        <v>2610</v>
      </c>
      <c r="E17" s="1833">
        <f>'Expenditures 15-22'!K67</f>
        <v>0</v>
      </c>
      <c r="F17" s="1039"/>
      <c r="G17" s="1833">
        <f t="shared" si="0"/>
        <v>0</v>
      </c>
      <c r="H17" s="1040"/>
      <c r="I17" s="1039"/>
      <c r="J17" s="1833">
        <f t="shared" si="1"/>
        <v>0</v>
      </c>
    </row>
    <row r="18" spans="1:10" ht="22.5" customHeight="1" x14ac:dyDescent="0.2">
      <c r="A18" s="1042">
        <v>7</v>
      </c>
      <c r="B18" s="2346" t="s">
        <v>7</v>
      </c>
      <c r="C18" s="2347"/>
      <c r="D18" s="2348"/>
      <c r="E18" s="1043"/>
      <c r="F18" s="1043"/>
      <c r="G18" s="1834">
        <f t="shared" si="0"/>
        <v>0</v>
      </c>
      <c r="H18" s="1040"/>
      <c r="I18" s="1040"/>
      <c r="J18" s="1833">
        <f t="shared" si="1"/>
        <v>0</v>
      </c>
    </row>
    <row r="19" spans="1:10" ht="12.75" customHeight="1" thickBot="1" x14ac:dyDescent="0.25">
      <c r="A19" s="1035">
        <v>8</v>
      </c>
      <c r="B19" s="1044" t="s">
        <v>1223</v>
      </c>
      <c r="D19" s="1045"/>
      <c r="E19" s="1835">
        <f t="shared" ref="E19:J19" si="2">SUM(E12:E17)-E18</f>
        <v>1769265</v>
      </c>
      <c r="F19" s="1835">
        <f t="shared" si="2"/>
        <v>0</v>
      </c>
      <c r="G19" s="1835">
        <f t="shared" si="2"/>
        <v>1769265</v>
      </c>
      <c r="H19" s="1835">
        <f t="shared" si="2"/>
        <v>1675911</v>
      </c>
      <c r="I19" s="1835">
        <f t="shared" si="2"/>
        <v>0</v>
      </c>
      <c r="J19" s="1835">
        <f t="shared" si="2"/>
        <v>1675911</v>
      </c>
    </row>
    <row r="20" spans="1:10" ht="13.5" thickTop="1" x14ac:dyDescent="0.2">
      <c r="A20" s="1035">
        <v>9</v>
      </c>
      <c r="B20" s="2349" t="s">
        <v>1703</v>
      </c>
      <c r="C20" s="2349"/>
      <c r="D20" s="2350"/>
      <c r="E20" s="1046"/>
      <c r="F20" s="1046"/>
      <c r="G20" s="1046"/>
      <c r="H20" s="1046"/>
      <c r="I20" s="1046"/>
      <c r="J20" s="1836">
        <f>IF(AND(G19&gt;0,J19&gt;0),(((J19-G19)/G19)),"Enter Budget Data")</f>
        <v>-5.2764283473645833E-2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5"/>
      <c r="D26" s="2355"/>
      <c r="E26" s="1050"/>
      <c r="F26" s="2354"/>
      <c r="G26" s="2354"/>
    </row>
    <row r="27" spans="1:10" x14ac:dyDescent="0.2">
      <c r="B27" s="1047"/>
      <c r="C27" s="1051" t="s">
        <v>1093</v>
      </c>
      <c r="D27" s="1052"/>
      <c r="E27" s="1053"/>
      <c r="F27" s="2351" t="s">
        <v>1589</v>
      </c>
      <c r="G27" s="2351"/>
    </row>
    <row r="28" spans="1:10" ht="28.5" customHeight="1" x14ac:dyDescent="0.2">
      <c r="B28" s="1047"/>
      <c r="C28" s="2353"/>
      <c r="D28" s="2353"/>
      <c r="E28" s="1054"/>
      <c r="F28" s="2353"/>
      <c r="G28" s="2353"/>
    </row>
    <row r="29" spans="1:10" x14ac:dyDescent="0.2">
      <c r="B29" s="1047"/>
      <c r="C29" s="1055" t="s">
        <v>1642</v>
      </c>
      <c r="E29" s="1056"/>
      <c r="F29" s="2352" t="s">
        <v>1590</v>
      </c>
      <c r="G29" s="2352"/>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2"/>
    </row>
    <row r="36" spans="1:10" ht="13.5" customHeight="1" x14ac:dyDescent="0.2">
      <c r="B36" s="1061"/>
      <c r="C36" s="2336" t="s">
        <v>1944</v>
      </c>
      <c r="D36" s="2335"/>
      <c r="E36" s="2335"/>
      <c r="F36" s="2335"/>
      <c r="G36" s="2335"/>
      <c r="H36" s="2335"/>
      <c r="I36" s="2335"/>
      <c r="J36" s="1063"/>
    </row>
    <row r="37" spans="1:10" ht="22.5" customHeight="1" x14ac:dyDescent="0.2">
      <c r="C37" s="2335"/>
      <c r="D37" s="2335"/>
      <c r="E37" s="2335"/>
      <c r="F37" s="2335"/>
      <c r="G37" s="2335"/>
      <c r="H37" s="2335"/>
      <c r="I37" s="2335"/>
      <c r="J37" s="1063"/>
    </row>
    <row r="38" spans="1:10" ht="7.5" customHeight="1" x14ac:dyDescent="0.2">
      <c r="C38" s="1062"/>
      <c r="D38" s="1064"/>
      <c r="E38" s="1065"/>
      <c r="F38" s="1066"/>
      <c r="G38" s="1065"/>
    </row>
    <row r="39" spans="1:10" ht="13.5" customHeight="1" x14ac:dyDescent="0.2">
      <c r="B39" s="1061"/>
      <c r="C39" s="2332" t="s">
        <v>937</v>
      </c>
      <c r="D39" s="2333"/>
      <c r="E39" s="2333"/>
      <c r="F39" s="2333"/>
      <c r="G39" s="2333"/>
      <c r="H39" s="2333"/>
      <c r="I39" s="2333"/>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8">
        <v>1</v>
      </c>
      <c r="B5" s="1957" t="s">
        <v>2107</v>
      </c>
    </row>
    <row r="6" spans="1:2" x14ac:dyDescent="0.2">
      <c r="A6" s="1068"/>
      <c r="B6" s="329" t="s">
        <v>2111</v>
      </c>
    </row>
    <row r="7" spans="1:2" x14ac:dyDescent="0.2">
      <c r="A7" s="1068"/>
    </row>
    <row r="8" spans="1:2" x14ac:dyDescent="0.2">
      <c r="A8" s="1068"/>
      <c r="B8" s="329" t="s">
        <v>2113</v>
      </c>
    </row>
    <row r="9" spans="1:2" x14ac:dyDescent="0.2">
      <c r="A9" s="1068"/>
    </row>
    <row r="10" spans="1:2" x14ac:dyDescent="0.2">
      <c r="A10" s="1068"/>
    </row>
    <row r="11" spans="1:2" x14ac:dyDescent="0.2">
      <c r="A11" s="1068"/>
    </row>
    <row r="12" spans="1:2" x14ac:dyDescent="0.2">
      <c r="A12" s="1068"/>
    </row>
    <row r="13" spans="1:2" x14ac:dyDescent="0.2">
      <c r="A13" s="1068">
        <v>2</v>
      </c>
      <c r="B13" s="1957" t="s">
        <v>6</v>
      </c>
    </row>
    <row r="14" spans="1:2" x14ac:dyDescent="0.2">
      <c r="A14" s="1068"/>
      <c r="B14" s="329" t="s">
        <v>2108</v>
      </c>
    </row>
    <row r="15" spans="1:2" x14ac:dyDescent="0.2">
      <c r="A15" s="1068"/>
    </row>
    <row r="16" spans="1:2" x14ac:dyDescent="0.2">
      <c r="A16" s="1068"/>
    </row>
    <row r="17" spans="1:2" x14ac:dyDescent="0.2">
      <c r="A17" s="1068"/>
    </row>
    <row r="18" spans="1:2" x14ac:dyDescent="0.2">
      <c r="A18" s="1068"/>
    </row>
    <row r="19" spans="1:2" x14ac:dyDescent="0.2">
      <c r="A19" s="1068"/>
    </row>
    <row r="20" spans="1:2" x14ac:dyDescent="0.2">
      <c r="A20" s="1068">
        <v>3</v>
      </c>
      <c r="B20" s="1957" t="s">
        <v>2114</v>
      </c>
    </row>
    <row r="21" spans="1:2" x14ac:dyDescent="0.2">
      <c r="A21" s="1068"/>
      <c r="B21" s="329" t="s">
        <v>2115</v>
      </c>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v>4</v>
      </c>
    </row>
    <row r="28" spans="1:2" x14ac:dyDescent="0.2">
      <c r="A28" s="1069"/>
    </row>
    <row r="29" spans="1:2" x14ac:dyDescent="0.2">
      <c r="A29" s="1069"/>
    </row>
    <row r="30" spans="1:2" x14ac:dyDescent="0.2">
      <c r="A30" s="1069"/>
    </row>
    <row r="31" spans="1:2" x14ac:dyDescent="0.2">
      <c r="A31" s="1069"/>
    </row>
    <row r="32" spans="1:2" x14ac:dyDescent="0.2">
      <c r="A32" s="1069"/>
    </row>
    <row r="33" spans="1:2" x14ac:dyDescent="0.2">
      <c r="A33" s="1069"/>
    </row>
    <row r="34" spans="1:2" x14ac:dyDescent="0.2">
      <c r="A34" s="1069"/>
    </row>
    <row r="35" spans="1:2" x14ac:dyDescent="0.2">
      <c r="A35" s="1069">
        <v>5</v>
      </c>
      <c r="B35" s="1957" t="s">
        <v>2109</v>
      </c>
    </row>
    <row r="36" spans="1:2" x14ac:dyDescent="0.2">
      <c r="A36" s="1069"/>
      <c r="B36" s="329" t="s">
        <v>2110</v>
      </c>
    </row>
    <row r="37" spans="1:2" x14ac:dyDescent="0.2">
      <c r="A37" s="1069"/>
    </row>
    <row r="38" spans="1:2" x14ac:dyDescent="0.2">
      <c r="A38" s="1069"/>
      <c r="B38" s="329" t="s">
        <v>2112</v>
      </c>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row>
    <row r="48" spans="1:2"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Deerfield SD 109</v>
      </c>
    </row>
    <row r="66" spans="1:2" x14ac:dyDescent="0.2">
      <c r="B66" s="1070">
        <f>COVER!A13</f>
        <v>34049109002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942975</xdr:colOff>
                <xdr:row>4</xdr:row>
                <xdr:rowOff>28575</xdr:rowOff>
              </from>
              <to>
                <xdr:col>1</xdr:col>
                <xdr:colOff>1828800</xdr:colOff>
                <xdr:row>7</xdr:row>
                <xdr:rowOff>57150</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S32" sqref="S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4"/>
      <c r="H2" s="1074"/>
    </row>
    <row r="3" spans="1:8" ht="57" customHeight="1" x14ac:dyDescent="0.2">
      <c r="A3" s="2370" t="s">
        <v>1786</v>
      </c>
      <c r="B3" s="2371"/>
      <c r="C3" s="2371"/>
      <c r="D3" s="2371"/>
      <c r="E3" s="2371"/>
      <c r="F3" s="2372"/>
      <c r="G3" s="1074"/>
      <c r="H3" s="1074"/>
    </row>
    <row r="4" spans="1:8" ht="14.25" customHeight="1" x14ac:dyDescent="0.2">
      <c r="A4" s="2376" t="s">
        <v>2056</v>
      </c>
      <c r="B4" s="2377"/>
      <c r="C4" s="2377"/>
      <c r="D4" s="2377"/>
      <c r="E4" s="2377"/>
      <c r="F4" s="2378"/>
      <c r="G4" s="1074"/>
      <c r="H4" s="1074"/>
    </row>
    <row r="5" spans="1:8" ht="14.25" customHeight="1" x14ac:dyDescent="0.2">
      <c r="A5" s="2379" t="s">
        <v>2057</v>
      </c>
      <c r="B5" s="2380"/>
      <c r="C5" s="2380"/>
      <c r="D5" s="2380"/>
      <c r="E5" s="2380"/>
      <c r="F5" s="2381"/>
      <c r="G5" s="1074"/>
      <c r="H5" s="1074"/>
    </row>
    <row r="6" spans="1:8" s="1075" customFormat="1" ht="41.25" customHeight="1" x14ac:dyDescent="0.2">
      <c r="A6" s="2373" t="s">
        <v>1792</v>
      </c>
      <c r="B6" s="2374"/>
      <c r="C6" s="2374"/>
      <c r="D6" s="2374"/>
      <c r="E6" s="2374"/>
      <c r="F6" s="2375"/>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43130987</v>
      </c>
      <c r="C8" s="1837">
        <f>'Acct Summary 7-8'!D8</f>
        <v>6082420</v>
      </c>
      <c r="D8" s="1837">
        <f>'Acct Summary 7-8'!F8</f>
        <v>1725805</v>
      </c>
      <c r="E8" s="1837">
        <f>'Acct Summary 7-8'!I8</f>
        <v>0</v>
      </c>
      <c r="F8" s="1837">
        <f>SUM(B8:E8)</f>
        <v>50939212</v>
      </c>
    </row>
    <row r="9" spans="1:8" s="1079" customFormat="1" ht="14.25" customHeight="1" thickBot="1" x14ac:dyDescent="0.25">
      <c r="A9" s="1078" t="s">
        <v>1436</v>
      </c>
      <c r="B9" s="1838">
        <f>'Acct Summary 7-8'!C17</f>
        <v>42497189</v>
      </c>
      <c r="C9" s="1838">
        <f>'Acct Summary 7-8'!D17</f>
        <v>5591702</v>
      </c>
      <c r="D9" s="1838">
        <f>'Acct Summary 7-8'!F17</f>
        <v>1494036</v>
      </c>
      <c r="E9" s="1837"/>
      <c r="F9" s="1837">
        <f>SUM(B9:E9)</f>
        <v>49582927</v>
      </c>
    </row>
    <row r="10" spans="1:8" s="1079" customFormat="1" ht="14.25" thickTop="1" thickBot="1" x14ac:dyDescent="0.25">
      <c r="A10" s="1080" t="s">
        <v>1437</v>
      </c>
      <c r="B10" s="1839">
        <f>(B8-B9)</f>
        <v>633798</v>
      </c>
      <c r="C10" s="1839">
        <f>(C8-C9)</f>
        <v>490718</v>
      </c>
      <c r="D10" s="1839">
        <f>(D8-D9)</f>
        <v>231769</v>
      </c>
      <c r="E10" s="1838">
        <f>(E8-E9)</f>
        <v>0</v>
      </c>
      <c r="F10" s="1840">
        <f>SUM(F8-F9)</f>
        <v>1356285</v>
      </c>
    </row>
    <row r="11" spans="1:8" s="1079" customFormat="1" ht="14.25" thickTop="1" thickBot="1" x14ac:dyDescent="0.25">
      <c r="A11" s="1081" t="s">
        <v>1785</v>
      </c>
      <c r="B11" s="1841">
        <f>'Acct Summary 7-8'!C81</f>
        <v>13080993</v>
      </c>
      <c r="C11" s="1841">
        <f>'Acct Summary 7-8'!D81</f>
        <v>1180059</v>
      </c>
      <c r="D11" s="1841">
        <f>'Acct Summary 7-8'!F81</f>
        <v>1638568</v>
      </c>
      <c r="E11" s="1841">
        <f>'Acct Summary 7-8'!I81</f>
        <v>0</v>
      </c>
      <c r="F11" s="1842">
        <f>SUM(B11:E11)</f>
        <v>15899620</v>
      </c>
    </row>
    <row r="12" spans="1:8" ht="16.5" customHeight="1" thickTop="1" x14ac:dyDescent="0.2">
      <c r="A12" s="1082"/>
      <c r="B12" s="1083"/>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4"/>
      <c r="B13" s="1085"/>
      <c r="C13" s="2361"/>
      <c r="D13" s="2362"/>
      <c r="E13" s="2362"/>
      <c r="F13" s="2363"/>
      <c r="H13" s="1074"/>
    </row>
    <row r="14" spans="1:8" ht="19.5" customHeight="1" x14ac:dyDescent="0.2">
      <c r="A14" s="1084"/>
      <c r="B14" s="1085"/>
      <c r="C14" s="2361"/>
      <c r="D14" s="2362"/>
      <c r="E14" s="2362"/>
      <c r="F14" s="2363"/>
      <c r="H14" s="1074"/>
    </row>
    <row r="15" spans="1:8" ht="17.25" customHeight="1" x14ac:dyDescent="0.2">
      <c r="A15" s="1084"/>
      <c r="B15" s="1085"/>
      <c r="C15" s="2364"/>
      <c r="D15" s="2365"/>
      <c r="E15" s="2365"/>
      <c r="F15" s="2366"/>
      <c r="H15" s="1074"/>
    </row>
    <row r="16" spans="1:8" s="310" customFormat="1" ht="51.75" hidden="1" customHeight="1" x14ac:dyDescent="0.2">
      <c r="A16" s="2360" t="s">
        <v>1787</v>
      </c>
      <c r="B16" s="2360"/>
      <c r="C16" s="2360"/>
      <c r="D16" s="2360"/>
      <c r="E16" s="2360"/>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2" t="s">
        <v>686</v>
      </c>
      <c r="B3" s="2383"/>
      <c r="C3" s="2383"/>
      <c r="D3" s="2384"/>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3" t="s">
        <v>1584</v>
      </c>
      <c r="D7" s="2394"/>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7" t="s">
        <v>332</v>
      </c>
      <c r="D21" s="2398"/>
    </row>
    <row r="22" spans="1:10" ht="12.75" x14ac:dyDescent="0.2">
      <c r="A22" s="1139"/>
      <c r="B22" s="1140">
        <v>2</v>
      </c>
      <c r="C22" s="2395" t="s">
        <v>1605</v>
      </c>
      <c r="D22" s="2396"/>
    </row>
    <row r="23" spans="1:10" ht="12.2" customHeight="1" x14ac:dyDescent="0.2">
      <c r="A23" s="1139"/>
      <c r="B23" s="1140"/>
      <c r="C23" s="1141" t="s">
        <v>1011</v>
      </c>
      <c r="D23" s="1142" t="str">
        <f>IF(COVER!O11="X","CASH",IF(COVER!O12="X","ACCRUAL ","PLEASE CHECK AN ACCOUNTING BASIS."))</f>
        <v xml:space="preserve">ACCRUAL </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9" t="s">
        <v>557</v>
      </c>
      <c r="D43" s="2400"/>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1" t="s">
        <v>817</v>
      </c>
      <c r="D56" s="2392"/>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1" t="s">
        <v>1797</v>
      </c>
      <c r="D70" s="2392"/>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34049109002</v>
      </c>
    </row>
    <row r="3" spans="1:2" x14ac:dyDescent="0.2">
      <c r="A3" t="s">
        <v>1013</v>
      </c>
      <c r="B3" s="138" t="str">
        <f>COVER!A15</f>
        <v>LAKE</v>
      </c>
    </row>
    <row r="4" spans="1:2" x14ac:dyDescent="0.2">
      <c r="A4" t="s">
        <v>1064</v>
      </c>
      <c r="B4" s="138" t="str">
        <f>COVER!A17</f>
        <v>Deerfield SD 109</v>
      </c>
    </row>
    <row r="5" spans="1:2" x14ac:dyDescent="0.2">
      <c r="A5" t="s">
        <v>728</v>
      </c>
      <c r="B5" s="138" t="str">
        <f>COVER!A38</f>
        <v>Dr. Anthony McConnell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066-033289</v>
      </c>
    </row>
    <row r="16" spans="1:2" x14ac:dyDescent="0.2">
      <c r="A16" t="s">
        <v>442</v>
      </c>
      <c r="B16" s="138" t="str">
        <f>COVER!T13</f>
        <v>Evoy, Kamschulte, Jacobs &amp; Co. LLP</v>
      </c>
    </row>
    <row r="17" spans="1:2" x14ac:dyDescent="0.2">
      <c r="A17" t="s">
        <v>939</v>
      </c>
      <c r="B17" s="138" t="str">
        <f>COVER!T15</f>
        <v>John D. Aceto, Jr., CPA</v>
      </c>
    </row>
    <row r="18" spans="1:2" x14ac:dyDescent="0.2">
      <c r="A18" t="s">
        <v>1212</v>
      </c>
      <c r="B18" s="138" t="str">
        <f>COVER!T17</f>
        <v>2122 Yeoman Street</v>
      </c>
    </row>
    <row r="19" spans="1:2" x14ac:dyDescent="0.2">
      <c r="A19" t="s">
        <v>941</v>
      </c>
      <c r="B19" s="138" t="str">
        <f>COVER!T25</f>
        <v>jaceto@ekjllp.com</v>
      </c>
    </row>
    <row r="20" spans="1:2" x14ac:dyDescent="0.2">
      <c r="A20" t="s">
        <v>942</v>
      </c>
      <c r="B20" s="138" t="str">
        <f>COVER!T19</f>
        <v>Waukegan</v>
      </c>
    </row>
    <row r="21" spans="1:2" x14ac:dyDescent="0.2">
      <c r="A21" t="s">
        <v>500</v>
      </c>
      <c r="B21" s="138" t="str">
        <f>COVER!X19</f>
        <v>IL</v>
      </c>
    </row>
    <row r="22" spans="1:2" x14ac:dyDescent="0.2">
      <c r="A22" t="s">
        <v>943</v>
      </c>
      <c r="B22" s="138">
        <f>COVER!Z19</f>
        <v>60087</v>
      </c>
    </row>
    <row r="23" spans="1:2" x14ac:dyDescent="0.2">
      <c r="A23" t="s">
        <v>1214</v>
      </c>
      <c r="B23" s="138" t="str">
        <f>COVER!T21</f>
        <v>847-662-8300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38718</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17675182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57390567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2032912</v>
      </c>
      <c r="D86" s="2" t="str">
        <f t="shared" si="0"/>
        <v>Error?</v>
      </c>
    </row>
    <row r="87" spans="1:4" x14ac:dyDescent="0.2">
      <c r="A87" s="10">
        <v>26</v>
      </c>
      <c r="D87" s="2" t="str">
        <f t="shared" si="0"/>
        <v>OK</v>
      </c>
    </row>
    <row r="88" spans="1:4" x14ac:dyDescent="0.2">
      <c r="A88" s="5">
        <v>27</v>
      </c>
      <c r="B88" s="138">
        <f>'Assets-Liab 5-6'!C32</f>
        <v>41895558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44309574</v>
      </c>
      <c r="C91" s="2" t="s">
        <v>594</v>
      </c>
      <c r="D91" s="2" t="str">
        <f t="shared" si="0"/>
        <v>Error?</v>
      </c>
    </row>
    <row r="92" spans="1:4" x14ac:dyDescent="0.2">
      <c r="A92" s="5">
        <v>31</v>
      </c>
      <c r="B92" s="138">
        <f>'Assets-Liab 5-6'!C39</f>
        <v>13080993</v>
      </c>
      <c r="D92" s="2" t="str">
        <f t="shared" si="0"/>
        <v>Error?</v>
      </c>
    </row>
    <row r="93" spans="1:4" x14ac:dyDescent="0.2">
      <c r="A93" s="5">
        <v>32</v>
      </c>
      <c r="B93" s="138">
        <f>'Assets-Liab 5-6'!C41</f>
        <v>57390567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2716577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7915716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6401335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6735657</v>
      </c>
      <c r="C122" s="2" t="s">
        <v>594</v>
      </c>
      <c r="D122" s="2" t="str">
        <f t="shared" si="0"/>
        <v>Error?</v>
      </c>
    </row>
    <row r="123" spans="1:4" x14ac:dyDescent="0.2">
      <c r="A123" s="5">
        <v>62</v>
      </c>
      <c r="B123" s="138">
        <f>'Assets-Liab 5-6'!D39</f>
        <v>1180059</v>
      </c>
      <c r="D123" s="2" t="str">
        <f t="shared" si="0"/>
        <v>Error?</v>
      </c>
    </row>
    <row r="124" spans="1:4" x14ac:dyDescent="0.2">
      <c r="A124" s="5">
        <v>63</v>
      </c>
      <c r="B124" s="138">
        <f>'Assets-Liab 5-6'!D41</f>
        <v>7915716</v>
      </c>
      <c r="C124" s="2" t="s">
        <v>594</v>
      </c>
      <c r="D124" s="2" t="str">
        <f t="shared" si="0"/>
        <v>Error?</v>
      </c>
    </row>
    <row r="125" spans="1:4" x14ac:dyDescent="0.2">
      <c r="A125" s="10">
        <v>64</v>
      </c>
      <c r="D125" s="2" t="str">
        <f t="shared" si="0"/>
        <v>OK</v>
      </c>
    </row>
    <row r="126" spans="1:4" x14ac:dyDescent="0.2">
      <c r="A126" s="5">
        <v>65</v>
      </c>
      <c r="B126" s="138">
        <f>'Assets-Liab 5-6'!E6</f>
        <v>468550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2005775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1102601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1131180</v>
      </c>
      <c r="C139" s="2" t="s">
        <v>594</v>
      </c>
      <c r="D139" s="2" t="str">
        <f t="shared" si="1"/>
        <v>Error?</v>
      </c>
    </row>
    <row r="140" spans="1:4" x14ac:dyDescent="0.2">
      <c r="A140" s="5">
        <v>79</v>
      </c>
      <c r="B140" s="138">
        <f>'Assets-Liab 5-6'!E39</f>
        <v>874595</v>
      </c>
      <c r="D140" s="2" t="str">
        <f t="shared" si="1"/>
        <v>Error?</v>
      </c>
    </row>
    <row r="141" spans="1:4" x14ac:dyDescent="0.2">
      <c r="A141" s="5">
        <v>80</v>
      </c>
      <c r="B141" s="138">
        <f>'Assets-Liab 5-6'!E41</f>
        <v>2005775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566459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3030596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1363193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1392028</v>
      </c>
      <c r="C169" s="2" t="s">
        <v>594</v>
      </c>
      <c r="D169" s="2" t="str">
        <f t="shared" si="1"/>
        <v>Error?</v>
      </c>
    </row>
    <row r="170" spans="1:4" x14ac:dyDescent="0.2">
      <c r="A170" s="5">
        <v>109</v>
      </c>
      <c r="B170" s="138">
        <f>'Assets-Liab 5-6'!F39</f>
        <v>1638568</v>
      </c>
      <c r="D170" s="2" t="str">
        <f t="shared" si="1"/>
        <v>Error?</v>
      </c>
    </row>
    <row r="171" spans="1:4" x14ac:dyDescent="0.2">
      <c r="A171" s="5">
        <v>110</v>
      </c>
      <c r="B171" s="138">
        <f>'Assets-Liab 5-6'!F41</f>
        <v>3030596</v>
      </c>
      <c r="C171" s="2" t="s">
        <v>594</v>
      </c>
      <c r="D171" s="2" t="str">
        <f t="shared" si="1"/>
        <v>Error?</v>
      </c>
    </row>
    <row r="172" spans="1:4" x14ac:dyDescent="0.2">
      <c r="A172" s="10">
        <v>111</v>
      </c>
      <c r="D172" s="2" t="str">
        <f t="shared" si="1"/>
        <v>OK</v>
      </c>
    </row>
    <row r="173" spans="1:4" x14ac:dyDescent="0.2">
      <c r="A173" s="5">
        <v>112</v>
      </c>
      <c r="B173" s="138">
        <f>'Assets-Liab 5-6'!G6</f>
        <v>475790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2161147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120104</v>
      </c>
      <c r="D184" s="2" t="str">
        <f t="shared" si="1"/>
        <v>Error?</v>
      </c>
    </row>
    <row r="185" spans="1:4" x14ac:dyDescent="0.2">
      <c r="A185" s="5">
        <v>124</v>
      </c>
      <c r="B185" s="138">
        <f>'Assets-Liab 5-6'!G32</f>
        <v>1119842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1239946</v>
      </c>
      <c r="C188" s="2" t="s">
        <v>594</v>
      </c>
      <c r="D188" s="2" t="str">
        <f t="shared" si="1"/>
        <v>Error?</v>
      </c>
    </row>
    <row r="189" spans="1:4" x14ac:dyDescent="0.2">
      <c r="A189" s="5">
        <v>128</v>
      </c>
      <c r="B189" s="138">
        <f>'Assets-Liab 5-6'!G39</f>
        <v>921201</v>
      </c>
      <c r="D189" s="2" t="str">
        <f t="shared" si="1"/>
        <v>Error?</v>
      </c>
    </row>
    <row r="190" spans="1:4" x14ac:dyDescent="0.2">
      <c r="A190" s="5">
        <v>129</v>
      </c>
      <c r="B190" s="138">
        <f>'Assets-Liab 5-6'!G41</f>
        <v>2161147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10308755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58005</v>
      </c>
      <c r="C211" s="2" t="s">
        <v>594</v>
      </c>
      <c r="D211" s="2" t="str">
        <f t="shared" si="2"/>
        <v>Error?</v>
      </c>
    </row>
    <row r="212" spans="1:4" x14ac:dyDescent="0.2">
      <c r="A212" s="5">
        <v>151</v>
      </c>
      <c r="B212" s="138">
        <f>'Assets-Liab 5-6'!H39</f>
        <v>10250750</v>
      </c>
      <c r="D212" s="2" t="str">
        <f t="shared" si="2"/>
        <v>Error?</v>
      </c>
    </row>
    <row r="213" spans="1:4" x14ac:dyDescent="0.2">
      <c r="A213" s="12">
        <v>152</v>
      </c>
      <c r="B213" s="138">
        <f>'Assets-Liab 5-6'!H41</f>
        <v>10308755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127188</v>
      </c>
      <c r="D273" s="2" t="str">
        <f t="shared" si="3"/>
        <v>Error?</v>
      </c>
    </row>
    <row r="274" spans="1:4" x14ac:dyDescent="0.2">
      <c r="A274" s="5">
        <v>213</v>
      </c>
      <c r="B274" s="138">
        <f>'Assets-Liab 5-6'!M17</f>
        <v>91753337</v>
      </c>
      <c r="D274" s="2" t="str">
        <f t="shared" si="3"/>
        <v>Error?</v>
      </c>
    </row>
    <row r="275" spans="1:4" x14ac:dyDescent="0.2">
      <c r="A275" s="5">
        <v>214</v>
      </c>
      <c r="B275" s="138">
        <f>'Assets-Liab 5-6'!M18</f>
        <v>2914525</v>
      </c>
      <c r="D275" s="2" t="str">
        <f t="shared" si="3"/>
        <v>Error?</v>
      </c>
    </row>
    <row r="276" spans="1:4" x14ac:dyDescent="0.2">
      <c r="A276" s="5">
        <v>215</v>
      </c>
      <c r="B276" s="138">
        <f>'Assets-Liab 5-6'!M19</f>
        <v>29919905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124714955</v>
      </c>
      <c r="C279" s="2" t="s">
        <v>594</v>
      </c>
      <c r="D279" s="2" t="str">
        <f t="shared" si="3"/>
        <v>Error?</v>
      </c>
    </row>
    <row r="280" spans="1:4" x14ac:dyDescent="0.2">
      <c r="A280" s="5">
        <v>219</v>
      </c>
      <c r="B280" s="138">
        <f>'Assets-Liab 5-6'!M40</f>
        <v>124714955</v>
      </c>
      <c r="D280" s="2" t="str">
        <f t="shared" si="3"/>
        <v>Error?</v>
      </c>
    </row>
    <row r="281" spans="1:4" x14ac:dyDescent="0.2">
      <c r="A281" s="5">
        <v>220</v>
      </c>
      <c r="B281" s="138">
        <f>'Assets-Liab 5-6'!M41</f>
        <v>124714955</v>
      </c>
      <c r="C281" s="2" t="s">
        <v>594</v>
      </c>
      <c r="D281" s="2" t="str">
        <f t="shared" si="3"/>
        <v>Error?</v>
      </c>
    </row>
    <row r="282" spans="1:4" x14ac:dyDescent="0.2">
      <c r="A282" s="5">
        <v>221</v>
      </c>
      <c r="B282" s="138">
        <f>'Assets-Liab 5-6'!N21</f>
        <v>874595</v>
      </c>
      <c r="D282" s="2" t="str">
        <f t="shared" si="3"/>
        <v>Error?</v>
      </c>
    </row>
    <row r="283" spans="1:4" x14ac:dyDescent="0.2">
      <c r="A283" s="5">
        <v>222</v>
      </c>
      <c r="B283" s="138">
        <f>'Assets-Liab 5-6'!N22</f>
        <v>19755405</v>
      </c>
      <c r="D283" s="2" t="str">
        <f t="shared" si="3"/>
        <v>Error?</v>
      </c>
    </row>
    <row r="284" spans="1:4" x14ac:dyDescent="0.2">
      <c r="A284" s="5">
        <v>223</v>
      </c>
      <c r="B284" s="138">
        <f>'Assets-Liab 5-6'!N23</f>
        <v>20630000</v>
      </c>
      <c r="C284" s="2" t="s">
        <v>594</v>
      </c>
      <c r="D284" s="2" t="str">
        <f t="shared" si="3"/>
        <v>Error?</v>
      </c>
    </row>
    <row r="285" spans="1:4" x14ac:dyDescent="0.2">
      <c r="A285" s="5">
        <v>224</v>
      </c>
      <c r="B285" s="138">
        <f>'Assets-Liab 5-6'!N36</f>
        <v>20630000</v>
      </c>
      <c r="D285" s="2" t="str">
        <f t="shared" si="3"/>
        <v>Error?</v>
      </c>
    </row>
    <row r="286" spans="1:4" x14ac:dyDescent="0.2">
      <c r="A286" s="10">
        <v>225</v>
      </c>
      <c r="D286" s="2" t="str">
        <f t="shared" si="3"/>
        <v>OK</v>
      </c>
    </row>
    <row r="287" spans="1:4" x14ac:dyDescent="0.2">
      <c r="A287" s="5">
        <v>226</v>
      </c>
      <c r="B287" s="138">
        <f>'Assets-Liab 5-6'!N37</f>
        <v>20630000</v>
      </c>
      <c r="C287" s="2" t="s">
        <v>594</v>
      </c>
      <c r="D287" s="2" t="str">
        <f t="shared" si="3"/>
        <v>Error?</v>
      </c>
    </row>
    <row r="288" spans="1:4" x14ac:dyDescent="0.2">
      <c r="A288" s="5">
        <v>227</v>
      </c>
      <c r="B288" s="138">
        <f>'Assets-Liab 5-6'!N41</f>
        <v>20630000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16186041</v>
      </c>
      <c r="D705" s="2" t="str">
        <f t="shared" si="10"/>
        <v>Error?</v>
      </c>
    </row>
    <row r="706" spans="1:4" x14ac:dyDescent="0.2">
      <c r="A706" s="5">
        <v>645</v>
      </c>
      <c r="B706" s="138">
        <f>'Expenditures 15-22'!C16</f>
        <v>874610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397360</v>
      </c>
      <c r="D718" s="2" t="str">
        <f t="shared" si="10"/>
        <v>Error?</v>
      </c>
    </row>
    <row r="719" spans="1:4" x14ac:dyDescent="0.2">
      <c r="A719" s="5">
        <v>658</v>
      </c>
      <c r="B719" s="138">
        <f>'Expenditures 15-22'!C15</f>
        <v>53761</v>
      </c>
      <c r="D719" s="2" t="str">
        <f t="shared" si="10"/>
        <v>Error?</v>
      </c>
    </row>
    <row r="720" spans="1:4" x14ac:dyDescent="0.2">
      <c r="A720" s="5">
        <v>659</v>
      </c>
      <c r="B720" s="138">
        <f>'Expenditures 15-22'!C33</f>
        <v>22554878</v>
      </c>
      <c r="C720" s="2" t="s">
        <v>594</v>
      </c>
      <c r="D720" s="2" t="str">
        <f t="shared" si="10"/>
        <v>Error?</v>
      </c>
    </row>
    <row r="721" spans="1:4" x14ac:dyDescent="0.2">
      <c r="A721" s="5">
        <v>660</v>
      </c>
      <c r="B721" s="138">
        <f>'Expenditures 15-22'!C36</f>
        <v>644775</v>
      </c>
      <c r="D721" s="2" t="str">
        <f t="shared" si="10"/>
        <v>Error?</v>
      </c>
    </row>
    <row r="722" spans="1:4" x14ac:dyDescent="0.2">
      <c r="A722" s="5">
        <v>661</v>
      </c>
      <c r="B722" s="138">
        <f>'Expenditures 15-22'!C37</f>
        <v>215077</v>
      </c>
      <c r="D722" s="2" t="str">
        <f t="shared" si="10"/>
        <v>Error?</v>
      </c>
    </row>
    <row r="723" spans="1:4" x14ac:dyDescent="0.2">
      <c r="A723" s="5">
        <v>662</v>
      </c>
      <c r="B723" s="138">
        <f>'Expenditures 15-22'!C38</f>
        <v>321273</v>
      </c>
      <c r="D723" s="2" t="str">
        <f t="shared" si="10"/>
        <v>Error?</v>
      </c>
    </row>
    <row r="724" spans="1:4" x14ac:dyDescent="0.2">
      <c r="A724" s="5">
        <v>663</v>
      </c>
      <c r="B724" s="138">
        <f>'Expenditures 15-22'!C39</f>
        <v>154011</v>
      </c>
      <c r="D724" s="2" t="str">
        <f t="shared" si="10"/>
        <v>Error?</v>
      </c>
    </row>
    <row r="725" spans="1:4" x14ac:dyDescent="0.2">
      <c r="A725" s="5">
        <v>664</v>
      </c>
      <c r="B725" s="138">
        <f>'Expenditures 15-22'!C40</f>
        <v>929112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2264248</v>
      </c>
      <c r="C727" s="2" t="s">
        <v>594</v>
      </c>
      <c r="D727" s="2" t="str">
        <f t="shared" si="10"/>
        <v>Error?</v>
      </c>
    </row>
    <row r="728" spans="1:4" x14ac:dyDescent="0.2">
      <c r="A728" s="5">
        <v>667</v>
      </c>
      <c r="B728" s="138">
        <f>'Expenditures 15-22'!C44</f>
        <v>2037055</v>
      </c>
      <c r="D728" s="2" t="str">
        <f t="shared" si="10"/>
        <v>Error?</v>
      </c>
    </row>
    <row r="729" spans="1:4" x14ac:dyDescent="0.2">
      <c r="A729" s="5">
        <v>668</v>
      </c>
      <c r="B729" s="138">
        <f>'Expenditures 15-22'!C45</f>
        <v>739027</v>
      </c>
      <c r="D729" s="2" t="str">
        <f t="shared" si="10"/>
        <v>Error?</v>
      </c>
    </row>
    <row r="730" spans="1:4" x14ac:dyDescent="0.2">
      <c r="A730" s="5">
        <v>669</v>
      </c>
      <c r="B730" s="138">
        <f>'Expenditures 15-22'!C46</f>
        <v>339681</v>
      </c>
      <c r="D730" s="2" t="str">
        <f t="shared" si="10"/>
        <v>Error?</v>
      </c>
    </row>
    <row r="731" spans="1:4" x14ac:dyDescent="0.2">
      <c r="A731" s="5">
        <v>670</v>
      </c>
      <c r="B731" s="138">
        <f>'Expenditures 15-22'!C47</f>
        <v>3115763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719536</v>
      </c>
      <c r="D733" s="2" t="str">
        <f t="shared" si="10"/>
        <v>Error?</v>
      </c>
    </row>
    <row r="734" spans="1:4" x14ac:dyDescent="0.2">
      <c r="A734" s="5">
        <v>673</v>
      </c>
      <c r="B734" s="138">
        <f>'Expenditures 15-22'!C53</f>
        <v>719536</v>
      </c>
      <c r="C734" s="2" t="s">
        <v>594</v>
      </c>
      <c r="D734" s="2" t="str">
        <f t="shared" si="10"/>
        <v>Error?</v>
      </c>
    </row>
    <row r="735" spans="1:4" x14ac:dyDescent="0.2">
      <c r="A735" s="5">
        <v>674</v>
      </c>
      <c r="B735" s="138">
        <f>'Expenditures 15-22'!C55</f>
        <v>1726243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1726243</v>
      </c>
      <c r="C737" s="2" t="s">
        <v>594</v>
      </c>
      <c r="D737" s="2" t="str">
        <f t="shared" si="10"/>
        <v>Error?</v>
      </c>
    </row>
    <row r="738" spans="1:4" x14ac:dyDescent="0.2">
      <c r="A738" s="5">
        <v>677</v>
      </c>
      <c r="B738" s="138">
        <f>'Expenditures 15-22'!C59</f>
        <v>534740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313506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848246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3500</v>
      </c>
      <c r="D751" s="2" t="str">
        <f t="shared" si="10"/>
        <v>Error?</v>
      </c>
    </row>
    <row r="752" spans="1:4" x14ac:dyDescent="0.2">
      <c r="A752" s="10">
        <v>691</v>
      </c>
      <c r="D752" s="2" t="str">
        <f t="shared" si="10"/>
        <v>OK</v>
      </c>
    </row>
    <row r="753" spans="1:4" x14ac:dyDescent="0.2">
      <c r="A753" s="5">
        <v>692</v>
      </c>
      <c r="B753" s="138">
        <f>'Expenditures 15-22'!C72</f>
        <v>3500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8677536</v>
      </c>
      <c r="C755" s="2" t="s">
        <v>594</v>
      </c>
      <c r="D755" s="2" t="str">
        <f t="shared" si="10"/>
        <v>Error?</v>
      </c>
    </row>
    <row r="756" spans="1:4" x14ac:dyDescent="0.2">
      <c r="A756" s="5">
        <v>695</v>
      </c>
      <c r="B756" s="138">
        <f>'Expenditures 15-22'!C75</f>
        <v>152598</v>
      </c>
      <c r="D756" s="2" t="str">
        <f t="shared" si="10"/>
        <v>Error?</v>
      </c>
    </row>
    <row r="757" spans="1:4" x14ac:dyDescent="0.2">
      <c r="A757" s="5">
        <v>696</v>
      </c>
      <c r="B757" s="138">
        <f>'Expenditures 15-22'!C114</f>
        <v>31385012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2566952</v>
      </c>
      <c r="D763" s="2" t="str">
        <f t="shared" si="10"/>
        <v>Error?</v>
      </c>
    </row>
    <row r="764" spans="1:4" x14ac:dyDescent="0.2">
      <c r="A764" s="5">
        <v>703</v>
      </c>
      <c r="B764" s="138">
        <f>'Expenditures 15-22'!D16</f>
        <v>145499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4792</v>
      </c>
      <c r="D776" s="2" t="str">
        <f t="shared" si="11"/>
        <v>Error?</v>
      </c>
    </row>
    <row r="777" spans="1:4" x14ac:dyDescent="0.2">
      <c r="A777" s="5">
        <v>716</v>
      </c>
      <c r="B777" s="138">
        <f>'Expenditures 15-22'!D15</f>
        <v>503</v>
      </c>
      <c r="D777" s="2" t="str">
        <f t="shared" si="11"/>
        <v>Error?</v>
      </c>
    </row>
    <row r="778" spans="1:4" x14ac:dyDescent="0.2">
      <c r="A778" s="5">
        <v>717</v>
      </c>
      <c r="B778" s="138">
        <f>'Expenditures 15-22'!D33</f>
        <v>3860998</v>
      </c>
      <c r="C778" s="2" t="s">
        <v>594</v>
      </c>
      <c r="D778" s="2" t="str">
        <f t="shared" si="11"/>
        <v>Error?</v>
      </c>
    </row>
    <row r="779" spans="1:4" x14ac:dyDescent="0.2">
      <c r="A779" s="5">
        <v>718</v>
      </c>
      <c r="B779" s="138">
        <f>'Expenditures 15-22'!D36</f>
        <v>119881</v>
      </c>
      <c r="D779" s="2" t="str">
        <f t="shared" si="11"/>
        <v>Error?</v>
      </c>
    </row>
    <row r="780" spans="1:4" x14ac:dyDescent="0.2">
      <c r="A780" s="5">
        <v>719</v>
      </c>
      <c r="B780" s="138">
        <f>'Expenditures 15-22'!D37</f>
        <v>43194</v>
      </c>
      <c r="D780" s="2" t="str">
        <f t="shared" si="11"/>
        <v>Error?</v>
      </c>
    </row>
    <row r="781" spans="1:4" x14ac:dyDescent="0.2">
      <c r="A781" s="5">
        <v>720</v>
      </c>
      <c r="B781" s="138">
        <f>'Expenditures 15-22'!D38</f>
        <v>88650</v>
      </c>
      <c r="D781" s="2" t="str">
        <f t="shared" si="11"/>
        <v>Error?</v>
      </c>
    </row>
    <row r="782" spans="1:4" x14ac:dyDescent="0.2">
      <c r="A782" s="5">
        <v>721</v>
      </c>
      <c r="B782" s="138">
        <f>'Expenditures 15-22'!D39</f>
        <v>31369</v>
      </c>
      <c r="D782" s="2" t="str">
        <f t="shared" si="11"/>
        <v>Error?</v>
      </c>
    </row>
    <row r="783" spans="1:4" x14ac:dyDescent="0.2">
      <c r="A783" s="5">
        <v>722</v>
      </c>
      <c r="B783" s="138">
        <f>'Expenditures 15-22'!D40</f>
        <v>138312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421406</v>
      </c>
      <c r="C785" s="2" t="s">
        <v>594</v>
      </c>
      <c r="D785" s="2" t="str">
        <f t="shared" si="11"/>
        <v>Error?</v>
      </c>
    </row>
    <row r="786" spans="1:4" x14ac:dyDescent="0.2">
      <c r="A786" s="5">
        <v>725</v>
      </c>
      <c r="B786" s="138">
        <f>'Expenditures 15-22'!D44</f>
        <v>183611</v>
      </c>
      <c r="D786" s="2" t="str">
        <f t="shared" si="11"/>
        <v>Error?</v>
      </c>
    </row>
    <row r="787" spans="1:4" x14ac:dyDescent="0.2">
      <c r="A787" s="5">
        <v>726</v>
      </c>
      <c r="B787" s="138">
        <f>'Expenditures 15-22'!D45</f>
        <v>159304</v>
      </c>
      <c r="D787" s="2" t="str">
        <f t="shared" si="11"/>
        <v>Error?</v>
      </c>
    </row>
    <row r="788" spans="1:4" x14ac:dyDescent="0.2">
      <c r="A788" s="5">
        <v>727</v>
      </c>
      <c r="B788" s="138">
        <f>'Expenditures 15-22'!D46</f>
        <v>80389</v>
      </c>
      <c r="D788" s="2" t="str">
        <f t="shared" si="11"/>
        <v>Error?</v>
      </c>
    </row>
    <row r="789" spans="1:4" x14ac:dyDescent="0.2">
      <c r="A789" s="5">
        <v>728</v>
      </c>
      <c r="B789" s="138">
        <f>'Expenditures 15-22'!D47</f>
        <v>423304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121615</v>
      </c>
      <c r="D791" s="2" t="str">
        <f t="shared" si="11"/>
        <v>Error?</v>
      </c>
    </row>
    <row r="792" spans="1:4" x14ac:dyDescent="0.2">
      <c r="A792" s="5">
        <v>731</v>
      </c>
      <c r="B792" s="138">
        <f>'Expenditures 15-22'!D53</f>
        <v>121615</v>
      </c>
      <c r="C792" s="2" t="s">
        <v>594</v>
      </c>
      <c r="D792" s="2" t="str">
        <f t="shared" si="11"/>
        <v>Error?</v>
      </c>
    </row>
    <row r="793" spans="1:4" x14ac:dyDescent="0.2">
      <c r="A793" s="5">
        <v>732</v>
      </c>
      <c r="B793" s="138">
        <f>'Expenditures 15-22'!D55</f>
        <v>420845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420845</v>
      </c>
      <c r="C795" s="2" t="s">
        <v>594</v>
      </c>
      <c r="D795" s="2" t="str">
        <f t="shared" si="11"/>
        <v>Error?</v>
      </c>
    </row>
    <row r="796" spans="1:4" x14ac:dyDescent="0.2">
      <c r="A796" s="5">
        <v>735</v>
      </c>
      <c r="B796" s="138">
        <f>'Expenditures 15-22'!D59</f>
        <v>107459</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108232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405</v>
      </c>
      <c r="D809" s="2" t="str">
        <f t="shared" si="11"/>
        <v>Error?</v>
      </c>
    </row>
    <row r="810" spans="1:4" x14ac:dyDescent="0.2">
      <c r="A810" s="10">
        <v>749</v>
      </c>
      <c r="D810" s="2" t="str">
        <f t="shared" si="11"/>
        <v>OK</v>
      </c>
    </row>
    <row r="811" spans="1:4" x14ac:dyDescent="0.2">
      <c r="A811" s="5">
        <v>750</v>
      </c>
      <c r="B811" s="138">
        <f>'Expenditures 15-22'!D72</f>
        <v>405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1495807</v>
      </c>
      <c r="C813" s="2" t="s">
        <v>594</v>
      </c>
      <c r="D813" s="2" t="str">
        <f t="shared" si="11"/>
        <v>Error?</v>
      </c>
    </row>
    <row r="814" spans="1:4" x14ac:dyDescent="0.2">
      <c r="A814" s="5">
        <v>753</v>
      </c>
      <c r="B814" s="138">
        <f>'Expenditures 15-22'!D75</f>
        <v>37467</v>
      </c>
      <c r="D814" s="2" t="str">
        <f t="shared" si="11"/>
        <v>Error?</v>
      </c>
    </row>
    <row r="815" spans="1:4" x14ac:dyDescent="0.2">
      <c r="A815" s="5">
        <v>754</v>
      </c>
      <c r="B815" s="138">
        <f>'Expenditures 15-22'!D114</f>
        <v>5394272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164523</v>
      </c>
      <c r="D821" s="2" t="str">
        <f t="shared" si="11"/>
        <v>Error?</v>
      </c>
    </row>
    <row r="822" spans="1:4" x14ac:dyDescent="0.2">
      <c r="A822" s="5">
        <v>761</v>
      </c>
      <c r="B822" s="138">
        <f>'Expenditures 15-22'!E16</f>
        <v>514</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14036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273781</v>
      </c>
      <c r="C836" s="2" t="s">
        <v>594</v>
      </c>
      <c r="D836" s="2" t="str">
        <f t="shared" si="12"/>
        <v>Error?</v>
      </c>
    </row>
    <row r="837" spans="1:4" x14ac:dyDescent="0.2">
      <c r="A837" s="5">
        <v>776</v>
      </c>
      <c r="B837" s="138">
        <f>'Expenditures 15-22'!E36</f>
        <v>12624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4000</v>
      </c>
      <c r="D840" s="2" t="str">
        <f t="shared" si="12"/>
        <v>Error?</v>
      </c>
    </row>
    <row r="841" spans="1:4" x14ac:dyDescent="0.2">
      <c r="A841" s="5">
        <v>780</v>
      </c>
      <c r="B841" s="138">
        <f>'Expenditures 15-22'!E40</f>
        <v>574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17198</v>
      </c>
      <c r="C843" s="2" t="s">
        <v>594</v>
      </c>
      <c r="D843" s="2" t="str">
        <f t="shared" si="12"/>
        <v>Error?</v>
      </c>
    </row>
    <row r="844" spans="1:4" x14ac:dyDescent="0.2">
      <c r="A844" s="5">
        <v>783</v>
      </c>
      <c r="B844" s="138">
        <f>'Expenditures 15-22'!E44</f>
        <v>374874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119463</v>
      </c>
      <c r="D846" s="2" t="str">
        <f t="shared" si="12"/>
        <v>Error?</v>
      </c>
    </row>
    <row r="847" spans="1:4" x14ac:dyDescent="0.2">
      <c r="A847" s="5">
        <v>786</v>
      </c>
      <c r="B847" s="138">
        <f>'Expenditures 15-22'!E47</f>
        <v>494337</v>
      </c>
      <c r="C847" s="2" t="s">
        <v>594</v>
      </c>
      <c r="D847" s="2" t="str">
        <f t="shared" si="12"/>
        <v>Error?</v>
      </c>
    </row>
    <row r="848" spans="1:4" x14ac:dyDescent="0.2">
      <c r="A848" s="5">
        <v>787</v>
      </c>
      <c r="B848" s="138">
        <f>'Expenditures 15-22'!E49</f>
        <v>820403</v>
      </c>
      <c r="D848" s="2" t="str">
        <f t="shared" si="12"/>
        <v>Error?</v>
      </c>
    </row>
    <row r="849" spans="1:4" x14ac:dyDescent="0.2">
      <c r="A849" s="5">
        <v>788</v>
      </c>
      <c r="B849" s="138">
        <f>'Expenditures 15-22'!E50</f>
        <v>206733</v>
      </c>
      <c r="D849" s="2" t="str">
        <f t="shared" si="12"/>
        <v>Error?</v>
      </c>
    </row>
    <row r="850" spans="1:4" x14ac:dyDescent="0.2">
      <c r="A850" s="5">
        <v>789</v>
      </c>
      <c r="B850" s="138">
        <f>'Expenditures 15-22'!E53</f>
        <v>1027136</v>
      </c>
      <c r="C850" s="2" t="s">
        <v>594</v>
      </c>
      <c r="D850" s="2" t="str">
        <f t="shared" si="12"/>
        <v>Error?</v>
      </c>
    </row>
    <row r="851" spans="1:4" x14ac:dyDescent="0.2">
      <c r="A851" s="5">
        <v>790</v>
      </c>
      <c r="B851" s="138">
        <f>'Expenditures 15-22'!E55</f>
        <v>23720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23720</v>
      </c>
      <c r="C853" s="2" t="s">
        <v>594</v>
      </c>
      <c r="D853" s="2" t="str">
        <f t="shared" si="12"/>
        <v>Error?</v>
      </c>
    </row>
    <row r="854" spans="1:4" x14ac:dyDescent="0.2">
      <c r="A854" s="5">
        <v>793</v>
      </c>
      <c r="B854" s="138">
        <f>'Expenditures 15-22'!E59</f>
        <v>51487</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51487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886505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24708</v>
      </c>
      <c r="D867" s="2" t="str">
        <f t="shared" si="12"/>
        <v>Error?</v>
      </c>
    </row>
    <row r="868" spans="1:4" x14ac:dyDescent="0.2">
      <c r="A868" s="10">
        <v>807</v>
      </c>
      <c r="D868" s="2" t="str">
        <f t="shared" si="12"/>
        <v>OK</v>
      </c>
    </row>
    <row r="869" spans="1:4" x14ac:dyDescent="0.2">
      <c r="A869" s="5">
        <v>808</v>
      </c>
      <c r="B869" s="138">
        <f>'Expenditures 15-22'!E72</f>
        <v>911213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2525091</v>
      </c>
      <c r="C871" s="2" t="s">
        <v>594</v>
      </c>
      <c r="D871" s="2" t="str">
        <f t="shared" si="12"/>
        <v>Error?</v>
      </c>
    </row>
    <row r="872" spans="1:4" x14ac:dyDescent="0.2">
      <c r="A872" s="5">
        <v>811</v>
      </c>
      <c r="B872" s="138">
        <f>'Expenditures 15-22'!E75</f>
        <v>1365</v>
      </c>
      <c r="D872" s="2" t="str">
        <f t="shared" si="12"/>
        <v>Error?</v>
      </c>
    </row>
    <row r="873" spans="1:4" x14ac:dyDescent="0.2">
      <c r="A873" s="5">
        <v>812</v>
      </c>
      <c r="B873" s="138">
        <f>'Expenditures 15-22'!E114</f>
        <v>3142252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490857</v>
      </c>
      <c r="D879" s="2" t="str">
        <f t="shared" si="12"/>
        <v>Error?</v>
      </c>
    </row>
    <row r="880" spans="1:4" x14ac:dyDescent="0.2">
      <c r="A880" s="5">
        <v>819</v>
      </c>
      <c r="B880" s="138">
        <f>'Expenditures 15-22'!F16</f>
        <v>309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8050</v>
      </c>
      <c r="D892" s="2" t="str">
        <f t="shared" si="12"/>
        <v>Error?</v>
      </c>
    </row>
    <row r="893" spans="1:4" x14ac:dyDescent="0.2">
      <c r="A893" s="5">
        <v>832</v>
      </c>
      <c r="B893" s="138">
        <f>'Expenditures 15-22'!F15</f>
        <v>431</v>
      </c>
      <c r="D893" s="2" t="str">
        <f t="shared" si="12"/>
        <v>Error?</v>
      </c>
    </row>
    <row r="894" spans="1:4" x14ac:dyDescent="0.2">
      <c r="A894" s="5">
        <v>833</v>
      </c>
      <c r="B894" s="138">
        <f>'Expenditures 15-22'!F33</f>
        <v>592473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5293</v>
      </c>
      <c r="D897" s="2" t="str">
        <f t="shared" si="13"/>
        <v>Error?</v>
      </c>
    </row>
    <row r="898" spans="1:4" x14ac:dyDescent="0.2">
      <c r="A898" s="5">
        <v>837</v>
      </c>
      <c r="B898" s="138">
        <f>'Expenditures 15-22'!F39</f>
        <v>8335</v>
      </c>
      <c r="D898" s="2" t="str">
        <f t="shared" si="13"/>
        <v>Error?</v>
      </c>
    </row>
    <row r="899" spans="1:4" x14ac:dyDescent="0.2">
      <c r="A899" s="5">
        <v>838</v>
      </c>
      <c r="B899" s="138">
        <f>'Expenditures 15-22'!F40</f>
        <v>2201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15829</v>
      </c>
      <c r="C901" s="2" t="s">
        <v>594</v>
      </c>
      <c r="D901" s="2" t="str">
        <f t="shared" si="13"/>
        <v>Error?</v>
      </c>
    </row>
    <row r="902" spans="1:4" x14ac:dyDescent="0.2">
      <c r="A902" s="5">
        <v>841</v>
      </c>
      <c r="B902" s="138">
        <f>'Expenditures 15-22'!F44</f>
        <v>51691</v>
      </c>
      <c r="D902" s="2" t="str">
        <f t="shared" si="13"/>
        <v>Error?</v>
      </c>
    </row>
    <row r="903" spans="1:4" x14ac:dyDescent="0.2">
      <c r="A903" s="5">
        <v>842</v>
      </c>
      <c r="B903" s="138">
        <f>'Expenditures 15-22'!F45</f>
        <v>43345</v>
      </c>
      <c r="D903" s="2" t="str">
        <f t="shared" si="13"/>
        <v>Error?</v>
      </c>
    </row>
    <row r="904" spans="1:4" x14ac:dyDescent="0.2">
      <c r="A904" s="5">
        <v>843</v>
      </c>
      <c r="B904" s="138">
        <f>'Expenditures 15-22'!F46</f>
        <v>5157</v>
      </c>
      <c r="D904" s="2" t="str">
        <f t="shared" si="13"/>
        <v>Error?</v>
      </c>
    </row>
    <row r="905" spans="1:4" x14ac:dyDescent="0.2">
      <c r="A905" s="5">
        <v>844</v>
      </c>
      <c r="B905" s="138">
        <f>'Expenditures 15-22'!F47</f>
        <v>100193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17346</v>
      </c>
      <c r="D907" s="2" t="str">
        <f t="shared" si="13"/>
        <v>Error?</v>
      </c>
    </row>
    <row r="908" spans="1:4" x14ac:dyDescent="0.2">
      <c r="A908" s="5">
        <v>847</v>
      </c>
      <c r="B908" s="138">
        <f>'Expenditures 15-22'!F53</f>
        <v>17346</v>
      </c>
      <c r="C908" s="2" t="s">
        <v>594</v>
      </c>
      <c r="D908" s="2" t="str">
        <f t="shared" si="13"/>
        <v>Error?</v>
      </c>
    </row>
    <row r="909" spans="1:4" x14ac:dyDescent="0.2">
      <c r="A909" s="5">
        <v>848</v>
      </c>
      <c r="B909" s="138">
        <f>'Expenditures 15-22'!F55</f>
        <v>6292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6292</v>
      </c>
      <c r="C911" s="2" t="s">
        <v>594</v>
      </c>
      <c r="D911" s="2" t="str">
        <f t="shared" si="13"/>
        <v>Error?</v>
      </c>
    </row>
    <row r="912" spans="1:4" x14ac:dyDescent="0.2">
      <c r="A912" s="5">
        <v>851</v>
      </c>
      <c r="B912" s="138">
        <f>'Expenditures 15-22'!F59</f>
        <v>6151</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35929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42080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532125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2200</v>
      </c>
      <c r="D925" s="2" t="str">
        <f t="shared" si="13"/>
        <v>Error?</v>
      </c>
    </row>
    <row r="926" spans="1:4" x14ac:dyDescent="0.2">
      <c r="A926" s="10">
        <v>865</v>
      </c>
      <c r="D926" s="2" t="str">
        <f t="shared" si="13"/>
        <v>OK</v>
      </c>
    </row>
    <row r="927" spans="1:4" x14ac:dyDescent="0.2">
      <c r="A927" s="5">
        <v>866</v>
      </c>
      <c r="B927" s="138">
        <f>'Expenditures 15-22'!F72</f>
        <v>534325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716065</v>
      </c>
      <c r="C929" s="2" t="s">
        <v>594</v>
      </c>
      <c r="D929" s="2" t="str">
        <f t="shared" si="13"/>
        <v>Error?</v>
      </c>
    </row>
    <row r="930" spans="1:4" x14ac:dyDescent="0.2">
      <c r="A930" s="5">
        <v>869</v>
      </c>
      <c r="B930" s="138">
        <f>'Expenditures 15-22'!F75</f>
        <v>160</v>
      </c>
      <c r="D930" s="2" t="str">
        <f t="shared" si="13"/>
        <v>Error?</v>
      </c>
    </row>
    <row r="931" spans="1:4" x14ac:dyDescent="0.2">
      <c r="A931" s="5">
        <v>870</v>
      </c>
      <c r="B931" s="138">
        <f>'Expenditures 15-22'!F114</f>
        <v>1308698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4353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16181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23299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23299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4198</v>
      </c>
      <c r="D965" s="2" t="str">
        <f t="shared" si="14"/>
        <v>Error?</v>
      </c>
    </row>
    <row r="966" spans="1:4" x14ac:dyDescent="0.2">
      <c r="A966" s="5">
        <v>905</v>
      </c>
      <c r="B966" s="138">
        <f>'Expenditures 15-22'!G53</f>
        <v>4198</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833444</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833444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860941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877122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233515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279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279</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156039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389833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19412726</v>
      </c>
      <c r="C1093" s="2" t="s">
        <v>594</v>
      </c>
      <c r="D1093" s="2" t="str">
        <f t="shared" si="16"/>
        <v>Error?</v>
      </c>
    </row>
    <row r="1094" spans="1:4" x14ac:dyDescent="0.2">
      <c r="A1094" s="5">
        <v>1033</v>
      </c>
      <c r="B1094" s="138">
        <f>'Expenditures 15-22'!K16</f>
        <v>1020932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424238</v>
      </c>
      <c r="C1106" s="2" t="s">
        <v>594</v>
      </c>
      <c r="D1106" s="2" t="str">
        <f t="shared" si="16"/>
        <v>Error?</v>
      </c>
    </row>
    <row r="1107" spans="1:4" x14ac:dyDescent="0.2">
      <c r="A1107" s="5">
        <v>1046</v>
      </c>
      <c r="B1107" s="138">
        <f>'Expenditures 15-22'!K15</f>
        <v>54695</v>
      </c>
      <c r="C1107" s="2" t="s">
        <v>594</v>
      </c>
      <c r="D1107" s="2" t="str">
        <f t="shared" si="16"/>
        <v>Error?</v>
      </c>
    </row>
    <row r="1108" spans="1:4" x14ac:dyDescent="0.2">
      <c r="A1108" s="5">
        <v>1047</v>
      </c>
      <c r="B1108" s="138">
        <f>'Expenditures 15-22'!K33</f>
        <v>27531826</v>
      </c>
      <c r="C1108" s="2" t="s">
        <v>594</v>
      </c>
      <c r="D1108" s="2" t="str">
        <f t="shared" si="16"/>
        <v>Error?</v>
      </c>
    </row>
    <row r="1109" spans="1:4" x14ac:dyDescent="0.2">
      <c r="A1109" s="5">
        <v>1048</v>
      </c>
      <c r="B1109" s="138">
        <f>'Expenditures 15-22'!K36</f>
        <v>777280</v>
      </c>
      <c r="C1109" s="2" t="s">
        <v>594</v>
      </c>
      <c r="D1109" s="2" t="str">
        <f t="shared" si="16"/>
        <v>Error?</v>
      </c>
    </row>
    <row r="1110" spans="1:4" x14ac:dyDescent="0.2">
      <c r="A1110" s="5">
        <v>1049</v>
      </c>
      <c r="B1110" s="138">
        <f>'Expenditures 15-22'!K37</f>
        <v>258271</v>
      </c>
      <c r="C1110" s="2" t="s">
        <v>594</v>
      </c>
      <c r="D1110" s="2" t="str">
        <f t="shared" si="16"/>
        <v>Error?</v>
      </c>
    </row>
    <row r="1111" spans="1:4" x14ac:dyDescent="0.2">
      <c r="A1111" s="5">
        <v>1050</v>
      </c>
      <c r="B1111" s="138">
        <f>'Expenditures 15-22'!K38</f>
        <v>415216</v>
      </c>
      <c r="C1111" s="2" t="s">
        <v>594</v>
      </c>
      <c r="D1111" s="2" t="str">
        <f t="shared" si="16"/>
        <v>Error?</v>
      </c>
    </row>
    <row r="1112" spans="1:4" x14ac:dyDescent="0.2">
      <c r="A1112" s="5">
        <v>1051</v>
      </c>
      <c r="B1112" s="138">
        <f>'Expenditures 15-22'!K39</f>
        <v>197715</v>
      </c>
      <c r="C1112" s="2" t="s">
        <v>594</v>
      </c>
      <c r="D1112" s="2" t="str">
        <f t="shared" si="16"/>
        <v>Error?</v>
      </c>
    </row>
    <row r="1113" spans="1:4" x14ac:dyDescent="0.2">
      <c r="A1113" s="5">
        <v>1052</v>
      </c>
      <c r="B1113" s="138">
        <f>'Expenditures 15-22'!K40</f>
        <v>1070199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2718681</v>
      </c>
      <c r="C1115" s="2" t="s">
        <v>594</v>
      </c>
      <c r="D1115" s="2" t="str">
        <f t="shared" si="16"/>
        <v>Error?</v>
      </c>
    </row>
    <row r="1116" spans="1:4" x14ac:dyDescent="0.2">
      <c r="A1116" s="5">
        <v>1055</v>
      </c>
      <c r="B1116" s="138">
        <f>'Expenditures 15-22'!K44</f>
        <v>2647510</v>
      </c>
      <c r="C1116" s="2" t="s">
        <v>594</v>
      </c>
      <c r="D1116" s="2" t="str">
        <f t="shared" si="16"/>
        <v>Error?</v>
      </c>
    </row>
    <row r="1117" spans="1:4" x14ac:dyDescent="0.2">
      <c r="A1117" s="5">
        <v>1056</v>
      </c>
      <c r="B1117" s="138">
        <f>'Expenditures 15-22'!K45</f>
        <v>964975</v>
      </c>
      <c r="C1117" s="2" t="s">
        <v>594</v>
      </c>
      <c r="D1117" s="2" t="str">
        <f t="shared" si="16"/>
        <v>Error?</v>
      </c>
    </row>
    <row r="1118" spans="1:4" x14ac:dyDescent="0.2">
      <c r="A1118" s="5">
        <v>1057</v>
      </c>
      <c r="B1118" s="138">
        <f>'Expenditures 15-22'!K46</f>
        <v>544690</v>
      </c>
      <c r="C1118" s="2" t="s">
        <v>594</v>
      </c>
      <c r="D1118" s="2" t="str">
        <f t="shared" si="16"/>
        <v>Error?</v>
      </c>
    </row>
    <row r="1119" spans="1:4" x14ac:dyDescent="0.2">
      <c r="A1119" s="5">
        <v>1058</v>
      </c>
      <c r="B1119" s="138">
        <f>'Expenditures 15-22'!K47</f>
        <v>4157175</v>
      </c>
      <c r="C1119" s="2" t="s">
        <v>594</v>
      </c>
      <c r="D1119" s="2" t="str">
        <f t="shared" si="16"/>
        <v>Error?</v>
      </c>
    </row>
    <row r="1120" spans="1:4" x14ac:dyDescent="0.2">
      <c r="A1120" s="5">
        <v>1059</v>
      </c>
      <c r="B1120" s="138">
        <f>'Expenditures 15-22'!K49</f>
        <v>820403</v>
      </c>
      <c r="C1120" s="2" t="s">
        <v>594</v>
      </c>
      <c r="D1120" s="2" t="str">
        <f t="shared" si="16"/>
        <v>Error?</v>
      </c>
    </row>
    <row r="1121" spans="1:4" x14ac:dyDescent="0.2">
      <c r="A1121" s="5">
        <v>1060</v>
      </c>
      <c r="B1121" s="138">
        <f>'Expenditures 15-22'!K50</f>
        <v>1069428</v>
      </c>
      <c r="C1121" s="2" t="s">
        <v>594</v>
      </c>
      <c r="D1121" s="2" t="str">
        <f t="shared" si="16"/>
        <v>Error?</v>
      </c>
    </row>
    <row r="1122" spans="1:4" x14ac:dyDescent="0.2">
      <c r="A1122" s="5">
        <v>1061</v>
      </c>
      <c r="B1122" s="138">
        <f>'Expenditures 15-22'!K53</f>
        <v>1889831</v>
      </c>
      <c r="C1122" s="2" t="s">
        <v>594</v>
      </c>
      <c r="D1122" s="2" t="str">
        <f t="shared" si="16"/>
        <v>Error?</v>
      </c>
    </row>
    <row r="1123" spans="1:4" x14ac:dyDescent="0.2">
      <c r="A1123" s="5">
        <v>1062</v>
      </c>
      <c r="B1123" s="138">
        <f>'Expenditures 15-22'!K55</f>
        <v>2177100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2177100</v>
      </c>
      <c r="C1125" s="2" t="s">
        <v>594</v>
      </c>
      <c r="D1125" s="2" t="str">
        <f t="shared" si="16"/>
        <v>Error?</v>
      </c>
    </row>
    <row r="1126" spans="1:4" x14ac:dyDescent="0.2">
      <c r="A1126" s="5">
        <v>1065</v>
      </c>
      <c r="B1126" s="138">
        <f>'Expenditures 15-22'!K59</f>
        <v>699837</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350208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1050045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2252074</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30813</v>
      </c>
      <c r="C1139" s="2" t="s">
        <v>594</v>
      </c>
      <c r="D1139" s="2" t="str">
        <f t="shared" si="16"/>
        <v>Error?</v>
      </c>
    </row>
    <row r="1140" spans="1:4" x14ac:dyDescent="0.2">
      <c r="A1140" s="10">
        <v>1079</v>
      </c>
      <c r="D1140" s="2" t="str">
        <f t="shared" si="16"/>
        <v>OK</v>
      </c>
    </row>
    <row r="1141" spans="1:4" x14ac:dyDescent="0.2">
      <c r="A1141" s="5">
        <v>1080</v>
      </c>
      <c r="B1141" s="138">
        <f>'Expenditures 15-22'!K72</f>
        <v>2282887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14275719</v>
      </c>
      <c r="C1143" s="2" t="s">
        <v>594</v>
      </c>
      <c r="D1143" s="2" t="str">
        <f t="shared" si="16"/>
        <v>Error?</v>
      </c>
    </row>
    <row r="1144" spans="1:4" x14ac:dyDescent="0.2">
      <c r="A1144" s="5">
        <v>1083</v>
      </c>
      <c r="B1144" s="138">
        <f>'Expenditures 15-22'!K75</f>
        <v>191590</v>
      </c>
      <c r="C1144" s="2" t="s">
        <v>594</v>
      </c>
      <c r="D1144" s="2" t="str">
        <f t="shared" si="16"/>
        <v>Error?</v>
      </c>
    </row>
    <row r="1145" spans="1:4" x14ac:dyDescent="0.2">
      <c r="A1145" s="5">
        <v>1084</v>
      </c>
      <c r="B1145" s="138">
        <f>'Expenditures 15-22'!K102</f>
        <v>498054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42497189</v>
      </c>
      <c r="C1152" s="2" t="s">
        <v>594</v>
      </c>
      <c r="D1152" s="2" t="str">
        <f t="shared" si="17"/>
        <v>Error?</v>
      </c>
    </row>
    <row r="1153" spans="1:4" x14ac:dyDescent="0.2">
      <c r="A1153" s="5">
        <v>1092</v>
      </c>
      <c r="B1153" s="138">
        <f>'Expenditures 15-22'!K115</f>
        <v>633798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568199</v>
      </c>
      <c r="D1221" s="2" t="str">
        <f t="shared" si="18"/>
        <v>Error?</v>
      </c>
    </row>
    <row r="1222" spans="1:4" x14ac:dyDescent="0.2">
      <c r="A1222" s="10">
        <v>1161</v>
      </c>
      <c r="D1222" s="2" t="str">
        <f t="shared" si="18"/>
        <v>OK</v>
      </c>
    </row>
    <row r="1223" spans="1:4" x14ac:dyDescent="0.2">
      <c r="A1223" s="5">
        <v>1162</v>
      </c>
      <c r="B1223" s="138">
        <f>'Expenditures 15-22'!C127</f>
        <v>568199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568199</v>
      </c>
      <c r="C1225" s="2" t="s">
        <v>594</v>
      </c>
      <c r="D1225" s="2" t="str">
        <f t="shared" si="18"/>
        <v>Error?</v>
      </c>
    </row>
    <row r="1226" spans="1:4" x14ac:dyDescent="0.2">
      <c r="A1226" s="5">
        <v>1165</v>
      </c>
      <c r="B1226" s="138">
        <f>'Expenditures 15-22'!C151</f>
        <v>568199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97368</v>
      </c>
      <c r="D1229" s="2" t="str">
        <f t="shared" si="18"/>
        <v>Error?</v>
      </c>
    </row>
    <row r="1230" spans="1:4" x14ac:dyDescent="0.2">
      <c r="A1230" s="10">
        <v>1169</v>
      </c>
      <c r="D1230" s="2" t="str">
        <f t="shared" si="18"/>
        <v>OK</v>
      </c>
    </row>
    <row r="1231" spans="1:4" x14ac:dyDescent="0.2">
      <c r="A1231" s="5">
        <v>1170</v>
      </c>
      <c r="B1231" s="138">
        <f>'Expenditures 15-22'!D127</f>
        <v>97368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97368</v>
      </c>
      <c r="C1233" s="2" t="s">
        <v>594</v>
      </c>
      <c r="D1233" s="2" t="str">
        <f t="shared" si="18"/>
        <v>Error?</v>
      </c>
    </row>
    <row r="1234" spans="1:4" x14ac:dyDescent="0.2">
      <c r="A1234" s="5">
        <v>1173</v>
      </c>
      <c r="B1234" s="138">
        <f>'Expenditures 15-22'!D151</f>
        <v>97368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3244943</v>
      </c>
      <c r="D1237" s="2" t="str">
        <f t="shared" si="18"/>
        <v>Error?</v>
      </c>
    </row>
    <row r="1238" spans="1:4" x14ac:dyDescent="0.2">
      <c r="A1238" s="10">
        <v>1177</v>
      </c>
      <c r="D1238" s="2" t="str">
        <f t="shared" si="18"/>
        <v>OK</v>
      </c>
    </row>
    <row r="1239" spans="1:4" x14ac:dyDescent="0.2">
      <c r="A1239" s="5">
        <v>1178</v>
      </c>
      <c r="B1239" s="138">
        <f>'Expenditures 15-22'!E127</f>
        <v>3244943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3244943</v>
      </c>
      <c r="C1241" s="2" t="s">
        <v>594</v>
      </c>
      <c r="D1241" s="2" t="str">
        <f t="shared" si="18"/>
        <v>Error?</v>
      </c>
    </row>
    <row r="1242" spans="1:4" x14ac:dyDescent="0.2">
      <c r="A1242" s="5">
        <v>1181</v>
      </c>
      <c r="B1242" s="138">
        <f>'Expenditures 15-22'!E151</f>
        <v>3244943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978995</v>
      </c>
      <c r="D1245" s="2" t="str">
        <f t="shared" si="18"/>
        <v>Error?</v>
      </c>
    </row>
    <row r="1246" spans="1:4" x14ac:dyDescent="0.2">
      <c r="A1246" s="10">
        <v>1185</v>
      </c>
      <c r="D1246" s="2" t="str">
        <f t="shared" si="18"/>
        <v>OK</v>
      </c>
    </row>
    <row r="1247" spans="1:4" x14ac:dyDescent="0.2">
      <c r="A1247" s="5">
        <v>1186</v>
      </c>
      <c r="B1247" s="138">
        <f>'Expenditures 15-22'!F127</f>
        <v>978995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978995</v>
      </c>
      <c r="C1249" s="2" t="s">
        <v>594</v>
      </c>
      <c r="D1249" s="2" t="str">
        <f t="shared" si="18"/>
        <v>Error?</v>
      </c>
    </row>
    <row r="1250" spans="1:4" x14ac:dyDescent="0.2">
      <c r="A1250" s="5">
        <v>1189</v>
      </c>
      <c r="B1250" s="138">
        <f>'Expenditures 15-22'!F151</f>
        <v>978995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702197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702197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702197</v>
      </c>
      <c r="C1258" s="2" t="s">
        <v>594</v>
      </c>
      <c r="D1258" s="2" t="str">
        <f t="shared" si="18"/>
        <v>Error?</v>
      </c>
    </row>
    <row r="1259" spans="1:4" x14ac:dyDescent="0.2">
      <c r="A1259" s="5">
        <v>1198</v>
      </c>
      <c r="B1259" s="138">
        <f>'Expenditures 15-22'!G151</f>
        <v>702197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5591702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5591702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5591702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5591702</v>
      </c>
      <c r="C1288" s="2" t="s">
        <v>594</v>
      </c>
      <c r="D1288" s="2" t="str">
        <f t="shared" si="19"/>
        <v>Error?</v>
      </c>
    </row>
    <row r="1289" spans="1:4" x14ac:dyDescent="0.2">
      <c r="A1289" s="5">
        <v>1228</v>
      </c>
      <c r="B1289" s="138">
        <f>'Expenditures 15-22'!K152</f>
        <v>490718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783967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390000</v>
      </c>
      <c r="D1315" s="2" t="str">
        <f t="shared" si="19"/>
        <v>Error?</v>
      </c>
    </row>
    <row r="1316" spans="1:4" x14ac:dyDescent="0.2">
      <c r="A1316" s="5">
        <v>1255</v>
      </c>
      <c r="B1316" s="138">
        <f>'Expenditures 15-22'!H171</f>
        <v>2895</v>
      </c>
      <c r="D1316" s="2" t="str">
        <f t="shared" si="19"/>
        <v>Error?</v>
      </c>
    </row>
    <row r="1317" spans="1:4" x14ac:dyDescent="0.2">
      <c r="A1317" s="5">
        <v>1256</v>
      </c>
      <c r="B1317" s="138">
        <f>'Expenditures 15-22'!H172</f>
        <v>1176862</v>
      </c>
      <c r="C1317" s="2" t="s">
        <v>594</v>
      </c>
      <c r="D1317" s="2" t="str">
        <f t="shared" si="19"/>
        <v>Error?</v>
      </c>
    </row>
    <row r="1318" spans="1:4" x14ac:dyDescent="0.2">
      <c r="A1318" s="5">
        <v>1257</v>
      </c>
      <c r="B1318" s="138">
        <f>'Expenditures 15-22'!H174</f>
        <v>1176862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783967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390000</v>
      </c>
      <c r="C1329" s="2" t="s">
        <v>594</v>
      </c>
      <c r="D1329" s="2" t="str">
        <f t="shared" si="19"/>
        <v>Error?</v>
      </c>
    </row>
    <row r="1330" spans="1:4" x14ac:dyDescent="0.2">
      <c r="A1330" s="5">
        <v>1269</v>
      </c>
      <c r="B1330" s="138">
        <f>'Expenditures 15-22'!K171</f>
        <v>2895</v>
      </c>
      <c r="C1330" s="2" t="s">
        <v>594</v>
      </c>
      <c r="D1330" s="2" t="str">
        <f t="shared" si="19"/>
        <v>Error?</v>
      </c>
    </row>
    <row r="1331" spans="1:4" x14ac:dyDescent="0.2">
      <c r="A1331" s="5">
        <v>1270</v>
      </c>
      <c r="B1331" s="138">
        <f>'Expenditures 15-22'!K172</f>
        <v>1176862</v>
      </c>
      <c r="C1331" s="2" t="s">
        <v>594</v>
      </c>
      <c r="D1331" s="2" t="str">
        <f t="shared" si="19"/>
        <v>Error?</v>
      </c>
    </row>
    <row r="1332" spans="1:4" x14ac:dyDescent="0.2">
      <c r="A1332" s="5">
        <v>1271</v>
      </c>
      <c r="B1332" s="138">
        <f>'Expenditures 15-22'!K174</f>
        <v>1176862</v>
      </c>
      <c r="C1332" s="2" t="s">
        <v>594</v>
      </c>
      <c r="D1332" s="2" t="str">
        <f t="shared" si="19"/>
        <v>Error?</v>
      </c>
    </row>
    <row r="1333" spans="1:4" x14ac:dyDescent="0.2">
      <c r="A1333" s="5">
        <v>1272</v>
      </c>
      <c r="B1333" s="138">
        <f>'Expenditures 15-22'!K175</f>
        <v>-45880</v>
      </c>
      <c r="C1333" s="2" t="s">
        <v>594</v>
      </c>
      <c r="D1333" s="2" t="str">
        <f t="shared" si="19"/>
        <v>Error?</v>
      </c>
    </row>
    <row r="1334" spans="1:4" x14ac:dyDescent="0.2">
      <c r="A1334" s="10">
        <v>1273</v>
      </c>
      <c r="D1334" s="2" t="str">
        <f t="shared" si="19"/>
        <v>OK</v>
      </c>
    </row>
    <row r="1335" spans="1:4" x14ac:dyDescent="0.2">
      <c r="A1335" s="5">
        <v>1274</v>
      </c>
      <c r="B1335" s="138">
        <f>'Expenditures 15-22'!C182</f>
        <v>30356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30356</v>
      </c>
      <c r="C1339" s="2" t="s">
        <v>594</v>
      </c>
      <c r="D1339" s="2" t="str">
        <f t="shared" si="19"/>
        <v>Error?</v>
      </c>
    </row>
    <row r="1340" spans="1:4" x14ac:dyDescent="0.2">
      <c r="A1340" s="5">
        <v>1279</v>
      </c>
      <c r="B1340" s="138">
        <f>'Expenditures 15-22'!C210</f>
        <v>30356</v>
      </c>
      <c r="C1340" s="2" t="s">
        <v>594</v>
      </c>
      <c r="D1340" s="2" t="str">
        <f t="shared" si="19"/>
        <v>Error?</v>
      </c>
    </row>
    <row r="1341" spans="1:4" x14ac:dyDescent="0.2">
      <c r="A1341" s="5">
        <v>1280</v>
      </c>
      <c r="B1341" s="138">
        <f>'Expenditures 15-22'!D182</f>
        <v>3184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3184</v>
      </c>
      <c r="C1345" s="2" t="s">
        <v>594</v>
      </c>
      <c r="D1345" s="2" t="str">
        <f t="shared" si="20"/>
        <v>Error?</v>
      </c>
    </row>
    <row r="1346" spans="1:4" x14ac:dyDescent="0.2">
      <c r="A1346" s="5">
        <v>1285</v>
      </c>
      <c r="B1346" s="138">
        <f>'Expenditures 15-22'!D210</f>
        <v>3184</v>
      </c>
      <c r="C1346" s="2" t="s">
        <v>594</v>
      </c>
      <c r="D1346" s="2" t="str">
        <f t="shared" si="20"/>
        <v>Error?</v>
      </c>
    </row>
    <row r="1347" spans="1:4" x14ac:dyDescent="0.2">
      <c r="A1347" s="5">
        <v>1286</v>
      </c>
      <c r="B1347" s="138">
        <f>'Expenditures 15-22'!E182</f>
        <v>1460496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1460496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1460496</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1494036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1494036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1494036</v>
      </c>
      <c r="C1388" s="2" t="s">
        <v>594</v>
      </c>
      <c r="D1388" s="2" t="str">
        <f t="shared" si="20"/>
        <v>Error?</v>
      </c>
    </row>
    <row r="1389" spans="1:4" x14ac:dyDescent="0.2">
      <c r="A1389" s="5">
        <v>1328</v>
      </c>
      <c r="B1389" s="138">
        <f>'Expenditures 15-22'!K211</f>
        <v>231769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12168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15921</v>
      </c>
      <c r="D1408" s="2" t="str">
        <f t="shared" si="21"/>
        <v>Error?</v>
      </c>
    </row>
    <row r="1409" spans="1:4" x14ac:dyDescent="0.2">
      <c r="A1409" s="5">
        <v>1348</v>
      </c>
      <c r="B1409" s="138">
        <f>'Expenditures 15-22'!D224</f>
        <v>2980</v>
      </c>
      <c r="D1409" s="2" t="str">
        <f t="shared" si="21"/>
        <v>Error?</v>
      </c>
    </row>
    <row r="1410" spans="1:4" x14ac:dyDescent="0.2">
      <c r="A1410" s="5">
        <v>1349</v>
      </c>
      <c r="B1410" s="138">
        <f>'Expenditures 15-22'!D229</f>
        <v>620808</v>
      </c>
      <c r="C1410" s="2" t="s">
        <v>594</v>
      </c>
      <c r="D1410" s="2" t="str">
        <f t="shared" si="21"/>
        <v>Error?</v>
      </c>
    </row>
    <row r="1411" spans="1:4" x14ac:dyDescent="0.2">
      <c r="A1411" s="5">
        <v>1350</v>
      </c>
      <c r="B1411" s="138">
        <f>'Expenditures 15-22'!D232</f>
        <v>9837</v>
      </c>
      <c r="D1411" s="2" t="str">
        <f t="shared" si="21"/>
        <v>Error?</v>
      </c>
    </row>
    <row r="1412" spans="1:4" x14ac:dyDescent="0.2">
      <c r="A1412" s="5">
        <v>1351</v>
      </c>
      <c r="B1412" s="138">
        <f>'Expenditures 15-22'!D233</f>
        <v>2998</v>
      </c>
      <c r="D1412" s="2" t="str">
        <f t="shared" si="21"/>
        <v>Error?</v>
      </c>
    </row>
    <row r="1413" spans="1:4" x14ac:dyDescent="0.2">
      <c r="A1413" s="5">
        <v>1352</v>
      </c>
      <c r="B1413" s="138">
        <f>'Expenditures 15-22'!D234</f>
        <v>49194</v>
      </c>
      <c r="D1413" s="2" t="str">
        <f t="shared" si="21"/>
        <v>Error?</v>
      </c>
    </row>
    <row r="1414" spans="1:4" x14ac:dyDescent="0.2">
      <c r="A1414" s="5">
        <v>1353</v>
      </c>
      <c r="B1414" s="138">
        <f>'Expenditures 15-22'!D235</f>
        <v>2014</v>
      </c>
      <c r="D1414" s="2" t="str">
        <f t="shared" si="21"/>
        <v>Error?</v>
      </c>
    </row>
    <row r="1415" spans="1:4" x14ac:dyDescent="0.2">
      <c r="A1415" s="5">
        <v>1354</v>
      </c>
      <c r="B1415" s="138">
        <f>'Expenditures 15-22'!D236</f>
        <v>11425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75468</v>
      </c>
      <c r="C1417" s="2" t="s">
        <v>594</v>
      </c>
      <c r="D1417" s="2" t="str">
        <f t="shared" si="21"/>
        <v>Error?</v>
      </c>
    </row>
    <row r="1418" spans="1:4" x14ac:dyDescent="0.2">
      <c r="A1418" s="5">
        <v>1357</v>
      </c>
      <c r="B1418" s="138">
        <f>'Expenditures 15-22'!D240</f>
        <v>16627</v>
      </c>
      <c r="D1418" s="2" t="str">
        <f t="shared" si="21"/>
        <v>Error?</v>
      </c>
    </row>
    <row r="1419" spans="1:4" x14ac:dyDescent="0.2">
      <c r="A1419" s="5">
        <v>1358</v>
      </c>
      <c r="B1419" s="138">
        <f>'Expenditures 15-22'!D241</f>
        <v>38653</v>
      </c>
      <c r="D1419" s="2" t="str">
        <f t="shared" si="21"/>
        <v>Error?</v>
      </c>
    </row>
    <row r="1420" spans="1:4" x14ac:dyDescent="0.2">
      <c r="A1420" s="5">
        <v>1359</v>
      </c>
      <c r="B1420" s="138">
        <f>'Expenditures 15-22'!D242</f>
        <v>38315</v>
      </c>
      <c r="D1420" s="2" t="str">
        <f t="shared" si="21"/>
        <v>Error?</v>
      </c>
    </row>
    <row r="1421" spans="1:4" x14ac:dyDescent="0.2">
      <c r="A1421" s="5">
        <v>1360</v>
      </c>
      <c r="B1421" s="138">
        <f>'Expenditures 15-22'!D243</f>
        <v>93595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43251</v>
      </c>
      <c r="D1423" s="2" t="str">
        <f t="shared" si="21"/>
        <v>Error?</v>
      </c>
    </row>
    <row r="1424" spans="1:4" x14ac:dyDescent="0.2">
      <c r="A1424" s="5">
        <v>1363</v>
      </c>
      <c r="B1424" s="138">
        <f>'Expenditures 15-22'!D257</f>
        <v>43251</v>
      </c>
      <c r="C1424" s="2" t="s">
        <v>594</v>
      </c>
      <c r="D1424" s="2" t="str">
        <f t="shared" si="21"/>
        <v>Error?</v>
      </c>
    </row>
    <row r="1425" spans="1:4" x14ac:dyDescent="0.2">
      <c r="A1425" s="5">
        <v>1364</v>
      </c>
      <c r="B1425" s="138">
        <f>'Expenditures 15-22'!D259</f>
        <v>90906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90906</v>
      </c>
      <c r="C1427" s="2" t="s">
        <v>594</v>
      </c>
      <c r="D1427" s="2" t="str">
        <f t="shared" si="21"/>
        <v>Error?</v>
      </c>
    </row>
    <row r="1428" spans="1:4" x14ac:dyDescent="0.2">
      <c r="A1428" s="5">
        <v>1367</v>
      </c>
      <c r="B1428" s="138">
        <f>'Expenditures 15-22'!D263</f>
        <v>51649</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83602</v>
      </c>
      <c r="D1431" s="2" t="str">
        <f t="shared" si="21"/>
        <v>Error?</v>
      </c>
    </row>
    <row r="1432" spans="1:4" x14ac:dyDescent="0.2">
      <c r="A1432" s="5">
        <v>1371</v>
      </c>
      <c r="B1432" s="138">
        <f>'Expenditures 15-22'!D267</f>
        <v>3575</v>
      </c>
      <c r="D1432" s="2" t="str">
        <f t="shared" si="21"/>
        <v>Error?</v>
      </c>
    </row>
    <row r="1433" spans="1:4" x14ac:dyDescent="0.2">
      <c r="A1433" s="5">
        <v>1372</v>
      </c>
      <c r="B1433" s="138">
        <f>'Expenditures 15-22'!D268</f>
        <v>30073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168899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472119</v>
      </c>
      <c r="C1446" s="2" t="s">
        <v>594</v>
      </c>
      <c r="D1446" s="2" t="str">
        <f t="shared" si="21"/>
        <v>Error?</v>
      </c>
    </row>
    <row r="1447" spans="1:4" x14ac:dyDescent="0.2">
      <c r="A1447" s="5">
        <v>1386</v>
      </c>
      <c r="B1447" s="138">
        <f>'Expenditures 15-22'!D280</f>
        <v>21240</v>
      </c>
      <c r="D1447" s="2" t="str">
        <f t="shared" si="21"/>
        <v>Error?</v>
      </c>
    </row>
    <row r="1448" spans="1:4" x14ac:dyDescent="0.2">
      <c r="A1448" s="5">
        <v>1387</v>
      </c>
      <c r="B1448" s="138">
        <f>'Expenditures 15-22'!D295</f>
        <v>1114167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12168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15921</v>
      </c>
      <c r="C1472" s="2" t="s">
        <v>594</v>
      </c>
      <c r="D1472" s="2" t="str">
        <f t="shared" si="22"/>
        <v>Error?</v>
      </c>
    </row>
    <row r="1473" spans="1:4" x14ac:dyDescent="0.2">
      <c r="A1473" s="5">
        <v>1412</v>
      </c>
      <c r="B1473" s="138">
        <f>'Expenditures 15-22'!K224</f>
        <v>2980</v>
      </c>
      <c r="C1473" s="2" t="s">
        <v>594</v>
      </c>
      <c r="D1473" s="2" t="str">
        <f t="shared" si="22"/>
        <v>Error?</v>
      </c>
    </row>
    <row r="1474" spans="1:4" x14ac:dyDescent="0.2">
      <c r="A1474" s="5">
        <v>1413</v>
      </c>
      <c r="B1474" s="138">
        <f>'Expenditures 15-22'!K229</f>
        <v>620808</v>
      </c>
      <c r="C1474" s="2" t="s">
        <v>594</v>
      </c>
      <c r="D1474" s="2" t="str">
        <f t="shared" si="22"/>
        <v>Error?</v>
      </c>
    </row>
    <row r="1475" spans="1:4" x14ac:dyDescent="0.2">
      <c r="A1475" s="5">
        <v>1414</v>
      </c>
      <c r="B1475" s="138">
        <f>'Expenditures 15-22'!K232</f>
        <v>9837</v>
      </c>
      <c r="C1475" s="2" t="s">
        <v>594</v>
      </c>
      <c r="D1475" s="2" t="str">
        <f t="shared" si="22"/>
        <v>Error?</v>
      </c>
    </row>
    <row r="1476" spans="1:4" x14ac:dyDescent="0.2">
      <c r="A1476" s="5">
        <v>1415</v>
      </c>
      <c r="B1476" s="138">
        <f>'Expenditures 15-22'!K233</f>
        <v>2998</v>
      </c>
      <c r="C1476" s="2" t="s">
        <v>594</v>
      </c>
      <c r="D1476" s="2" t="str">
        <f t="shared" si="22"/>
        <v>Error?</v>
      </c>
    </row>
    <row r="1477" spans="1:4" x14ac:dyDescent="0.2">
      <c r="A1477" s="5">
        <v>1416</v>
      </c>
      <c r="B1477" s="138">
        <f>'Expenditures 15-22'!K234</f>
        <v>49194</v>
      </c>
      <c r="C1477" s="2" t="s">
        <v>594</v>
      </c>
      <c r="D1477" s="2" t="str">
        <f t="shared" si="22"/>
        <v>Error?</v>
      </c>
    </row>
    <row r="1478" spans="1:4" x14ac:dyDescent="0.2">
      <c r="A1478" s="5">
        <v>1417</v>
      </c>
      <c r="B1478" s="138">
        <f>'Expenditures 15-22'!K235</f>
        <v>2014</v>
      </c>
      <c r="C1478" s="2" t="s">
        <v>594</v>
      </c>
      <c r="D1478" s="2" t="str">
        <f t="shared" si="22"/>
        <v>Error?</v>
      </c>
    </row>
    <row r="1479" spans="1:4" x14ac:dyDescent="0.2">
      <c r="A1479" s="5">
        <v>1418</v>
      </c>
      <c r="B1479" s="138">
        <f>'Expenditures 15-22'!K236</f>
        <v>11425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75468</v>
      </c>
      <c r="C1481" s="2" t="s">
        <v>594</v>
      </c>
      <c r="D1481" s="2" t="str">
        <f t="shared" si="22"/>
        <v>Error?</v>
      </c>
    </row>
    <row r="1482" spans="1:4" x14ac:dyDescent="0.2">
      <c r="A1482" s="5">
        <v>1421</v>
      </c>
      <c r="B1482" s="138">
        <f>'Expenditures 15-22'!K240</f>
        <v>16627</v>
      </c>
      <c r="C1482" s="2" t="s">
        <v>594</v>
      </c>
      <c r="D1482" s="2" t="str">
        <f t="shared" si="22"/>
        <v>Error?</v>
      </c>
    </row>
    <row r="1483" spans="1:4" x14ac:dyDescent="0.2">
      <c r="A1483" s="5">
        <v>1422</v>
      </c>
      <c r="B1483" s="138">
        <f>'Expenditures 15-22'!K241</f>
        <v>38653</v>
      </c>
      <c r="C1483" s="2" t="s">
        <v>594</v>
      </c>
      <c r="D1483" s="2" t="str">
        <f t="shared" si="22"/>
        <v>Error?</v>
      </c>
    </row>
    <row r="1484" spans="1:4" x14ac:dyDescent="0.2">
      <c r="A1484" s="5">
        <v>1423</v>
      </c>
      <c r="B1484" s="138">
        <f>'Expenditures 15-22'!K242</f>
        <v>38315</v>
      </c>
      <c r="C1484" s="2" t="s">
        <v>594</v>
      </c>
      <c r="D1484" s="2" t="str">
        <f t="shared" si="22"/>
        <v>Error?</v>
      </c>
    </row>
    <row r="1485" spans="1:4" x14ac:dyDescent="0.2">
      <c r="A1485" s="5">
        <v>1424</v>
      </c>
      <c r="B1485" s="138">
        <f>'Expenditures 15-22'!K243</f>
        <v>93595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43251</v>
      </c>
      <c r="C1487" s="2" t="s">
        <v>594</v>
      </c>
      <c r="D1487" s="2" t="str">
        <f t="shared" si="22"/>
        <v>Error?</v>
      </c>
    </row>
    <row r="1488" spans="1:4" x14ac:dyDescent="0.2">
      <c r="A1488" s="5">
        <v>1427</v>
      </c>
      <c r="B1488" s="138">
        <f>'Expenditures 15-22'!K257</f>
        <v>43251</v>
      </c>
      <c r="C1488" s="2" t="s">
        <v>594</v>
      </c>
      <c r="D1488" s="2" t="str">
        <f t="shared" si="22"/>
        <v>Error?</v>
      </c>
    </row>
    <row r="1489" spans="1:4" x14ac:dyDescent="0.2">
      <c r="A1489" s="5">
        <v>1428</v>
      </c>
      <c r="B1489" s="138">
        <f>'Expenditures 15-22'!K259</f>
        <v>90906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90906</v>
      </c>
      <c r="C1491" s="2" t="s">
        <v>594</v>
      </c>
      <c r="D1491" s="2" t="str">
        <f t="shared" si="22"/>
        <v>Error?</v>
      </c>
    </row>
    <row r="1492" spans="1:4" x14ac:dyDescent="0.2">
      <c r="A1492" s="5">
        <v>1431</v>
      </c>
      <c r="B1492" s="138">
        <f>'Expenditures 15-22'!K263</f>
        <v>51649</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83602</v>
      </c>
      <c r="C1495" s="2" t="s">
        <v>594</v>
      </c>
      <c r="D1495" s="2" t="str">
        <f t="shared" si="22"/>
        <v>Error?</v>
      </c>
    </row>
    <row r="1496" spans="1:4" x14ac:dyDescent="0.2">
      <c r="A1496" s="5">
        <v>1435</v>
      </c>
      <c r="B1496" s="138">
        <f>'Expenditures 15-22'!K267</f>
        <v>3575</v>
      </c>
      <c r="C1496" s="2" t="s">
        <v>594</v>
      </c>
      <c r="D1496" s="2" t="str">
        <f t="shared" si="22"/>
        <v>Error?</v>
      </c>
    </row>
    <row r="1497" spans="1:4" x14ac:dyDescent="0.2">
      <c r="A1497" s="5">
        <v>1436</v>
      </c>
      <c r="B1497" s="138">
        <f>'Expenditures 15-22'!K268</f>
        <v>30073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168899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472119</v>
      </c>
      <c r="C1510" s="2" t="s">
        <v>594</v>
      </c>
      <c r="D1510" s="2" t="str">
        <f t="shared" si="22"/>
        <v>Error?</v>
      </c>
    </row>
    <row r="1511" spans="1:4" x14ac:dyDescent="0.2">
      <c r="A1511" s="5">
        <v>1450</v>
      </c>
      <c r="B1511" s="138">
        <f>'Expenditures 15-22'!K280</f>
        <v>21240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1114167</v>
      </c>
      <c r="C1517" s="2" t="s">
        <v>594</v>
      </c>
      <c r="D1517" s="2" t="str">
        <f t="shared" si="22"/>
        <v>Error?</v>
      </c>
    </row>
    <row r="1518" spans="1:4" x14ac:dyDescent="0.2">
      <c r="A1518" s="5">
        <v>1457</v>
      </c>
      <c r="B1518" s="138">
        <f>'Expenditures 15-22'!K296</f>
        <v>143277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1898379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1898379</v>
      </c>
      <c r="C1547" s="2" t="s">
        <v>594</v>
      </c>
      <c r="D1547" s="2" t="str">
        <f t="shared" si="23"/>
        <v>Error?</v>
      </c>
    </row>
    <row r="1548" spans="1:4" x14ac:dyDescent="0.2">
      <c r="A1548" s="5">
        <v>1487</v>
      </c>
      <c r="B1548" s="138">
        <f>'Expenditures 15-22'!G312</f>
        <v>1898379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1898379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1898379</v>
      </c>
      <c r="C1559" s="2" t="s">
        <v>594</v>
      </c>
      <c r="D1559" s="2" t="str">
        <f t="shared" si="23"/>
        <v>Error?</v>
      </c>
    </row>
    <row r="1560" spans="1:4" x14ac:dyDescent="0.2">
      <c r="A1560" s="5">
        <v>1499</v>
      </c>
      <c r="B1560" s="138">
        <f>'Expenditures 15-22'!K312</f>
        <v>1898379</v>
      </c>
      <c r="C1560" s="2" t="s">
        <v>594</v>
      </c>
      <c r="D1560" s="2" t="str">
        <f t="shared" si="23"/>
        <v>Error?</v>
      </c>
    </row>
    <row r="1561" spans="1:4" x14ac:dyDescent="0.2">
      <c r="A1561" s="5">
        <v>1500</v>
      </c>
      <c r="B1561" s="138">
        <f>'Expenditures 15-22'!K313</f>
        <v>115891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15431997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13080993</v>
      </c>
      <c r="C1630" s="2" t="s">
        <v>594</v>
      </c>
      <c r="D1630" s="2" t="str">
        <f t="shared" si="24"/>
        <v>Error?</v>
      </c>
    </row>
    <row r="1631" spans="1:4" x14ac:dyDescent="0.2">
      <c r="A1631" s="5">
        <v>1570</v>
      </c>
      <c r="B1631" s="138">
        <f>'Acct Summary 7-8'!D79</f>
        <v>5765001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1180059</v>
      </c>
      <c r="C1644" s="2" t="s">
        <v>594</v>
      </c>
      <c r="D1644" s="2" t="str">
        <f t="shared" si="24"/>
        <v>Error?</v>
      </c>
    </row>
    <row r="1645" spans="1:4" x14ac:dyDescent="0.2">
      <c r="A1645" s="5">
        <v>1584</v>
      </c>
      <c r="B1645" s="138">
        <f>'Acct Summary 7-8'!E79</f>
        <v>844815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874595</v>
      </c>
      <c r="C1658" s="2" t="s">
        <v>594</v>
      </c>
      <c r="D1658" s="2" t="str">
        <f t="shared" si="24"/>
        <v>Error?</v>
      </c>
    </row>
    <row r="1659" spans="1:4" x14ac:dyDescent="0.2">
      <c r="A1659" s="5">
        <v>1598</v>
      </c>
      <c r="B1659" s="138">
        <f>'Acct Summary 7-8'!F79</f>
        <v>1406799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1638568</v>
      </c>
      <c r="C1672" s="2" t="s">
        <v>594</v>
      </c>
      <c r="D1672" s="2" t="str">
        <f t="shared" si="25"/>
        <v>Error?</v>
      </c>
    </row>
    <row r="1673" spans="1:4" x14ac:dyDescent="0.2">
      <c r="A1673" s="5">
        <v>1612</v>
      </c>
      <c r="B1673" s="138">
        <f>'Acct Summary 7-8'!G79</f>
        <v>777924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921201</v>
      </c>
      <c r="C1686" s="2" t="s">
        <v>594</v>
      </c>
      <c r="D1686" s="2" t="str">
        <f t="shared" si="25"/>
        <v>Error?</v>
      </c>
    </row>
    <row r="1687" spans="1:4" x14ac:dyDescent="0.2">
      <c r="A1687" s="5">
        <v>1626</v>
      </c>
      <c r="B1687" s="138">
        <f>'Acct Summary 7-8'!H79</f>
        <v>2134859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10250750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39889796</v>
      </c>
      <c r="C1744" s="2" t="s">
        <v>594</v>
      </c>
      <c r="D1744" s="2" t="str">
        <f t="shared" si="26"/>
        <v>Error?</v>
      </c>
    </row>
    <row r="1745" spans="1:5" x14ac:dyDescent="0.2">
      <c r="A1745" s="5">
        <v>1684</v>
      </c>
      <c r="B1745" s="138">
        <f>'Tax Sched 23'!B5</f>
        <v>6019298</v>
      </c>
      <c r="C1745" s="2" t="s">
        <v>594</v>
      </c>
      <c r="D1745" s="2" t="str">
        <f t="shared" si="26"/>
        <v>Error?</v>
      </c>
    </row>
    <row r="1746" spans="1:5" x14ac:dyDescent="0.2">
      <c r="A1746" s="5">
        <v>1685</v>
      </c>
      <c r="B1746" s="138">
        <f>'Tax Sched 23'!B6</f>
        <v>1107422</v>
      </c>
      <c r="C1746" s="2" t="s">
        <v>594</v>
      </c>
      <c r="D1746" s="2" t="str">
        <f t="shared" si="26"/>
        <v>Error?</v>
      </c>
    </row>
    <row r="1747" spans="1:5" x14ac:dyDescent="0.2">
      <c r="A1747" s="5">
        <v>1686</v>
      </c>
      <c r="B1747" s="138">
        <f>'Tax Sched 23'!B7</f>
        <v>1321497</v>
      </c>
      <c r="C1747" s="2" t="s">
        <v>594</v>
      </c>
      <c r="D1747" s="2" t="str">
        <f t="shared" si="26"/>
        <v>Error?</v>
      </c>
    </row>
    <row r="1748" spans="1:5" x14ac:dyDescent="0.2">
      <c r="A1748" s="5">
        <v>1687</v>
      </c>
      <c r="B1748" s="138">
        <f>'Tax Sched 23'!B8</f>
        <v>486197</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705838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50176511</v>
      </c>
      <c r="C1759" s="2" t="s">
        <v>594</v>
      </c>
      <c r="D1759" s="2" t="str">
        <f t="shared" si="26"/>
        <v>Error?</v>
      </c>
    </row>
    <row r="1760" spans="1:5" x14ac:dyDescent="0.2">
      <c r="A1760" s="5">
        <v>1699</v>
      </c>
      <c r="B1760" s="138">
        <f>'Tax Sched 23'!D4</f>
        <v>39889796</v>
      </c>
      <c r="C1760" s="2" t="s">
        <v>594</v>
      </c>
      <c r="D1760" s="2" t="str">
        <f t="shared" si="26"/>
        <v>Error?</v>
      </c>
    </row>
    <row r="1761" spans="1:5" x14ac:dyDescent="0.2">
      <c r="A1761" s="5">
        <v>1700</v>
      </c>
      <c r="B1761" s="138">
        <f>'Tax Sched 23'!D5</f>
        <v>6019298</v>
      </c>
      <c r="C1761" s="2" t="s">
        <v>594</v>
      </c>
      <c r="D1761" s="2" t="str">
        <f t="shared" si="26"/>
        <v>Error?</v>
      </c>
    </row>
    <row r="1762" spans="1:5" s="8" customFormat="1" x14ac:dyDescent="0.2">
      <c r="A1762" s="5">
        <v>1701</v>
      </c>
      <c r="B1762" s="138">
        <f>'Tax Sched 23'!D6</f>
        <v>1107422</v>
      </c>
      <c r="C1762" s="2" t="s">
        <v>594</v>
      </c>
      <c r="D1762" s="2" t="str">
        <f t="shared" si="26"/>
        <v>Error?</v>
      </c>
      <c r="E1762" s="9"/>
    </row>
    <row r="1763" spans="1:5" x14ac:dyDescent="0.2">
      <c r="A1763" s="5">
        <v>1702</v>
      </c>
      <c r="B1763" s="138">
        <f>'Tax Sched 23'!D7</f>
        <v>1321497</v>
      </c>
      <c r="C1763" s="2" t="s">
        <v>594</v>
      </c>
      <c r="D1763" s="2" t="str">
        <f t="shared" si="26"/>
        <v>Error?</v>
      </c>
    </row>
    <row r="1764" spans="1:5" x14ac:dyDescent="0.2">
      <c r="A1764" s="5">
        <v>1703</v>
      </c>
      <c r="B1764" s="138">
        <f>'Tax Sched 23'!D8</f>
        <v>486197</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705838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50176511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41221714</v>
      </c>
      <c r="C1792" s="2" t="s">
        <v>594</v>
      </c>
      <c r="D1792" s="2" t="str">
        <f t="shared" si="27"/>
        <v>Error?</v>
      </c>
    </row>
    <row r="1793" spans="1:4" x14ac:dyDescent="0.2">
      <c r="A1793" s="5">
        <v>1732</v>
      </c>
      <c r="B1793" s="138">
        <f>'Tax Sched 23'!F5</f>
        <v>6456715</v>
      </c>
      <c r="C1793" s="2" t="s">
        <v>594</v>
      </c>
      <c r="D1793" s="2" t="str">
        <f t="shared" si="27"/>
        <v>Error?</v>
      </c>
    </row>
    <row r="1794" spans="1:4" x14ac:dyDescent="0.2">
      <c r="A1794" s="5">
        <v>1733</v>
      </c>
      <c r="B1794" s="138">
        <f>'Tax Sched 23'!F6</f>
        <v>1112194</v>
      </c>
      <c r="C1794" s="2" t="s">
        <v>594</v>
      </c>
      <c r="D1794" s="2" t="str">
        <f t="shared" si="27"/>
        <v>Error?</v>
      </c>
    </row>
    <row r="1795" spans="1:4" x14ac:dyDescent="0.2">
      <c r="A1795" s="5">
        <v>1734</v>
      </c>
      <c r="B1795" s="138">
        <f>'Tax Sched 23'!F7</f>
        <v>1344773</v>
      </c>
      <c r="C1795" s="2" t="s">
        <v>594</v>
      </c>
      <c r="D1795" s="2" t="str">
        <f t="shared" si="27"/>
        <v>Error?</v>
      </c>
    </row>
    <row r="1796" spans="1:4" x14ac:dyDescent="0.2">
      <c r="A1796" s="5">
        <v>1735</v>
      </c>
      <c r="B1796" s="138">
        <f>'Tax Sched 23'!F8</f>
        <v>484125</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740001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52005021</v>
      </c>
      <c r="C1807" s="2" t="s">
        <v>594</v>
      </c>
      <c r="D1807" s="2" t="str">
        <f t="shared" si="27"/>
        <v>Error?</v>
      </c>
    </row>
    <row r="1808" spans="1:4" x14ac:dyDescent="0.2">
      <c r="A1808" s="5">
        <v>1747</v>
      </c>
      <c r="B1808" s="138">
        <f>'Tax Sched 23'!E4</f>
        <v>41221714</v>
      </c>
      <c r="D1808" s="2" t="str">
        <f t="shared" si="27"/>
        <v>Error?</v>
      </c>
    </row>
    <row r="1809" spans="1:4" x14ac:dyDescent="0.2">
      <c r="A1809" s="5">
        <v>1748</v>
      </c>
      <c r="B1809" s="138">
        <f>'Tax Sched 23'!E5</f>
        <v>6456715</v>
      </c>
      <c r="D1809" s="2" t="str">
        <f t="shared" si="27"/>
        <v>Error?</v>
      </c>
    </row>
    <row r="1810" spans="1:4" x14ac:dyDescent="0.2">
      <c r="A1810" s="5">
        <v>1749</v>
      </c>
      <c r="B1810" s="138">
        <f>'Tax Sched 23'!E6</f>
        <v>1112194</v>
      </c>
      <c r="D1810" s="2" t="str">
        <f t="shared" si="27"/>
        <v>Error?</v>
      </c>
    </row>
    <row r="1811" spans="1:4" x14ac:dyDescent="0.2">
      <c r="A1811" s="5">
        <v>1750</v>
      </c>
      <c r="B1811" s="138">
        <f>'Tax Sched 23'!E7</f>
        <v>1344773</v>
      </c>
      <c r="D1811" s="2" t="str">
        <f t="shared" si="27"/>
        <v>Error?</v>
      </c>
    </row>
    <row r="1812" spans="1:4" x14ac:dyDescent="0.2">
      <c r="A1812" s="5">
        <v>1751</v>
      </c>
      <c r="B1812" s="138">
        <f>'Tax Sched 23'!E8</f>
        <v>484125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740001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52005021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21020000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705838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705838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705838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127188</v>
      </c>
      <c r="D2008" s="2" t="str">
        <f t="shared" si="30"/>
        <v>Error?</v>
      </c>
    </row>
    <row r="2009" spans="1:4" x14ac:dyDescent="0.2">
      <c r="A2009" s="5">
        <v>1948</v>
      </c>
      <c r="B2009" s="138">
        <f>'Cap Outlay Deprec 26'!C8</f>
        <v>88474971</v>
      </c>
      <c r="D2009" s="2" t="str">
        <f t="shared" si="30"/>
        <v>Error?</v>
      </c>
    </row>
    <row r="2010" spans="1:4" x14ac:dyDescent="0.2">
      <c r="A2010" s="5">
        <v>1949</v>
      </c>
      <c r="B2010" s="138">
        <f>'Cap Outlay Deprec 26'!C10</f>
        <v>2547355</v>
      </c>
      <c r="D2010" s="2" t="str">
        <f t="shared" si="30"/>
        <v>Error?</v>
      </c>
    </row>
    <row r="2011" spans="1:4" x14ac:dyDescent="0.2">
      <c r="A2011" s="5">
        <v>1950</v>
      </c>
      <c r="B2011" s="138">
        <f>'Cap Outlay Deprec 26'!C12</f>
        <v>28979362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120128876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3278366</v>
      </c>
      <c r="D2015" s="2" t="str">
        <f t="shared" si="30"/>
        <v>Error?</v>
      </c>
    </row>
    <row r="2016" spans="1:4" x14ac:dyDescent="0.2">
      <c r="A2016" s="5">
        <v>1955</v>
      </c>
      <c r="B2016" s="138">
        <f>'Cap Outlay Deprec 26'!D10</f>
        <v>367170</v>
      </c>
      <c r="D2016" s="2" t="str">
        <f t="shared" si="30"/>
        <v>Error?</v>
      </c>
    </row>
    <row r="2017" spans="1:4" x14ac:dyDescent="0.2">
      <c r="A2017" s="5">
        <v>1956</v>
      </c>
      <c r="B2017" s="138">
        <f>'Cap Outlay Deprec 26'!D12</f>
        <v>940543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4586079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127188</v>
      </c>
      <c r="C2026" s="2" t="s">
        <v>594</v>
      </c>
      <c r="D2026" s="2" t="str">
        <f t="shared" si="30"/>
        <v>Error?</v>
      </c>
    </row>
    <row r="2027" spans="1:4" x14ac:dyDescent="0.2">
      <c r="A2027" s="5">
        <v>1966</v>
      </c>
      <c r="B2027" s="138">
        <f>'Cap Outlay Deprec 26'!F8</f>
        <v>91753337</v>
      </c>
      <c r="C2027" s="2" t="s">
        <v>594</v>
      </c>
      <c r="D2027" s="2" t="str">
        <f t="shared" si="30"/>
        <v>Error?</v>
      </c>
    </row>
    <row r="2028" spans="1:4" x14ac:dyDescent="0.2">
      <c r="A2028" s="5">
        <v>1967</v>
      </c>
      <c r="B2028" s="138">
        <f>'Cap Outlay Deprec 26'!F10</f>
        <v>2914525</v>
      </c>
      <c r="C2028" s="2" t="s">
        <v>594</v>
      </c>
      <c r="D2028" s="2" t="str">
        <f t="shared" si="30"/>
        <v>Error?</v>
      </c>
    </row>
    <row r="2029" spans="1:4" x14ac:dyDescent="0.2">
      <c r="A2029" s="5">
        <v>1968</v>
      </c>
      <c r="B2029" s="138">
        <f>'Cap Outlay Deprec 26'!F12</f>
        <v>29919905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124714955</v>
      </c>
      <c r="C2031" s="2" t="s">
        <v>594</v>
      </c>
      <c r="D2031" s="2" t="str">
        <f t="shared" si="30"/>
        <v>Error?</v>
      </c>
    </row>
    <row r="2032" spans="1:4" x14ac:dyDescent="0.2">
      <c r="A2032" s="10">
        <v>1971</v>
      </c>
      <c r="D2032" s="2" t="str">
        <f t="shared" si="30"/>
        <v>OK</v>
      </c>
    </row>
    <row r="2033" spans="1:4" x14ac:dyDescent="0.2">
      <c r="A2033" s="5">
        <v>1972</v>
      </c>
      <c r="B2033" s="138">
        <f>'Cap Outlay Deprec 26'!H8</f>
        <v>25484228</v>
      </c>
      <c r="D2033" s="2" t="str">
        <f t="shared" si="30"/>
        <v>Error?</v>
      </c>
    </row>
    <row r="2034" spans="1:4" x14ac:dyDescent="0.2">
      <c r="A2034" s="5">
        <v>1973</v>
      </c>
      <c r="B2034" s="138">
        <f>'Cap Outlay Deprec 26'!H10</f>
        <v>866000</v>
      </c>
      <c r="D2034" s="2" t="str">
        <f t="shared" si="30"/>
        <v>Error?</v>
      </c>
    </row>
    <row r="2035" spans="1:4" x14ac:dyDescent="0.2">
      <c r="A2035" s="5">
        <v>1974</v>
      </c>
      <c r="B2035" s="138">
        <f>'Cap Outlay Deprec 26'!H12</f>
        <v>18634221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44984449</v>
      </c>
      <c r="C2037" s="2" t="s">
        <v>594</v>
      </c>
      <c r="D2037" s="2" t="str">
        <f t="shared" si="30"/>
        <v>Error?</v>
      </c>
    </row>
    <row r="2038" spans="1:4" x14ac:dyDescent="0.2">
      <c r="A2038" s="10">
        <v>1977</v>
      </c>
      <c r="D2038" s="2" t="str">
        <f t="shared" si="30"/>
        <v>OK</v>
      </c>
    </row>
    <row r="2039" spans="1:4" x14ac:dyDescent="0.2">
      <c r="A2039" s="5">
        <v>1978</v>
      </c>
      <c r="B2039" s="138">
        <f>'Cap Outlay Deprec 26'!I8</f>
        <v>1681894</v>
      </c>
      <c r="D2039" s="2" t="str">
        <f t="shared" si="30"/>
        <v>Error?</v>
      </c>
    </row>
    <row r="2040" spans="1:4" x14ac:dyDescent="0.2">
      <c r="A2040" s="5">
        <v>1979</v>
      </c>
      <c r="B2040" s="138">
        <f>'Cap Outlay Deprec 26'!I10</f>
        <v>139709</v>
      </c>
      <c r="D2040" s="2" t="str">
        <f t="shared" si="30"/>
        <v>Error?</v>
      </c>
    </row>
    <row r="2041" spans="1:4" x14ac:dyDescent="0.2">
      <c r="A2041" s="5">
        <v>1980</v>
      </c>
      <c r="B2041" s="138">
        <f>'Cap Outlay Deprec 26'!I12</f>
        <v>1896292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3717895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27166122</v>
      </c>
      <c r="C2051" s="2" t="s">
        <v>594</v>
      </c>
      <c r="D2051" s="2" t="str">
        <f t="shared" si="31"/>
        <v>Error?</v>
      </c>
    </row>
    <row r="2052" spans="1:4" x14ac:dyDescent="0.2">
      <c r="A2052" s="5">
        <v>1991</v>
      </c>
      <c r="B2052" s="138">
        <f>'Cap Outlay Deprec 26'!K10</f>
        <v>1005709</v>
      </c>
      <c r="C2052" s="2" t="s">
        <v>594</v>
      </c>
      <c r="D2052" s="2" t="str">
        <f t="shared" si="31"/>
        <v>Error?</v>
      </c>
    </row>
    <row r="2053" spans="1:4" x14ac:dyDescent="0.2">
      <c r="A2053" s="5">
        <v>1992</v>
      </c>
      <c r="B2053" s="138">
        <f>'Cap Outlay Deprec 26'!K12</f>
        <v>20530513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48702344</v>
      </c>
      <c r="C2055" s="2" t="s">
        <v>594</v>
      </c>
      <c r="D2055" s="2" t="str">
        <f t="shared" si="31"/>
        <v>Error?</v>
      </c>
    </row>
    <row r="2056" spans="1:4" x14ac:dyDescent="0.2">
      <c r="A2056" s="5">
        <v>1995</v>
      </c>
      <c r="B2056" s="138">
        <f>'Cap Outlay Deprec 26'!L5</f>
        <v>127188</v>
      </c>
      <c r="C2056" s="2" t="s">
        <v>594</v>
      </c>
      <c r="D2056" s="2" t="str">
        <f t="shared" si="31"/>
        <v>Error?</v>
      </c>
    </row>
    <row r="2057" spans="1:4" x14ac:dyDescent="0.2">
      <c r="A2057" s="5">
        <v>1996</v>
      </c>
      <c r="B2057" s="138">
        <f>'Cap Outlay Deprec 26'!L8</f>
        <v>64587215</v>
      </c>
      <c r="C2057" s="2" t="s">
        <v>594</v>
      </c>
      <c r="D2057" s="2" t="str">
        <f t="shared" si="31"/>
        <v>Error?</v>
      </c>
    </row>
    <row r="2058" spans="1:4" x14ac:dyDescent="0.2">
      <c r="A2058" s="5">
        <v>1997</v>
      </c>
      <c r="B2058" s="138">
        <f>'Cap Outlay Deprec 26'!L10</f>
        <v>1908816</v>
      </c>
      <c r="C2058" s="2" t="s">
        <v>594</v>
      </c>
      <c r="D2058" s="2" t="str">
        <f t="shared" si="31"/>
        <v>Error?</v>
      </c>
    </row>
    <row r="2059" spans="1:4" x14ac:dyDescent="0.2">
      <c r="A2059" s="5">
        <v>1998</v>
      </c>
      <c r="B2059" s="138">
        <f>'Cap Outlay Deprec 26'!L12</f>
        <v>9389392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76012611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155319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497334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41971070</v>
      </c>
      <c r="C2551" s="2" t="s">
        <v>594</v>
      </c>
      <c r="D2551" s="2" t="str">
        <f t="shared" si="38"/>
        <v>Error?</v>
      </c>
    </row>
    <row r="2552" spans="1:4" x14ac:dyDescent="0.2">
      <c r="A2552" s="10">
        <v>2491</v>
      </c>
      <c r="D2552" s="2" t="str">
        <f t="shared" si="38"/>
        <v>OK</v>
      </c>
    </row>
    <row r="2553" spans="1:4" x14ac:dyDescent="0.2">
      <c r="A2553" s="5">
        <v>2492</v>
      </c>
      <c r="B2553" s="138">
        <f>'Acct Summary 7-8'!C6</f>
        <v>429588</v>
      </c>
      <c r="C2553" s="2" t="s">
        <v>594</v>
      </c>
      <c r="D2553" s="2" t="str">
        <f t="shared" si="38"/>
        <v>Error?</v>
      </c>
    </row>
    <row r="2554" spans="1:4" x14ac:dyDescent="0.2">
      <c r="A2554" s="5">
        <v>2493</v>
      </c>
      <c r="B2554" s="138">
        <f>'Acct Summary 7-8'!C7</f>
        <v>730329</v>
      </c>
      <c r="C2554" s="2" t="s">
        <v>594</v>
      </c>
      <c r="D2554" s="2" t="str">
        <f t="shared" si="38"/>
        <v>Error?</v>
      </c>
    </row>
    <row r="2555" spans="1:4" x14ac:dyDescent="0.2">
      <c r="A2555" s="5">
        <v>2494</v>
      </c>
      <c r="B2555" s="138">
        <f>'Acct Summary 7-8'!C8</f>
        <v>43130987</v>
      </c>
      <c r="C2555" s="2" t="s">
        <v>594</v>
      </c>
      <c r="D2555" s="2" t="str">
        <f t="shared" si="38"/>
        <v>Error?</v>
      </c>
    </row>
    <row r="2556" spans="1:4" x14ac:dyDescent="0.2">
      <c r="A2556" s="5">
        <v>2495</v>
      </c>
      <c r="B2556" s="138">
        <f>'Acct Summary 7-8'!C12</f>
        <v>27531826</v>
      </c>
      <c r="C2556" s="2" t="s">
        <v>594</v>
      </c>
      <c r="D2556" s="2" t="str">
        <f t="shared" si="38"/>
        <v>Error?</v>
      </c>
    </row>
    <row r="2557" spans="1:4" x14ac:dyDescent="0.2">
      <c r="A2557" s="5">
        <v>2496</v>
      </c>
      <c r="B2557" s="138">
        <f>'Acct Summary 7-8'!C13</f>
        <v>14275719</v>
      </c>
      <c r="C2557" s="2" t="s">
        <v>594</v>
      </c>
      <c r="D2557" s="2" t="str">
        <f t="shared" si="38"/>
        <v>Error?</v>
      </c>
    </row>
    <row r="2558" spans="1:4" x14ac:dyDescent="0.2">
      <c r="A2558" s="5">
        <v>2497</v>
      </c>
      <c r="B2558" s="138">
        <f>'Acct Summary 7-8'!C14</f>
        <v>191590</v>
      </c>
      <c r="C2558" s="2" t="s">
        <v>594</v>
      </c>
      <c r="D2558" s="2" t="str">
        <f t="shared" si="38"/>
        <v>Error?</v>
      </c>
    </row>
    <row r="2559" spans="1:4" x14ac:dyDescent="0.2">
      <c r="A2559" s="5">
        <v>2498</v>
      </c>
      <c r="B2559" s="138">
        <f>'Acct Summary 7-8'!C15</f>
        <v>498054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42497189</v>
      </c>
      <c r="C2561" s="2" t="s">
        <v>594</v>
      </c>
      <c r="D2561" s="2" t="str">
        <f t="shared" si="39"/>
        <v>Error?</v>
      </c>
    </row>
    <row r="2562" spans="1:4" x14ac:dyDescent="0.2">
      <c r="A2562" s="5">
        <v>2501</v>
      </c>
      <c r="B2562" s="138">
        <f>'Acct Summary 7-8'!C20</f>
        <v>633798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6082420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6082420</v>
      </c>
      <c r="C2568" s="2" t="s">
        <v>594</v>
      </c>
      <c r="D2568" s="2" t="str">
        <f t="shared" si="39"/>
        <v>Error?</v>
      </c>
    </row>
    <row r="2569" spans="1:4" x14ac:dyDescent="0.2">
      <c r="A2569" s="5">
        <v>2508</v>
      </c>
      <c r="B2569" s="138">
        <f>'Acct Summary 7-8'!D13</f>
        <v>5591702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5591702</v>
      </c>
      <c r="C2573" s="2" t="s">
        <v>594</v>
      </c>
      <c r="D2573" s="2" t="str">
        <f t="shared" si="39"/>
        <v>Error?</v>
      </c>
    </row>
    <row r="2574" spans="1:4" x14ac:dyDescent="0.2">
      <c r="A2574" s="5">
        <v>2513</v>
      </c>
      <c r="B2574" s="138">
        <f>'Acct Summary 7-8'!D20</f>
        <v>490718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1444967</v>
      </c>
      <c r="C2591" s="2" t="s">
        <v>594</v>
      </c>
      <c r="D2591" s="2" t="str">
        <f t="shared" si="39"/>
        <v>Error?</v>
      </c>
    </row>
    <row r="2592" spans="1:4" x14ac:dyDescent="0.2">
      <c r="A2592" s="10">
        <v>2531</v>
      </c>
      <c r="D2592" s="2" t="str">
        <f t="shared" si="39"/>
        <v>OK</v>
      </c>
    </row>
    <row r="2593" spans="1:4" x14ac:dyDescent="0.2">
      <c r="A2593" s="5">
        <v>2532</v>
      </c>
      <c r="B2593" s="138">
        <f>'Acct Summary 7-8'!F6</f>
        <v>280838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1725805</v>
      </c>
      <c r="C2595" s="2" t="s">
        <v>594</v>
      </c>
      <c r="D2595" s="2" t="str">
        <f t="shared" si="39"/>
        <v>Error?</v>
      </c>
    </row>
    <row r="2596" spans="1:4" x14ac:dyDescent="0.2">
      <c r="A2596" s="5">
        <v>2535</v>
      </c>
      <c r="B2596" s="138">
        <f>'Acct Summary 7-8'!F13</f>
        <v>1494036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1494036</v>
      </c>
      <c r="C2600" s="2" t="s">
        <v>594</v>
      </c>
      <c r="D2600" s="2" t="str">
        <f t="shared" si="39"/>
        <v>Error?</v>
      </c>
    </row>
    <row r="2601" spans="1:4" x14ac:dyDescent="0.2">
      <c r="A2601" s="5">
        <v>2540</v>
      </c>
      <c r="B2601" s="138">
        <f>'Acct Summary 7-8'!F20</f>
        <v>231769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1257444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1257444</v>
      </c>
      <c r="C2606" s="2" t="s">
        <v>594</v>
      </c>
      <c r="D2606" s="2" t="str">
        <f t="shared" si="39"/>
        <v>Error?</v>
      </c>
    </row>
    <row r="2607" spans="1:4" x14ac:dyDescent="0.2">
      <c r="A2607" s="5">
        <v>2546</v>
      </c>
      <c r="B2607" s="138">
        <f>'Acct Summary 7-8'!G12</f>
        <v>620808</v>
      </c>
      <c r="C2607" s="2" t="s">
        <v>594</v>
      </c>
      <c r="D2607" s="2" t="str">
        <f t="shared" si="39"/>
        <v>Error?</v>
      </c>
    </row>
    <row r="2608" spans="1:4" x14ac:dyDescent="0.2">
      <c r="A2608" s="5">
        <v>2547</v>
      </c>
      <c r="B2608" s="138">
        <f>'Acct Summary 7-8'!G13</f>
        <v>472119</v>
      </c>
      <c r="C2608" s="2" t="s">
        <v>594</v>
      </c>
      <c r="D2608" s="2" t="str">
        <f t="shared" si="39"/>
        <v>Error?</v>
      </c>
    </row>
    <row r="2609" spans="1:4" x14ac:dyDescent="0.2">
      <c r="A2609" s="5">
        <v>2548</v>
      </c>
      <c r="B2609" s="138">
        <f>'Acct Summary 7-8'!G14</f>
        <v>21240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1114167</v>
      </c>
      <c r="C2612" s="2" t="s">
        <v>594</v>
      </c>
      <c r="D2612" s="2" t="str">
        <f t="shared" si="39"/>
        <v>Error?</v>
      </c>
    </row>
    <row r="2613" spans="1:4" x14ac:dyDescent="0.2">
      <c r="A2613" s="5">
        <v>2552</v>
      </c>
      <c r="B2613" s="138">
        <f>'Acct Summary 7-8'!G20</f>
        <v>143277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1130982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1130982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1176862</v>
      </c>
      <c r="C2634" s="2" t="s">
        <v>594</v>
      </c>
      <c r="D2634" s="2" t="str">
        <f t="shared" si="40"/>
        <v>Error?</v>
      </c>
    </row>
    <row r="2635" spans="1:4" x14ac:dyDescent="0.2">
      <c r="A2635" s="5">
        <v>2574</v>
      </c>
      <c r="B2635" s="138">
        <f>'Acct Summary 7-8'!E17</f>
        <v>1176862</v>
      </c>
      <c r="C2635" s="2" t="s">
        <v>594</v>
      </c>
      <c r="D2635" s="2" t="str">
        <f t="shared" si="40"/>
        <v>Error?</v>
      </c>
    </row>
    <row r="2636" spans="1:4" x14ac:dyDescent="0.2">
      <c r="A2636" s="5">
        <v>2575</v>
      </c>
      <c r="B2636" s="138">
        <f>'Acct Summary 7-8'!E20</f>
        <v>-45880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541735</v>
      </c>
      <c r="C2655" s="2" t="s">
        <v>594</v>
      </c>
      <c r="D2655" s="2" t="str">
        <f t="shared" si="40"/>
        <v>Error?</v>
      </c>
    </row>
    <row r="2656" spans="1:4" x14ac:dyDescent="0.2">
      <c r="A2656" s="5">
        <v>2595</v>
      </c>
      <c r="B2656" s="138">
        <f>'Acct Summary 7-8'!H6</f>
        <v>1472535</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2014270</v>
      </c>
      <c r="C2658" s="2" t="s">
        <v>594</v>
      </c>
      <c r="D2658" s="2" t="str">
        <f t="shared" si="40"/>
        <v>Error?</v>
      </c>
    </row>
    <row r="2659" spans="1:4" x14ac:dyDescent="0.2">
      <c r="A2659" s="5">
        <v>2598</v>
      </c>
      <c r="B2659" s="138">
        <f>'Acct Summary 7-8'!H13</f>
        <v>1898379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1898379</v>
      </c>
      <c r="C2661" s="2" t="s">
        <v>594</v>
      </c>
      <c r="D2661" s="2" t="str">
        <f t="shared" si="40"/>
        <v>Error?</v>
      </c>
    </row>
    <row r="2662" spans="1:4" x14ac:dyDescent="0.2">
      <c r="A2662" s="5">
        <v>2601</v>
      </c>
      <c r="B2662" s="138">
        <f>'Acct Summary 7-8'!H20</f>
        <v>115891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75660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342015</v>
      </c>
      <c r="C2789" s="2" t="s">
        <v>594</v>
      </c>
      <c r="D2789" s="2" t="str">
        <f t="shared" si="42"/>
        <v>Error?</v>
      </c>
    </row>
    <row r="2790" spans="1:4" x14ac:dyDescent="0.2">
      <c r="A2790" s="5">
        <v>2729</v>
      </c>
      <c r="B2790" s="138">
        <f>'Expenditures 15-22'!E102</f>
        <v>342015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75660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118448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118448</v>
      </c>
      <c r="D2914" s="2" t="str">
        <f t="shared" si="44"/>
        <v>Error?</v>
      </c>
    </row>
    <row r="2915" spans="1:4" x14ac:dyDescent="0.2">
      <c r="A2915" s="10">
        <v>2854</v>
      </c>
      <c r="D2915" s="2" t="str">
        <f t="shared" si="44"/>
        <v>OK</v>
      </c>
    </row>
    <row r="2916" spans="1:4" x14ac:dyDescent="0.2">
      <c r="A2916" s="5">
        <v>2855</v>
      </c>
      <c r="B2916" s="138">
        <f>'Assets-Liab 5-6'!L34</f>
        <v>118448</v>
      </c>
      <c r="C2916" s="2" t="s">
        <v>594</v>
      </c>
      <c r="D2916" s="2" t="str">
        <f t="shared" si="44"/>
        <v>Error?</v>
      </c>
    </row>
    <row r="2917" spans="1:4" x14ac:dyDescent="0.2">
      <c r="A2917" s="5">
        <v>2856</v>
      </c>
      <c r="B2917" s="138">
        <f>'Assets-Liab 5-6'!L41</f>
        <v>118448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342015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155319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497334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736</v>
      </c>
      <c r="D3055" s="2" t="str">
        <f t="shared" si="46"/>
        <v>Error?</v>
      </c>
    </row>
    <row r="3056" spans="1:4" x14ac:dyDescent="0.2">
      <c r="A3056" s="5">
        <v>2995</v>
      </c>
      <c r="B3056" s="138">
        <f>'Expenditures 15-22'!D10</f>
        <v>276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10774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11786</v>
      </c>
      <c r="C3062" s="2" t="s">
        <v>594</v>
      </c>
      <c r="D3062" s="2" t="str">
        <f t="shared" si="46"/>
        <v>Error?</v>
      </c>
    </row>
    <row r="3063" spans="1:4" x14ac:dyDescent="0.2">
      <c r="A3063" s="10">
        <v>3002</v>
      </c>
      <c r="D3063" s="2" t="str">
        <f t="shared" si="46"/>
        <v>OK</v>
      </c>
    </row>
    <row r="3064" spans="1:4" x14ac:dyDescent="0.2">
      <c r="A3064" s="5">
        <v>3003</v>
      </c>
      <c r="B3064" s="138">
        <f>'Expenditures 15-22'!D219</f>
        <v>11</v>
      </c>
      <c r="D3064" s="2" t="str">
        <f t="shared" si="46"/>
        <v>Error?</v>
      </c>
    </row>
    <row r="3065" spans="1:4" x14ac:dyDescent="0.2">
      <c r="A3065" s="5">
        <v>3004</v>
      </c>
      <c r="B3065" s="138">
        <f>'Expenditures 15-22'!K219</f>
        <v>11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15198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3000000</v>
      </c>
      <c r="C3231" s="2" t="s">
        <v>594</v>
      </c>
      <c r="D3231" s="2" t="str">
        <f t="shared" si="49"/>
        <v>Error?</v>
      </c>
    </row>
    <row r="3232" spans="1:4" x14ac:dyDescent="0.2">
      <c r="A3232" s="5">
        <v>3171</v>
      </c>
      <c r="B3232" s="138">
        <f>'Acct Summary 7-8'!C77</f>
        <v>-2984802</v>
      </c>
      <c r="C3232" s="2" t="s">
        <v>594</v>
      </c>
      <c r="D3232" s="2" t="str">
        <f t="shared" si="49"/>
        <v>Error?</v>
      </c>
    </row>
    <row r="3233" spans="1:4" x14ac:dyDescent="0.2">
      <c r="A3233" s="5">
        <v>3172</v>
      </c>
      <c r="B3233" s="138">
        <f>'Acct Summary 7-8'!C78</f>
        <v>-2351004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3000000</v>
      </c>
      <c r="C3235" s="2" t="s">
        <v>594</v>
      </c>
      <c r="D3235" s="2" t="str">
        <f t="shared" si="49"/>
        <v>Error?</v>
      </c>
    </row>
    <row r="3236" spans="1:4" x14ac:dyDescent="0.2">
      <c r="A3236" s="5">
        <v>3175</v>
      </c>
      <c r="B3236" s="138">
        <f>'Acct Summary 7-8'!D75</f>
        <v>8000000</v>
      </c>
      <c r="D3236" s="2" t="str">
        <f t="shared" si="49"/>
        <v>Error?</v>
      </c>
    </row>
    <row r="3237" spans="1:4" x14ac:dyDescent="0.2">
      <c r="A3237" s="5">
        <v>3176</v>
      </c>
      <c r="B3237" s="138">
        <f>'Acct Summary 7-8'!D76</f>
        <v>8075660</v>
      </c>
      <c r="C3237" s="2" t="s">
        <v>594</v>
      </c>
      <c r="D3237" s="2" t="str">
        <f t="shared" si="49"/>
        <v>Error?</v>
      </c>
    </row>
    <row r="3238" spans="1:4" x14ac:dyDescent="0.2">
      <c r="A3238" s="5">
        <v>3177</v>
      </c>
      <c r="B3238" s="138">
        <f>'Acct Summary 7-8'!D77</f>
        <v>-5075660</v>
      </c>
      <c r="C3238" s="2" t="s">
        <v>594</v>
      </c>
      <c r="D3238" s="2" t="str">
        <f t="shared" si="49"/>
        <v>Error?</v>
      </c>
    </row>
    <row r="3239" spans="1:4" x14ac:dyDescent="0.2">
      <c r="A3239" s="5">
        <v>3178</v>
      </c>
      <c r="B3239" s="138">
        <f>'Acct Summary 7-8'!D78</f>
        <v>-4584942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231769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143277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75660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75660</v>
      </c>
      <c r="C3277" s="2" t="s">
        <v>594</v>
      </c>
      <c r="D3277" s="2" t="str">
        <f t="shared" si="50"/>
        <v>Error?</v>
      </c>
    </row>
    <row r="3278" spans="1:4" x14ac:dyDescent="0.2">
      <c r="A3278" s="5">
        <v>3217</v>
      </c>
      <c r="B3278" s="138">
        <f>'Acct Summary 7-8'!E78</f>
        <v>29780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8000000</v>
      </c>
      <c r="D3295" s="2" t="str">
        <f t="shared" si="50"/>
        <v>Error?</v>
      </c>
    </row>
    <row r="3296" spans="1:4" x14ac:dyDescent="0.2">
      <c r="A3296" s="5">
        <v>3235</v>
      </c>
      <c r="B3296" s="138">
        <f>'Acct Summary 7-8'!H44</f>
        <v>8000000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8000000</v>
      </c>
      <c r="C3299" s="2" t="s">
        <v>594</v>
      </c>
      <c r="D3299" s="2" t="str">
        <f t="shared" si="50"/>
        <v>Error?</v>
      </c>
    </row>
    <row r="3300" spans="1:4" x14ac:dyDescent="0.2">
      <c r="A3300" s="5">
        <v>3239</v>
      </c>
      <c r="B3300" s="138">
        <f>'Acct Summary 7-8'!H78</f>
        <v>8115891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5042370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1142976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94708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82052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11828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233515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6607449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409865</v>
      </c>
      <c r="D3387" s="2" t="str">
        <f t="shared" si="51"/>
        <v>Error?</v>
      </c>
    </row>
    <row r="3388" spans="1:4" x14ac:dyDescent="0.2">
      <c r="A3388" s="5">
        <v>3327</v>
      </c>
      <c r="B3388" s="138">
        <f>'Expenditures 15-22'!D217</f>
        <v>179863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409865</v>
      </c>
      <c r="C3390" s="2" t="s">
        <v>594</v>
      </c>
      <c r="D3390" s="2" t="str">
        <f t="shared" si="51"/>
        <v>Error?</v>
      </c>
    </row>
    <row r="3391" spans="1:4" x14ac:dyDescent="0.2">
      <c r="A3391" s="5">
        <v>3330</v>
      </c>
      <c r="B3391" s="138">
        <f>'Expenditures 15-22'!K217</f>
        <v>179863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38052670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5165656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1523450</v>
      </c>
      <c r="D3417" s="2" t="str">
        <f t="shared" si="52"/>
        <v>Error?</v>
      </c>
    </row>
    <row r="3418" spans="1:4" x14ac:dyDescent="0.2">
      <c r="A3418" s="10">
        <v>3357</v>
      </c>
      <c r="D3418" s="2" t="str">
        <f t="shared" si="52"/>
        <v>OK</v>
      </c>
    </row>
    <row r="3419" spans="1:4" x14ac:dyDescent="0.2">
      <c r="A3419" s="5">
        <v>3358</v>
      </c>
      <c r="B3419" s="138">
        <f>'Assets-Liab 5-6'!F4</f>
        <v>2373584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1671352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10117321</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118448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646463</v>
      </c>
      <c r="C3446" s="2" t="s">
        <v>594</v>
      </c>
      <c r="D3446" s="2" t="str">
        <f t="shared" si="52"/>
        <v>Error?</v>
      </c>
    </row>
    <row r="3447" spans="1:4" x14ac:dyDescent="0.2">
      <c r="A3447" s="5">
        <v>3386</v>
      </c>
      <c r="B3447" s="138">
        <f>'Tax Sched 23'!D16</f>
        <v>646463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645499</v>
      </c>
      <c r="C3449" s="2" t="s">
        <v>594</v>
      </c>
      <c r="D3449" s="2" t="str">
        <f t="shared" si="52"/>
        <v>Error?</v>
      </c>
    </row>
    <row r="3450" spans="1:4" x14ac:dyDescent="0.2">
      <c r="A3450" s="5">
        <v>3389</v>
      </c>
      <c r="B3450" s="138">
        <f>'Tax Sched 23'!E16</f>
        <v>645499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74787</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15198</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1884990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1906475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1906475</v>
      </c>
      <c r="D3567" s="2" t="str">
        <f t="shared" si="54"/>
        <v>Error?</v>
      </c>
    </row>
    <row r="3568" spans="1:4" x14ac:dyDescent="0.2">
      <c r="A3568" s="5">
        <v>3507</v>
      </c>
      <c r="B3568" s="138">
        <f>'Assets-Liab 5-6'!K41</f>
        <v>1906475</v>
      </c>
      <c r="C3568" s="2" t="s">
        <v>594</v>
      </c>
      <c r="D3568" s="2" t="str">
        <f t="shared" si="54"/>
        <v>Error?</v>
      </c>
    </row>
    <row r="3569" spans="1:4" x14ac:dyDescent="0.2">
      <c r="A3569" s="5">
        <v>3508</v>
      </c>
      <c r="B3569" s="138">
        <f>'Acct Summary 7-8'!K4</f>
        <v>40025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40025</v>
      </c>
      <c r="C3571" s="2" t="s">
        <v>594</v>
      </c>
      <c r="D3571" s="2" t="str">
        <f t="shared" si="54"/>
        <v>Error?</v>
      </c>
    </row>
    <row r="3572" spans="1:4" x14ac:dyDescent="0.2">
      <c r="A3572" s="5">
        <v>3511</v>
      </c>
      <c r="B3572" s="138">
        <f>'Acct Summary 7-8'!K13</f>
        <v>1108382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1108382</v>
      </c>
      <c r="C3575" s="2" t="s">
        <v>594</v>
      </c>
      <c r="D3575" s="2" t="str">
        <f t="shared" si="54"/>
        <v>Error?</v>
      </c>
    </row>
    <row r="3576" spans="1:4" x14ac:dyDescent="0.2">
      <c r="A3576" s="5">
        <v>3515</v>
      </c>
      <c r="B3576" s="138">
        <f>'Acct Summary 7-8'!K20</f>
        <v>-1068357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-1068357</v>
      </c>
      <c r="C3588" s="2" t="s">
        <v>594</v>
      </c>
      <c r="D3588" s="2" t="str">
        <f t="shared" si="55"/>
        <v>Error?</v>
      </c>
    </row>
    <row r="3589" spans="1:4" x14ac:dyDescent="0.2">
      <c r="A3589" s="5">
        <v>3528</v>
      </c>
      <c r="B3589" s="138">
        <f>'Acct Summary 7-8'!K79</f>
        <v>2974832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1906475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1108382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1108382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1108382</v>
      </c>
      <c r="C3649" s="2" t="s">
        <v>594</v>
      </c>
      <c r="D3649" s="2" t="str">
        <f t="shared" si="56"/>
        <v>Error?</v>
      </c>
    </row>
    <row r="3650" spans="1:4" x14ac:dyDescent="0.2">
      <c r="A3650" s="5">
        <v>3589</v>
      </c>
      <c r="B3650" s="138">
        <f>'Expenditures 15-22'!G367</f>
        <v>1108382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1108382</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1108382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1108382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1108382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-1068357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35929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18895272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62026259</v>
      </c>
      <c r="C4122" s="2" t="s">
        <v>594</v>
      </c>
      <c r="D4122" s="2" t="str">
        <f t="shared" si="63"/>
        <v>Error?</v>
      </c>
    </row>
    <row r="4123" spans="1:4" x14ac:dyDescent="0.2">
      <c r="A4123" s="5">
        <v>4062</v>
      </c>
      <c r="B4123" s="138">
        <f>'Acct Summary 7-8'!D10</f>
        <v>6082420</v>
      </c>
      <c r="C4123" s="2" t="s">
        <v>594</v>
      </c>
      <c r="D4123" s="2" t="str">
        <f t="shared" si="63"/>
        <v>Error?</v>
      </c>
    </row>
    <row r="4124" spans="1:4" x14ac:dyDescent="0.2">
      <c r="A4124" s="5">
        <v>4063</v>
      </c>
      <c r="B4124" s="138">
        <f>'Acct Summary 7-8'!E10</f>
        <v>1130982</v>
      </c>
      <c r="C4124" s="2" t="s">
        <v>594</v>
      </c>
      <c r="D4124" s="2" t="str">
        <f t="shared" si="63"/>
        <v>Error?</v>
      </c>
    </row>
    <row r="4125" spans="1:4" x14ac:dyDescent="0.2">
      <c r="A4125" s="5">
        <v>4064</v>
      </c>
      <c r="B4125" s="138">
        <f>'Acct Summary 7-8'!F10</f>
        <v>1725805</v>
      </c>
      <c r="C4125" s="2" t="s">
        <v>594</v>
      </c>
      <c r="D4125" s="2" t="str">
        <f t="shared" si="63"/>
        <v>Error?</v>
      </c>
    </row>
    <row r="4126" spans="1:4" x14ac:dyDescent="0.2">
      <c r="A4126" s="5">
        <v>4065</v>
      </c>
      <c r="B4126" s="138">
        <f>'Acct Summary 7-8'!G10</f>
        <v>1257444</v>
      </c>
      <c r="C4126" s="2" t="s">
        <v>594</v>
      </c>
      <c r="D4126" s="2" t="str">
        <f t="shared" si="63"/>
        <v>Error?</v>
      </c>
    </row>
    <row r="4127" spans="1:4" x14ac:dyDescent="0.2">
      <c r="A4127" s="5">
        <v>4066</v>
      </c>
      <c r="B4127" s="138">
        <f>'Acct Summary 7-8'!H10</f>
        <v>2014270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40025</v>
      </c>
      <c r="C4130" s="2" t="s">
        <v>594</v>
      </c>
      <c r="D4130" s="2" t="str">
        <f t="shared" si="63"/>
        <v>Error?</v>
      </c>
    </row>
    <row r="4131" spans="1:4" x14ac:dyDescent="0.2">
      <c r="A4131" s="5">
        <v>4070</v>
      </c>
      <c r="B4131" s="138">
        <f>'Acct Summary 7-8'!C18</f>
        <v>18895272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61392461</v>
      </c>
      <c r="C4136" s="2" t="s">
        <v>594</v>
      </c>
      <c r="D4136" s="2" t="str">
        <f t="shared" si="63"/>
        <v>Error?</v>
      </c>
    </row>
    <row r="4137" spans="1:4" x14ac:dyDescent="0.2">
      <c r="A4137" s="5">
        <v>4076</v>
      </c>
      <c r="B4137" s="138">
        <f>'Acct Summary 7-8'!D19</f>
        <v>5591702</v>
      </c>
      <c r="C4137" s="2" t="s">
        <v>594</v>
      </c>
      <c r="D4137" s="2" t="str">
        <f t="shared" si="63"/>
        <v>Error?</v>
      </c>
    </row>
    <row r="4138" spans="1:4" x14ac:dyDescent="0.2">
      <c r="A4138" s="5">
        <v>4077</v>
      </c>
      <c r="B4138" s="138">
        <f>'Acct Summary 7-8'!E19</f>
        <v>1176862</v>
      </c>
      <c r="C4138" s="2" t="s">
        <v>594</v>
      </c>
      <c r="D4138" s="2" t="str">
        <f t="shared" si="63"/>
        <v>Error?</v>
      </c>
    </row>
    <row r="4139" spans="1:4" x14ac:dyDescent="0.2">
      <c r="A4139" s="5">
        <v>4078</v>
      </c>
      <c r="B4139" s="138">
        <f>'Acct Summary 7-8'!F19</f>
        <v>1494036</v>
      </c>
      <c r="C4139" s="2" t="s">
        <v>594</v>
      </c>
      <c r="D4139" s="2" t="str">
        <f t="shared" si="63"/>
        <v>Error?</v>
      </c>
    </row>
    <row r="4140" spans="1:4" x14ac:dyDescent="0.2">
      <c r="A4140" s="5">
        <v>4079</v>
      </c>
      <c r="B4140" s="138">
        <f>'Acct Summary 7-8'!G19</f>
        <v>1114167</v>
      </c>
      <c r="C4140" s="2" t="s">
        <v>594</v>
      </c>
      <c r="D4140" s="2" t="str">
        <f t="shared" si="63"/>
        <v>Error?</v>
      </c>
    </row>
    <row r="4141" spans="1:4" x14ac:dyDescent="0.2">
      <c r="A4141" s="5">
        <v>4080</v>
      </c>
      <c r="B4141" s="138">
        <f>'Acct Summary 7-8'!H19</f>
        <v>1898379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1108382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20630000</v>
      </c>
      <c r="C4171" s="2" t="s">
        <v>594</v>
      </c>
      <c r="D4171" s="2" t="str">
        <f t="shared" si="64"/>
        <v>Error?</v>
      </c>
    </row>
    <row r="4172" spans="1:4" x14ac:dyDescent="0.2">
      <c r="A4172" s="5">
        <v>4111</v>
      </c>
      <c r="B4172" s="138">
        <f>'Short-Term Long-Term Debt 24'!J49</f>
        <v>19755405</v>
      </c>
      <c r="C4172" s="2" t="s">
        <v>594</v>
      </c>
      <c r="D4172" s="2" t="str">
        <f t="shared" si="64"/>
        <v>Error?</v>
      </c>
    </row>
    <row r="4173" spans="1:4" x14ac:dyDescent="0.2">
      <c r="A4173" s="5">
        <v>4112</v>
      </c>
      <c r="B4173" s="138">
        <f>'Short-Term Long-Term Debt 24'!H49</f>
        <v>390000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2416.9809999999998</v>
      </c>
      <c r="C4265" s="2" t="s">
        <v>594</v>
      </c>
      <c r="D4265" s="2" t="str">
        <f t="shared" si="65"/>
        <v>Error?</v>
      </c>
      <c r="E4265" s="128"/>
    </row>
    <row r="4266" spans="1:5" x14ac:dyDescent="0.2">
      <c r="A4266" s="12">
        <v>4205</v>
      </c>
      <c r="B4266" s="138">
        <f>('FP Info 3'!F10)*100000</f>
        <v>378.58100000000002</v>
      </c>
      <c r="C4266" s="2" t="s">
        <v>594</v>
      </c>
      <c r="D4266" s="2" t="str">
        <f t="shared" si="65"/>
        <v>Error?</v>
      </c>
      <c r="E4266" s="128"/>
    </row>
    <row r="4267" spans="1:5" x14ac:dyDescent="0.2">
      <c r="A4267" s="12">
        <v>4206</v>
      </c>
      <c r="B4267" s="138">
        <f>('FP Info 3'!H10)*100000</f>
        <v>78.849000000000004</v>
      </c>
      <c r="C4267" s="2" t="s">
        <v>594</v>
      </c>
      <c r="D4267" s="2" t="str">
        <f t="shared" si="65"/>
        <v>Error?</v>
      </c>
      <c r="E4267" s="128"/>
    </row>
    <row r="4268" spans="1:5" x14ac:dyDescent="0.2">
      <c r="A4268" s="12">
        <v>4207</v>
      </c>
      <c r="B4268" s="138">
        <f>('FP Info 3'!J10)*100000</f>
        <v>2874</v>
      </c>
      <c r="C4268" s="2" t="s">
        <v>594</v>
      </c>
      <c r="D4268" s="2" t="str">
        <f t="shared" si="65"/>
        <v>Error?</v>
      </c>
    </row>
    <row r="4269" spans="1:5" x14ac:dyDescent="0.2">
      <c r="A4269" s="12">
        <v>4208</v>
      </c>
      <c r="B4269" s="138">
        <f>'FP Info 3'!J16</f>
        <v>15899620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162131</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49317</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46624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4062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1705504276</v>
      </c>
      <c r="D4995" s="2" t="str">
        <f t="shared" si="77"/>
        <v>Error?</v>
      </c>
    </row>
    <row r="4996" spans="1:4" x14ac:dyDescent="0.2">
      <c r="A4996" s="12">
        <v>4935</v>
      </c>
      <c r="B4996" s="138">
        <f>'FP Info 3'!H31</f>
        <v>117679795.04400001</v>
      </c>
      <c r="D4996" s="2" t="str">
        <f t="shared" si="77"/>
        <v>Error?</v>
      </c>
    </row>
    <row r="4997" spans="1:4" x14ac:dyDescent="0.2">
      <c r="A4997" s="12">
        <v>4936</v>
      </c>
      <c r="B4997" s="138">
        <f>'FP Info 3'!H37</f>
        <v>20630000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3000000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3000000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39889796</v>
      </c>
      <c r="D5061" s="2" t="str">
        <f t="shared" si="78"/>
        <v>Error?</v>
      </c>
    </row>
    <row r="5062" spans="1:4" x14ac:dyDescent="0.2">
      <c r="A5062" s="10">
        <v>5001</v>
      </c>
      <c r="D5062" s="2" t="str">
        <f t="shared" si="78"/>
        <v>OK</v>
      </c>
    </row>
    <row r="5063" spans="1:4" x14ac:dyDescent="0.2">
      <c r="A5063" s="5">
        <v>5002</v>
      </c>
      <c r="B5063" s="138">
        <f>'Revenues 9-14'!C7</f>
        <v>705838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40595634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128960</v>
      </c>
      <c r="D5072" s="2" t="str">
        <f t="shared" si="78"/>
        <v>Error?</v>
      </c>
    </row>
    <row r="5073" spans="1:4" x14ac:dyDescent="0.2">
      <c r="A5073" s="5">
        <v>5012</v>
      </c>
      <c r="B5073" s="138">
        <f>'Revenues 9-14'!C21</f>
        <v>279274</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408274</v>
      </c>
      <c r="C5087" s="2" t="s">
        <v>594</v>
      </c>
      <c r="D5087" s="2" t="str">
        <f t="shared" si="78"/>
        <v>Error?</v>
      </c>
    </row>
    <row r="5088" spans="1:4" x14ac:dyDescent="0.2">
      <c r="A5088" s="5">
        <v>5027</v>
      </c>
      <c r="B5088" s="138">
        <f>'Revenues 9-14'!C65</f>
        <v>423597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423597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29894</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123710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123710</v>
      </c>
      <c r="C5102" s="2" t="s">
        <v>594</v>
      </c>
      <c r="D5102" s="2" t="str">
        <f t="shared" si="78"/>
        <v>Error?</v>
      </c>
    </row>
    <row r="5103" spans="1:4" x14ac:dyDescent="0.2">
      <c r="A5103" s="5">
        <v>5042</v>
      </c>
      <c r="B5103" s="138">
        <f>'Revenues 9-14'!C84</f>
        <v>327652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327652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4550</v>
      </c>
      <c r="D5114" s="2" t="str">
        <f t="shared" si="78"/>
        <v>Error?</v>
      </c>
    </row>
    <row r="5115" spans="1:4" x14ac:dyDescent="0.2">
      <c r="A5115" s="5">
        <v>5054</v>
      </c>
      <c r="B5115" s="138">
        <f>'Revenues 9-14'!C98</f>
        <v>3381</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2378</v>
      </c>
      <c r="D5118" s="2" t="str">
        <f t="shared" si="78"/>
        <v>Error?</v>
      </c>
    </row>
    <row r="5119" spans="1:4" x14ac:dyDescent="0.2">
      <c r="A5119" s="5">
        <v>5058</v>
      </c>
      <c r="B5119" s="138">
        <f>'Revenues 9-14'!C107</f>
        <v>52000</v>
      </c>
      <c r="D5119" s="2" t="str">
        <f t="shared" ref="D5119:D5182" si="79">IF(ISBLANK(B5119),"OK",IF(A5119-B5119=0,"OK","Error?"))</f>
        <v>Error?</v>
      </c>
    </row>
    <row r="5120" spans="1:4" x14ac:dyDescent="0.2">
      <c r="A5120" s="5">
        <v>5059</v>
      </c>
      <c r="B5120" s="138">
        <f>'Revenues 9-14'!C108</f>
        <v>62309</v>
      </c>
      <c r="C5120" s="2" t="s">
        <v>594</v>
      </c>
      <c r="D5120" s="2" t="str">
        <f t="shared" si="79"/>
        <v>Error?</v>
      </c>
    </row>
    <row r="5121" spans="1:4" x14ac:dyDescent="0.2">
      <c r="A5121" s="5">
        <v>5060</v>
      </c>
      <c r="B5121" s="138">
        <f>'Revenues 9-14'!C109</f>
        <v>41971070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139644</v>
      </c>
      <c r="D5133" s="2" t="str">
        <f t="shared" si="79"/>
        <v>Error?</v>
      </c>
    </row>
    <row r="5134" spans="1:4" x14ac:dyDescent="0.2">
      <c r="A5134" s="5">
        <v>5073</v>
      </c>
      <c r="B5134" s="138">
        <f>'Revenues 9-14'!C125</f>
        <v>88320</v>
      </c>
      <c r="D5134" s="2" t="str">
        <f t="shared" si="79"/>
        <v>Error?</v>
      </c>
    </row>
    <row r="5135" spans="1:4" x14ac:dyDescent="0.2">
      <c r="A5135" s="5">
        <v>5074</v>
      </c>
      <c r="B5135" s="138">
        <f>'Revenues 9-14'!C126</f>
        <v>196701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861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425526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429588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429588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19676</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19676</v>
      </c>
      <c r="C5246" s="2" t="s">
        <v>594</v>
      </c>
      <c r="D5246" s="2" t="str">
        <f t="shared" si="80"/>
        <v>Error?</v>
      </c>
    </row>
    <row r="5247" spans="1:4" x14ac:dyDescent="0.2">
      <c r="A5247" s="5">
        <v>5186</v>
      </c>
      <c r="B5247" s="138">
        <f>'Revenues 9-14'!C203</f>
        <v>57268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106585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22972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524116</v>
      </c>
      <c r="D5278" s="2" t="str">
        <f t="shared" si="81"/>
        <v>Error?</v>
      </c>
    </row>
    <row r="5279" spans="1:4" x14ac:dyDescent="0.2">
      <c r="A5279" s="5">
        <v>5218</v>
      </c>
      <c r="B5279" s="138">
        <f>'Revenues 9-14'!C221</f>
        <v>10356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557444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730329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730329</v>
      </c>
      <c r="C5326" s="2" t="s">
        <v>594</v>
      </c>
      <c r="D5326" s="2" t="str">
        <f t="shared" si="82"/>
        <v>Error?</v>
      </c>
    </row>
    <row r="5327" spans="1:4" x14ac:dyDescent="0.2">
      <c r="A5327" s="5">
        <v>5266</v>
      </c>
      <c r="B5327" s="138">
        <f>'Revenues 9-14'!C275</f>
        <v>43130987</v>
      </c>
      <c r="C5327" s="2" t="s">
        <v>594</v>
      </c>
      <c r="D5327" s="2" t="str">
        <f t="shared" si="82"/>
        <v>Error?</v>
      </c>
    </row>
    <row r="5328" spans="1:4" x14ac:dyDescent="0.2">
      <c r="A5328" s="5">
        <v>5267</v>
      </c>
      <c r="B5328" s="138">
        <f>'Revenues 9-14'!D5</f>
        <v>6019298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6019298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30948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30948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32174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32174</v>
      </c>
      <c r="C5355" s="2" t="s">
        <v>594</v>
      </c>
      <c r="D5355" s="2" t="str">
        <f t="shared" si="82"/>
        <v>Error?</v>
      </c>
    </row>
    <row r="5356" spans="1:4" x14ac:dyDescent="0.2">
      <c r="A5356" s="5">
        <v>5295</v>
      </c>
      <c r="B5356" s="138">
        <f>'Revenues 9-14'!D109</f>
        <v>6082420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6082420</v>
      </c>
      <c r="C5508" s="2" t="s">
        <v>594</v>
      </c>
      <c r="D5508" s="2" t="str">
        <f t="shared" si="85"/>
        <v>Error?</v>
      </c>
    </row>
    <row r="5509" spans="1:4" x14ac:dyDescent="0.2">
      <c r="A5509" s="5">
        <v>5448</v>
      </c>
      <c r="B5509" s="138">
        <f>'Revenues 9-14'!E5</f>
        <v>1107422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1107422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23560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23560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1130982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1130982</v>
      </c>
      <c r="C5552" s="2" t="s">
        <v>594</v>
      </c>
      <c r="D5552" s="2" t="str">
        <f t="shared" si="85"/>
        <v>Error?</v>
      </c>
    </row>
    <row r="5553" spans="1:4" x14ac:dyDescent="0.2">
      <c r="A5553" s="5">
        <v>5492</v>
      </c>
      <c r="B5553" s="138">
        <f>'Revenues 9-14'!F5</f>
        <v>1321497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1321497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84426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84426</v>
      </c>
      <c r="C5579" s="2" t="s">
        <v>594</v>
      </c>
      <c r="D5579" s="2" t="str">
        <f t="shared" si="86"/>
        <v>Error?</v>
      </c>
    </row>
    <row r="5580" spans="1:4" x14ac:dyDescent="0.2">
      <c r="A5580" s="5">
        <v>5519</v>
      </c>
      <c r="B5580" s="138">
        <f>'Revenues 9-14'!F65</f>
        <v>39044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39044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1444967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20206</v>
      </c>
      <c r="D5615" s="2" t="str">
        <f t="shared" si="86"/>
        <v>Error?</v>
      </c>
    </row>
    <row r="5616" spans="1:4" x14ac:dyDescent="0.2">
      <c r="A5616" s="10">
        <v>5555</v>
      </c>
      <c r="D5616" s="2" t="str">
        <f t="shared" si="86"/>
        <v>OK</v>
      </c>
    </row>
    <row r="5617" spans="1:4" x14ac:dyDescent="0.2">
      <c r="A5617" s="5">
        <v>5556</v>
      </c>
      <c r="B5617" s="138">
        <f>'Revenues 9-14'!F152</f>
        <v>260632</v>
      </c>
      <c r="D5617" s="2" t="str">
        <f t="shared" si="86"/>
        <v>Error?</v>
      </c>
    </row>
    <row r="5618" spans="1:4" x14ac:dyDescent="0.2">
      <c r="A5618" s="5">
        <v>5557</v>
      </c>
      <c r="B5618" s="138">
        <f>'Revenues 9-14'!F154</f>
        <v>280838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280838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280838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1725805</v>
      </c>
      <c r="C5720" s="2" t="s">
        <v>594</v>
      </c>
      <c r="D5720" s="2" t="str">
        <f t="shared" si="88"/>
        <v>Error?</v>
      </c>
    </row>
    <row r="5721" spans="1:4" x14ac:dyDescent="0.2">
      <c r="A5721" s="5">
        <v>5660</v>
      </c>
      <c r="B5721" s="138">
        <f>'Revenues 9-14'!G5</f>
        <v>486197</v>
      </c>
      <c r="D5721" s="2" t="str">
        <f t="shared" si="88"/>
        <v>Error?</v>
      </c>
    </row>
    <row r="5722" spans="1:4" x14ac:dyDescent="0.2">
      <c r="A5722" s="5">
        <v>5661</v>
      </c>
      <c r="B5722" s="138">
        <f>'Revenues 9-14'!G7</f>
        <v>0</v>
      </c>
      <c r="D5722" s="2" t="str">
        <f t="shared" si="88"/>
        <v>Error?</v>
      </c>
    </row>
    <row r="5723" spans="1:4" x14ac:dyDescent="0.2">
      <c r="A5723" s="5">
        <v>5662</v>
      </c>
      <c r="B5723" s="138">
        <f>'Revenues 9-14'!G8</f>
        <v>646463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1132660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100000</v>
      </c>
      <c r="C5730" s="2" t="s">
        <v>594</v>
      </c>
      <c r="D5730" s="2" t="str">
        <f t="shared" si="88"/>
        <v>Error?</v>
      </c>
    </row>
    <row r="5731" spans="1:4" x14ac:dyDescent="0.2">
      <c r="A5731" s="5">
        <v>5670</v>
      </c>
      <c r="B5731" s="138">
        <f>'Revenues 9-14'!G65</f>
        <v>24784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24784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1257444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338922</v>
      </c>
      <c r="D5876" s="2" t="str">
        <f t="shared" si="90"/>
        <v>Error?</v>
      </c>
    </row>
    <row r="5877" spans="1:4" x14ac:dyDescent="0.2">
      <c r="A5877" s="5">
        <v>5816</v>
      </c>
      <c r="B5877" s="138">
        <f>'Revenues 9-14'!H17</f>
        <v>13910</v>
      </c>
      <c r="D5877" s="2" t="str">
        <f t="shared" si="90"/>
        <v>Error?</v>
      </c>
    </row>
    <row r="5878" spans="1:4" x14ac:dyDescent="0.2">
      <c r="A5878" s="5">
        <v>5817</v>
      </c>
      <c r="B5878" s="138">
        <f>'Revenues 9-14'!H18</f>
        <v>352832</v>
      </c>
      <c r="C5878" s="2" t="s">
        <v>594</v>
      </c>
      <c r="D5878" s="2" t="str">
        <f t="shared" si="90"/>
        <v>Error?</v>
      </c>
    </row>
    <row r="5879" spans="1:4" x14ac:dyDescent="0.2">
      <c r="A5879" s="5">
        <v>5818</v>
      </c>
      <c r="B5879" s="138">
        <f>'Revenues 9-14'!H65</f>
        <v>188903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188903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1472535</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1472535</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1472535</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2014270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40025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40025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40025</v>
      </c>
      <c r="C6023" s="2" t="s">
        <v>594</v>
      </c>
      <c r="D6023" s="2" t="str">
        <f t="shared" si="93"/>
        <v>Error?</v>
      </c>
    </row>
    <row r="6024" spans="1:5" x14ac:dyDescent="0.2">
      <c r="A6024" s="5">
        <v>5963</v>
      </c>
      <c r="B6024" s="138">
        <f>'Revenues 9-14'!G109</f>
        <v>1257444</v>
      </c>
      <c r="C6024" s="2" t="s">
        <v>594</v>
      </c>
      <c r="D6024" s="2" t="str">
        <f t="shared" si="93"/>
        <v>Error?</v>
      </c>
    </row>
    <row r="6025" spans="1:5" x14ac:dyDescent="0.2">
      <c r="A6025" s="5">
        <v>5964</v>
      </c>
      <c r="B6025" s="138">
        <f>'Revenues 9-14'!H109</f>
        <v>541735</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40025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29894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2783.84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243343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70310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273393</v>
      </c>
      <c r="D6099" s="2" t="str">
        <f t="shared" si="94"/>
        <v>Error?</v>
      </c>
      <c r="E6099" s="2" t="s">
        <v>199</v>
      </c>
    </row>
    <row r="6100" spans="1:5" x14ac:dyDescent="0.2">
      <c r="A6100">
        <v>6039</v>
      </c>
      <c r="B6100" s="138">
        <f>'Assets-Liab 5-6'!D9</f>
        <v>9124</v>
      </c>
      <c r="D6100" s="2" t="str">
        <f t="shared" si="94"/>
        <v>Error?</v>
      </c>
      <c r="E6100" s="2" t="s">
        <v>199</v>
      </c>
    </row>
    <row r="6101" spans="1:5" x14ac:dyDescent="0.2">
      <c r="A6101">
        <v>6040</v>
      </c>
      <c r="B6101" s="138">
        <f>'Assets-Liab 5-6'!E9</f>
        <v>13775</v>
      </c>
      <c r="D6101" s="2" t="str">
        <f t="shared" si="94"/>
        <v>Error?</v>
      </c>
      <c r="E6101" s="2" t="s">
        <v>199</v>
      </c>
    </row>
    <row r="6102" spans="1:5" x14ac:dyDescent="0.2">
      <c r="A6102">
        <v>6041</v>
      </c>
      <c r="B6102" s="138">
        <f>'Assets-Liab 5-6'!F9</f>
        <v>20243</v>
      </c>
      <c r="D6102" s="2" t="str">
        <f t="shared" si="94"/>
        <v>Error?</v>
      </c>
      <c r="E6102" s="2" t="s">
        <v>199</v>
      </c>
    </row>
    <row r="6103" spans="1:5" x14ac:dyDescent="0.2">
      <c r="A6103">
        <f>A6102+1</f>
        <v>6042</v>
      </c>
      <c r="B6103" s="138">
        <f>'Assets-Liab 5-6'!G9</f>
        <v>14005</v>
      </c>
      <c r="D6103" s="2" t="str">
        <f t="shared" si="94"/>
        <v>Error?</v>
      </c>
      <c r="E6103" s="2" t="s">
        <v>199</v>
      </c>
    </row>
    <row r="6104" spans="1:5" x14ac:dyDescent="0.2">
      <c r="A6104">
        <v>6043</v>
      </c>
      <c r="B6104" s="138">
        <f>'Assets-Liab 5-6'!H9</f>
        <v>116647</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21485</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1145979</v>
      </c>
      <c r="D6113" s="2" t="str">
        <f t="shared" si="94"/>
        <v>Error?</v>
      </c>
      <c r="E6113" s="2" t="s">
        <v>199</v>
      </c>
    </row>
    <row r="6114" spans="1:5" x14ac:dyDescent="0.2">
      <c r="A6114">
        <v>6053</v>
      </c>
      <c r="B6114" s="138">
        <f>'Assets-Liab 5-6'!D11</f>
        <v>24359</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381104</v>
      </c>
      <c r="D6142" s="2" t="str">
        <f t="shared" si="94"/>
        <v>Error?</v>
      </c>
      <c r="E6142" s="2" t="s">
        <v>199</v>
      </c>
    </row>
    <row r="6143" spans="1:5" x14ac:dyDescent="0.2">
      <c r="A6143">
        <v>6082</v>
      </c>
      <c r="B6143" s="138">
        <f>'Assets-Liab 5-6'!D27</f>
        <v>334322</v>
      </c>
      <c r="D6143" s="2" t="str">
        <f t="shared" ref="D6143:D6206" si="95">IF(ISBLANK(B6143),"OK",IF(A6143-B6143=0,"OK","Error?"))</f>
        <v>Error?</v>
      </c>
      <c r="E6143" s="2" t="s">
        <v>199</v>
      </c>
    </row>
    <row r="6144" spans="1:5" x14ac:dyDescent="0.2">
      <c r="A6144">
        <v>6083</v>
      </c>
      <c r="B6144" s="138">
        <f>'Assets-Liab 5-6'!E27</f>
        <v>28579</v>
      </c>
      <c r="D6144" s="2" t="str">
        <f t="shared" si="95"/>
        <v>Error?</v>
      </c>
      <c r="E6144" s="2" t="s">
        <v>199</v>
      </c>
    </row>
    <row r="6145" spans="1:5" x14ac:dyDescent="0.2">
      <c r="A6145">
        <v>6084</v>
      </c>
      <c r="B6145" s="138">
        <f>'Assets-Liab 5-6'!F27</f>
        <v>28835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58005</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-2351004</v>
      </c>
      <c r="D6267" s="2" t="str">
        <f t="shared" si="96"/>
        <v>Error?</v>
      </c>
      <c r="E6267" s="2" t="s">
        <v>199</v>
      </c>
    </row>
    <row r="6268" spans="1:5" x14ac:dyDescent="0.2">
      <c r="A6268">
        <v>6207</v>
      </c>
      <c r="B6268" s="138">
        <f>'Acct Summary 7-8'!D82</f>
        <v>-4584942</v>
      </c>
      <c r="D6268" s="2" t="str">
        <f t="shared" si="96"/>
        <v>Error?</v>
      </c>
      <c r="E6268" s="2" t="s">
        <v>199</v>
      </c>
    </row>
    <row r="6269" spans="1:5" x14ac:dyDescent="0.2">
      <c r="A6269">
        <v>6208</v>
      </c>
      <c r="B6269" s="138">
        <f>'Acct Summary 7-8'!E82</f>
        <v>29780</v>
      </c>
      <c r="D6269" s="2" t="str">
        <f t="shared" si="96"/>
        <v>Error?</v>
      </c>
      <c r="E6269" s="2" t="s">
        <v>199</v>
      </c>
    </row>
    <row r="6270" spans="1:5" x14ac:dyDescent="0.2">
      <c r="A6270">
        <v>6209</v>
      </c>
      <c r="B6270" s="138">
        <f>'Acct Summary 7-8'!F82</f>
        <v>231769</v>
      </c>
      <c r="D6270" s="2" t="str">
        <f t="shared" si="96"/>
        <v>Error?</v>
      </c>
      <c r="E6270" s="2" t="s">
        <v>199</v>
      </c>
    </row>
    <row r="6271" spans="1:5" x14ac:dyDescent="0.2">
      <c r="A6271">
        <v>6210</v>
      </c>
      <c r="B6271" s="138">
        <f>'Acct Summary 7-8'!G82</f>
        <v>143277</v>
      </c>
      <c r="D6271" s="2" t="str">
        <f t="shared" ref="D6271:D6334" si="97">IF(ISBLANK(B6271),"OK",IF(A6271-B6271=0,"OK","Error?"))</f>
        <v>Error?</v>
      </c>
      <c r="E6271" s="2" t="s">
        <v>199</v>
      </c>
    </row>
    <row r="6272" spans="1:5" x14ac:dyDescent="0.2">
      <c r="A6272">
        <v>6211</v>
      </c>
      <c r="B6272" s="138">
        <f>'Acct Summary 7-8'!H82</f>
        <v>8115891</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-1068357</v>
      </c>
      <c r="D6275" s="2" t="str">
        <f t="shared" si="97"/>
        <v>Error?</v>
      </c>
      <c r="E6275" s="2" t="s">
        <v>199</v>
      </c>
    </row>
    <row r="6276" spans="1:5" x14ac:dyDescent="0.2">
      <c r="A6276">
        <v>6215</v>
      </c>
      <c r="B6276" s="138">
        <f>'Acct Summary 7-8'!C83</f>
        <v>-0.179726722581382</v>
      </c>
      <c r="D6276" s="2" t="str">
        <f t="shared" si="97"/>
        <v>Error?</v>
      </c>
      <c r="E6276" s="2" t="s">
        <v>199</v>
      </c>
    </row>
    <row r="6277" spans="1:5" x14ac:dyDescent="0.2">
      <c r="A6277">
        <v>6216</v>
      </c>
      <c r="B6277" s="138">
        <f>'Acct Summary 7-8'!D83</f>
        <v>-3.8853498003065949</v>
      </c>
      <c r="D6277" s="2" t="str">
        <f t="shared" si="97"/>
        <v>Error?</v>
      </c>
      <c r="E6277" s="2" t="s">
        <v>199</v>
      </c>
    </row>
    <row r="6278" spans="1:5" x14ac:dyDescent="0.2">
      <c r="A6278">
        <v>6217</v>
      </c>
      <c r="B6278" s="138">
        <f>'Acct Summary 7-8'!E83</f>
        <v>3.4050046021301288E-2</v>
      </c>
      <c r="D6278" s="2" t="str">
        <f t="shared" si="97"/>
        <v>Error?</v>
      </c>
      <c r="E6278" s="2" t="s">
        <v>199</v>
      </c>
    </row>
    <row r="6279" spans="1:5" x14ac:dyDescent="0.2">
      <c r="A6279">
        <v>6218</v>
      </c>
      <c r="B6279" s="138">
        <f>'Acct Summary 7-8'!F83</f>
        <v>0.14144606754190245</v>
      </c>
      <c r="D6279" s="2" t="str">
        <f t="shared" si="97"/>
        <v>Error?</v>
      </c>
      <c r="E6279" s="2" t="s">
        <v>199</v>
      </c>
    </row>
    <row r="6280" spans="1:5" x14ac:dyDescent="0.2">
      <c r="A6280">
        <v>6219</v>
      </c>
      <c r="B6280" s="138">
        <f>'Acct Summary 7-8'!G83</f>
        <v>0.15553283159701303</v>
      </c>
      <c r="D6280" s="2" t="str">
        <f t="shared" si="97"/>
        <v>Error?</v>
      </c>
      <c r="E6280" s="2" t="s">
        <v>199</v>
      </c>
    </row>
    <row r="6281" spans="1:5" x14ac:dyDescent="0.2">
      <c r="A6281">
        <v>6220</v>
      </c>
      <c r="B6281" s="138">
        <f>'Acct Summary 7-8'!H83</f>
        <v>0.79173631197717242</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-0.56038343015250658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720</v>
      </c>
      <c r="D6998" s="2" t="str">
        <f t="shared" si="108"/>
        <v>Error?</v>
      </c>
    </row>
    <row r="6999" spans="1:4" x14ac:dyDescent="0.2">
      <c r="A6999">
        <v>6938</v>
      </c>
      <c r="B6999" s="138">
        <f>'Expenditures 15-22'!K94</f>
        <v>720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720</v>
      </c>
      <c r="D7012" s="2" t="str">
        <f t="shared" si="108"/>
        <v>Error?</v>
      </c>
    </row>
    <row r="7013" spans="1:4" x14ac:dyDescent="0.2">
      <c r="A7013">
        <v>6952</v>
      </c>
      <c r="B7013" s="138">
        <f>'Expenditures 15-22'!K100</f>
        <v>720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3717895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705838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91214</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91214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2867400</v>
      </c>
      <c r="D7797" s="2" t="str">
        <f t="shared" si="127"/>
        <v>Error?</v>
      </c>
      <c r="E7797" s="4" t="s">
        <v>2020</v>
      </c>
    </row>
    <row r="7798" spans="1:5" x14ac:dyDescent="0.2">
      <c r="A7798">
        <v>7737</v>
      </c>
      <c r="B7798" s="138">
        <f>'Contracts Paid in CY 29'!F141</f>
        <v>150000</v>
      </c>
      <c r="D7798" s="2" t="str">
        <f t="shared" si="127"/>
        <v>Error?</v>
      </c>
      <c r="E7798" s="4" t="s">
        <v>2020</v>
      </c>
    </row>
    <row r="7799" spans="1:5" x14ac:dyDescent="0.2">
      <c r="A7799">
        <v>7738</v>
      </c>
      <c r="B7799" s="138">
        <f>'Contracts Paid in CY 29'!G141</f>
        <v>2717400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4" t="str">
        <f>COVER!A17</f>
        <v>Deerfield SD 109</v>
      </c>
      <c r="B7" s="2405"/>
      <c r="C7" s="2405"/>
      <c r="D7" s="2442"/>
      <c r="E7" s="2443">
        <f>COVER!A13</f>
        <v>34049109002</v>
      </c>
      <c r="F7" s="2444"/>
      <c r="G7" s="2411" t="str">
        <f>COVER!T23</f>
        <v>066-033289</v>
      </c>
      <c r="H7" s="2412"/>
      <c r="I7" s="2412"/>
      <c r="J7" s="2412"/>
      <c r="K7" s="2412"/>
      <c r="L7" s="2413"/>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4"/>
      <c r="B9" s="2415"/>
      <c r="C9" s="2415"/>
      <c r="D9" s="2415"/>
      <c r="E9" s="2415"/>
      <c r="F9" s="2416"/>
      <c r="G9" s="2417" t="str">
        <f>COVER!T13</f>
        <v>Evoy, Kamschulte, Jacobs &amp; Co. LLP</v>
      </c>
      <c r="H9" s="2418"/>
      <c r="I9" s="2418"/>
      <c r="J9" s="2418"/>
      <c r="K9" s="2418"/>
      <c r="L9" s="2419"/>
    </row>
    <row r="10" spans="1:29" ht="13.5" customHeight="1" x14ac:dyDescent="0.2">
      <c r="A10" s="2401" t="str">
        <f>COVER!A38</f>
        <v>Dr. Anthony McConnell</v>
      </c>
      <c r="B10" s="2402"/>
      <c r="C10" s="2402"/>
      <c r="D10" s="2402"/>
      <c r="E10" s="2402"/>
      <c r="F10" s="2403"/>
      <c r="G10" s="2417" t="str">
        <f>COVER!T17</f>
        <v>2122 Yeoman Street</v>
      </c>
      <c r="H10" s="2430"/>
      <c r="I10" s="2430"/>
      <c r="J10" s="2430"/>
      <c r="K10" s="2430"/>
      <c r="L10" s="2431"/>
    </row>
    <row r="11" spans="1:29" ht="13.5" customHeight="1" x14ac:dyDescent="0.2">
      <c r="A11" s="1184" t="s">
        <v>1599</v>
      </c>
      <c r="B11" s="1185"/>
      <c r="C11" s="1186"/>
      <c r="D11" s="1191"/>
      <c r="E11" s="1186"/>
      <c r="F11" s="1190"/>
      <c r="G11" s="2417" t="str">
        <f>COVER!T19</f>
        <v>Waukegan</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jaceto@ekjllp.com</v>
      </c>
      <c r="J13" s="2439"/>
      <c r="K13" s="2439"/>
      <c r="L13" s="2440"/>
    </row>
    <row r="14" spans="1:29" ht="13.5" customHeight="1" x14ac:dyDescent="0.2">
      <c r="A14" s="2417" t="str">
        <f>COVER!A19</f>
        <v>517 Deerfield Road</v>
      </c>
      <c r="B14" s="2430"/>
      <c r="C14" s="2430"/>
      <c r="D14" s="2430"/>
      <c r="E14" s="2430"/>
      <c r="F14" s="2431"/>
      <c r="G14" s="1195" t="s">
        <v>1247</v>
      </c>
      <c r="H14" s="1193"/>
      <c r="I14" s="1193"/>
      <c r="J14" s="1193"/>
      <c r="K14" s="1193"/>
      <c r="L14" s="1194"/>
    </row>
    <row r="15" spans="1:29" ht="13.5" customHeight="1" x14ac:dyDescent="0.2">
      <c r="A15" s="2417" t="str">
        <f>COVER!A21</f>
        <v>Deerfield</v>
      </c>
      <c r="B15" s="2430"/>
      <c r="C15" s="2430"/>
      <c r="D15" s="2430"/>
      <c r="E15" s="2430"/>
      <c r="F15" s="2431"/>
      <c r="G15" s="2427" t="str">
        <f>COVER!T15</f>
        <v>John D. Aceto, Jr., CPA</v>
      </c>
      <c r="H15" s="2428"/>
      <c r="I15" s="2428"/>
      <c r="J15" s="2428"/>
      <c r="K15" s="2428"/>
      <c r="L15" s="2429"/>
    </row>
    <row r="16" spans="1:29" ht="12.2" customHeight="1" x14ac:dyDescent="0.2">
      <c r="A16" s="2407">
        <f>COVER!A25</f>
        <v>60015</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5" t="s">
        <v>1246</v>
      </c>
      <c r="H17" s="1193"/>
      <c r="I17" s="1193"/>
      <c r="J17" s="1193"/>
      <c r="K17" s="1197" t="s">
        <v>1245</v>
      </c>
      <c r="L17" s="1190"/>
      <c r="M17" s="1183"/>
    </row>
    <row r="18" spans="1:13" ht="12.2" customHeight="1" x14ac:dyDescent="0.2">
      <c r="A18" s="2401"/>
      <c r="B18" s="2402"/>
      <c r="C18" s="2402"/>
      <c r="D18" s="2402"/>
      <c r="E18" s="2402"/>
      <c r="F18" s="2403"/>
      <c r="G18" s="2404" t="str">
        <f>COVER!T21</f>
        <v>847-662-8300</v>
      </c>
      <c r="H18" s="2405"/>
      <c r="I18" s="2405"/>
      <c r="J18" s="2405"/>
      <c r="K18" s="2404" t="str">
        <f>COVER!X21</f>
        <v>847-662-8305</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5" t="str">
        <f>'Single Audit Cover'!A7</f>
        <v>Deerfield SD 109</v>
      </c>
      <c r="B1" s="2441"/>
      <c r="C1" s="2441"/>
      <c r="D1" s="2441"/>
    </row>
    <row r="2" spans="1:11" s="1214" customFormat="1" ht="12.75" x14ac:dyDescent="0.2">
      <c r="A2" s="2446">
        <f>'Single Audit Cover'!E7</f>
        <v>34049109002</v>
      </c>
      <c r="B2" s="2447"/>
      <c r="C2" s="2447"/>
      <c r="D2" s="2447"/>
    </row>
    <row r="3" spans="1:11" s="1214" customFormat="1" ht="12.75" x14ac:dyDescent="0.2">
      <c r="A3" s="2445" t="s">
        <v>1593</v>
      </c>
      <c r="B3" s="2441"/>
      <c r="C3" s="2441"/>
      <c r="D3" s="2441"/>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49" t="str">
        <f>'Single Audit Cover'!A7</f>
        <v>Deerfield SD 109</v>
      </c>
      <c r="B1" s="2449"/>
      <c r="C1" s="2449"/>
      <c r="D1" s="2449"/>
      <c r="E1" s="2449"/>
    </row>
    <row r="2" spans="1:5" x14ac:dyDescent="0.2">
      <c r="A2" s="2450">
        <f>'Single Audit Cover'!E7</f>
        <v>34049109002</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59" t="s">
        <v>1305</v>
      </c>
    </row>
    <row r="10" spans="1:5" x14ac:dyDescent="0.2">
      <c r="A10" s="1260" t="s">
        <v>1304</v>
      </c>
      <c r="B10" s="1261" t="s">
        <v>1303</v>
      </c>
      <c r="C10" s="1261"/>
      <c r="D10" s="1262">
        <f>SUM('Acct Summary 7-8'!C7:K7)</f>
        <v>730329</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0</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730329</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1"/>
      <c r="B24" s="2451"/>
      <c r="D24" s="1267"/>
    </row>
    <row r="25" spans="1:4" x14ac:dyDescent="0.2">
      <c r="A25" s="2448"/>
      <c r="B25" s="2448"/>
      <c r="D25" s="1267"/>
    </row>
    <row r="26" spans="1:4" x14ac:dyDescent="0.2">
      <c r="A26" s="2448"/>
      <c r="B26" s="2448"/>
      <c r="D26" s="1267"/>
    </row>
    <row r="27" spans="1:4" x14ac:dyDescent="0.2">
      <c r="A27" s="2448"/>
      <c r="B27" s="2448"/>
      <c r="D27" s="1267"/>
    </row>
    <row r="28" spans="1:4" x14ac:dyDescent="0.2">
      <c r="A28" s="2448"/>
      <c r="B28" s="2448"/>
      <c r="D28" s="1267"/>
    </row>
    <row r="29" spans="1:4" x14ac:dyDescent="0.2">
      <c r="A29" s="2448"/>
      <c r="B29" s="2448"/>
      <c r="D29" s="1267"/>
    </row>
    <row r="30" spans="1:4" x14ac:dyDescent="0.2">
      <c r="A30" s="2448"/>
      <c r="B30" s="2448"/>
      <c r="D30" s="1267"/>
    </row>
    <row r="32" spans="1:4" x14ac:dyDescent="0.2">
      <c r="A32" s="1259" t="s">
        <v>1295</v>
      </c>
      <c r="D32" s="1262">
        <f>SUM(D19:D30)</f>
        <v>730329</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48"/>
      <c r="B40" s="2448"/>
      <c r="D40" s="1267"/>
    </row>
    <row r="41" spans="1:4" x14ac:dyDescent="0.2">
      <c r="A41" s="2448"/>
      <c r="B41" s="2448"/>
      <c r="D41" s="1270"/>
    </row>
    <row r="42" spans="1:4" x14ac:dyDescent="0.2">
      <c r="A42" s="2448"/>
      <c r="B42" s="2448"/>
      <c r="D42" s="1270"/>
    </row>
    <row r="43" spans="1:4" x14ac:dyDescent="0.2">
      <c r="A43" s="2448"/>
      <c r="B43" s="2448"/>
      <c r="D43" s="1270"/>
    </row>
    <row r="44" spans="1:4" x14ac:dyDescent="0.2">
      <c r="A44" s="2448"/>
      <c r="B44" s="2448"/>
      <c r="D44" s="1270"/>
    </row>
    <row r="45" spans="1:4" x14ac:dyDescent="0.2">
      <c r="A45" s="2448"/>
      <c r="B45" s="2448"/>
      <c r="D45" s="1270"/>
    </row>
    <row r="47" spans="1:4" x14ac:dyDescent="0.2">
      <c r="B47" s="1271" t="s">
        <v>1289</v>
      </c>
      <c r="C47" s="1271"/>
      <c r="D47" s="1272">
        <f>SUM(D35:D45)</f>
        <v>0</v>
      </c>
    </row>
    <row r="49" spans="2:4" x14ac:dyDescent="0.2">
      <c r="B49" s="1271" t="s">
        <v>1288</v>
      </c>
      <c r="C49" s="1271"/>
      <c r="D49" s="1272">
        <f>D32-D47</f>
        <v>730329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Deerfield SD 109</v>
      </c>
      <c r="B1" s="2454"/>
      <c r="C1" s="2454"/>
      <c r="D1" s="2454"/>
      <c r="E1" s="2454"/>
      <c r="F1" s="2454"/>
    </row>
    <row r="2" spans="1:7" ht="13.5" customHeight="1" x14ac:dyDescent="0.2">
      <c r="A2" s="2455">
        <f>'Single Audit Cover'!E7</f>
        <v>34049109002</v>
      </c>
      <c r="B2" s="2455"/>
      <c r="C2" s="2455"/>
      <c r="D2" s="2455"/>
      <c r="E2" s="2455"/>
      <c r="F2" s="2455"/>
      <c r="G2" s="1274"/>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5" t="s">
        <v>1831</v>
      </c>
      <c r="C6" s="317"/>
      <c r="D6" s="317"/>
    </row>
    <row r="7" spans="1:7" ht="60.95" customHeight="1" x14ac:dyDescent="0.2">
      <c r="A7" s="2453" t="s">
        <v>1832</v>
      </c>
      <c r="B7" s="2453"/>
      <c r="C7" s="2453"/>
      <c r="D7" s="2453"/>
      <c r="E7" s="2453"/>
      <c r="F7" s="2453"/>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3" t="s">
        <v>1834</v>
      </c>
      <c r="B13" s="2453"/>
      <c r="C13" s="2453"/>
      <c r="D13" s="2453"/>
      <c r="E13" s="2453"/>
      <c r="F13" s="2453"/>
    </row>
    <row r="14" spans="1:7" ht="9.75" customHeight="1" x14ac:dyDescent="0.2">
      <c r="C14" s="1259"/>
      <c r="D14" s="1259"/>
    </row>
    <row r="15" spans="1:7" ht="13.5" customHeight="1" x14ac:dyDescent="0.2">
      <c r="C15" s="1870" t="s">
        <v>1332</v>
      </c>
      <c r="D15" s="2459" t="s">
        <v>1331</v>
      </c>
      <c r="E15" s="2459"/>
      <c r="F15" s="2459"/>
    </row>
    <row r="16" spans="1:7" ht="13.5" customHeight="1" x14ac:dyDescent="0.2">
      <c r="A16" s="1281"/>
      <c r="B16" s="1275" t="s">
        <v>1330</v>
      </c>
      <c r="C16" s="1870" t="s">
        <v>1329</v>
      </c>
      <c r="D16" s="2460" t="s">
        <v>1670</v>
      </c>
      <c r="E16" s="2460"/>
      <c r="F16" s="2460"/>
    </row>
    <row r="17" spans="1:6" ht="20.45" customHeight="1" x14ac:dyDescent="0.2">
      <c r="A17" s="1282"/>
      <c r="B17" s="1283"/>
      <c r="C17" s="1284"/>
      <c r="D17" s="2458"/>
      <c r="E17" s="2458"/>
      <c r="F17" s="2458"/>
    </row>
    <row r="18" spans="1:6" ht="20.65" customHeight="1" x14ac:dyDescent="0.2">
      <c r="A18" s="1282"/>
      <c r="B18" s="1283"/>
      <c r="C18" s="1284"/>
      <c r="D18" s="2458"/>
      <c r="E18" s="2458"/>
      <c r="F18" s="2458"/>
    </row>
    <row r="19" spans="1:6" ht="20.65" customHeight="1" x14ac:dyDescent="0.2">
      <c r="A19" s="1282"/>
      <c r="B19" s="1283"/>
      <c r="C19" s="1284"/>
      <c r="D19" s="2458"/>
      <c r="E19" s="2458"/>
      <c r="F19" s="2458"/>
    </row>
    <row r="20" spans="1:6" ht="20.65" customHeight="1" x14ac:dyDescent="0.2">
      <c r="A20" s="1282"/>
      <c r="B20" s="1283"/>
      <c r="C20" s="1284"/>
      <c r="D20" s="2458"/>
      <c r="E20" s="2458"/>
      <c r="F20" s="2458"/>
    </row>
    <row r="21" spans="1:6" ht="20.65" customHeight="1" x14ac:dyDescent="0.2">
      <c r="A21" s="1282"/>
      <c r="B21" s="1283"/>
      <c r="C21" s="1284"/>
      <c r="D21" s="2458"/>
      <c r="E21" s="2458"/>
      <c r="F21" s="2458"/>
    </row>
    <row r="22" spans="1:6" ht="20.65" customHeight="1" x14ac:dyDescent="0.2">
      <c r="A22" s="1282"/>
      <c r="B22" s="1283"/>
      <c r="C22" s="1284"/>
      <c r="D22" s="2458"/>
      <c r="E22" s="2458"/>
      <c r="F22" s="2458"/>
    </row>
    <row r="23" spans="1:6" ht="20.65" customHeight="1" x14ac:dyDescent="0.2">
      <c r="A23" s="1282"/>
      <c r="B23" s="1283"/>
      <c r="C23" s="1284"/>
      <c r="D23" s="2458"/>
      <c r="E23" s="2458"/>
      <c r="F23" s="2458"/>
    </row>
    <row r="24" spans="1:6" ht="20.65" customHeight="1" x14ac:dyDescent="0.2">
      <c r="A24" s="1282"/>
      <c r="B24" s="1283"/>
      <c r="C24" s="1284"/>
      <c r="D24" s="2458"/>
      <c r="E24" s="2458"/>
      <c r="F24" s="2458"/>
    </row>
    <row r="25" spans="1:6" ht="20.65" customHeight="1" x14ac:dyDescent="0.2">
      <c r="A25" s="1282"/>
      <c r="B25" s="1283"/>
      <c r="C25" s="1284"/>
      <c r="D25" s="2458"/>
      <c r="E25" s="2458"/>
      <c r="F25" s="2458"/>
    </row>
    <row r="26" spans="1:6" ht="20.65" customHeight="1" x14ac:dyDescent="0.2">
      <c r="A26" s="1282"/>
      <c r="B26" s="1283"/>
      <c r="C26" s="1284"/>
      <c r="D26" s="2458"/>
      <c r="E26" s="2458"/>
      <c r="F26" s="2458"/>
    </row>
    <row r="27" spans="1:6" ht="20.65" customHeight="1" x14ac:dyDescent="0.2">
      <c r="A27" s="1282"/>
      <c r="B27" s="1283"/>
      <c r="C27" s="1284"/>
      <c r="D27" s="2458"/>
      <c r="E27" s="2458"/>
      <c r="F27" s="2458"/>
    </row>
    <row r="28" spans="1:6" ht="20.65" customHeight="1" x14ac:dyDescent="0.2">
      <c r="A28" s="1282"/>
      <c r="B28" s="1283"/>
      <c r="C28" s="1284"/>
      <c r="D28" s="2458"/>
      <c r="E28" s="2458"/>
      <c r="F28" s="2458"/>
    </row>
    <row r="29" spans="1:6" ht="20.65" customHeight="1" x14ac:dyDescent="0.2">
      <c r="A29" s="1282"/>
      <c r="B29" s="1283"/>
      <c r="C29" s="1284"/>
      <c r="D29" s="2458"/>
      <c r="E29" s="2458"/>
      <c r="F29" s="2458"/>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2" t="s">
        <v>1835</v>
      </c>
      <c r="B32" s="2462"/>
      <c r="C32" s="2462"/>
      <c r="D32" s="2462"/>
      <c r="E32" s="2462"/>
      <c r="F32" s="2462"/>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3">
        <f>+C33+C34</f>
        <v>0</v>
      </c>
      <c r="F34" s="2464"/>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5" t="s">
        <v>1672</v>
      </c>
      <c r="C49" s="2465"/>
      <c r="D49" s="2465"/>
      <c r="E49" s="1398"/>
    </row>
    <row r="50" spans="1:5" s="1299" customFormat="1" ht="3.75" customHeight="1" x14ac:dyDescent="0.2">
      <c r="A50" s="1298"/>
      <c r="B50" s="1869"/>
      <c r="C50" s="1869"/>
      <c r="D50" s="1869"/>
      <c r="E50" s="1398"/>
    </row>
    <row r="51" spans="1:5" s="1299" customFormat="1" ht="20.25" customHeight="1" x14ac:dyDescent="0.2">
      <c r="A51" s="1300">
        <v>6</v>
      </c>
      <c r="B51" s="2461" t="s">
        <v>1632</v>
      </c>
      <c r="C51" s="2461"/>
      <c r="D51" s="2461"/>
    </row>
    <row r="52" spans="1:5" ht="14.25" customHeight="1" x14ac:dyDescent="0.2">
      <c r="A52" s="1300"/>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0" t="str">
        <f>'Single Audit Cover'!A7</f>
        <v>Deerfield SD 109</v>
      </c>
      <c r="C1" s="2466"/>
      <c r="D1" s="2466"/>
      <c r="E1" s="2466"/>
      <c r="F1" s="2466"/>
      <c r="G1" s="2466"/>
      <c r="H1" s="2466"/>
      <c r="I1" s="2466"/>
      <c r="J1" s="2466"/>
      <c r="K1" s="2466"/>
      <c r="L1" s="2466"/>
      <c r="M1" s="2466"/>
    </row>
    <row r="2" spans="2:14" ht="15" x14ac:dyDescent="0.2">
      <c r="B2" s="2455">
        <f>'Single Audit Cover'!E7</f>
        <v>34049109002</v>
      </c>
      <c r="C2" s="2455"/>
      <c r="D2" s="2455"/>
      <c r="E2" s="2455"/>
      <c r="F2" s="2455"/>
      <c r="G2" s="2455"/>
      <c r="H2" s="2455"/>
      <c r="I2" s="2455"/>
      <c r="J2" s="2455"/>
      <c r="K2" s="2455"/>
      <c r="L2" s="2455"/>
      <c r="M2" s="2455"/>
      <c r="N2" s="1301"/>
    </row>
    <row r="3" spans="2:14" ht="15" x14ac:dyDescent="0.2">
      <c r="B3" s="2467" t="s">
        <v>1281</v>
      </c>
      <c r="C3" s="2467"/>
      <c r="D3" s="2467"/>
      <c r="E3" s="2467"/>
      <c r="F3" s="2467"/>
      <c r="G3" s="2467"/>
      <c r="H3" s="2467"/>
      <c r="I3" s="2467"/>
      <c r="J3" s="2467"/>
      <c r="K3" s="2467"/>
      <c r="L3" s="2467"/>
      <c r="M3" s="2467"/>
      <c r="N3" s="1301"/>
    </row>
    <row r="4" spans="2:14" ht="15" x14ac:dyDescent="0.2">
      <c r="B4" s="2468" t="str">
        <f>'Single Audit Cover'!A4</f>
        <v>Year Ending June 30, 2018</v>
      </c>
      <c r="C4" s="2468"/>
      <c r="D4" s="2468"/>
      <c r="E4" s="2468"/>
      <c r="F4" s="2468"/>
      <c r="G4" s="2468"/>
      <c r="H4" s="2468"/>
      <c r="I4" s="2468"/>
      <c r="J4" s="2468"/>
      <c r="K4" s="2468"/>
      <c r="L4" s="2468"/>
      <c r="M4" s="2468"/>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38718</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5086</v>
      </c>
      <c r="G85" s="276">
        <v>65223</v>
      </c>
      <c r="H85" s="276">
        <v>20905</v>
      </c>
      <c r="I85" s="276"/>
      <c r="J85" s="277">
        <f>SUM(E85:I85)</f>
        <v>91214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91214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2083</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Deerfield SD 109</v>
      </c>
      <c r="C1" s="2474"/>
      <c r="D1" s="2474"/>
      <c r="E1" s="2474"/>
      <c r="F1" s="2474"/>
      <c r="G1" s="2474"/>
      <c r="H1" s="2474"/>
      <c r="I1" s="2474"/>
      <c r="J1" s="1421"/>
    </row>
    <row r="2" spans="2:10" s="317" customFormat="1" ht="12.75" customHeight="1" x14ac:dyDescent="0.2">
      <c r="B2" s="2475">
        <f>'Single Audit Cover'!E7</f>
        <v>34049109002</v>
      </c>
      <c r="C2" s="2476"/>
      <c r="D2" s="2476"/>
      <c r="E2" s="2476"/>
      <c r="F2" s="2476"/>
      <c r="G2" s="2476"/>
      <c r="H2" s="2476"/>
      <c r="I2" s="2476"/>
      <c r="J2" s="1421"/>
    </row>
    <row r="3" spans="2:10" s="317" customFormat="1" ht="12.75" customHeight="1" x14ac:dyDescent="0.2">
      <c r="B3" s="2477" t="s">
        <v>1347</v>
      </c>
      <c r="C3" s="2478"/>
      <c r="D3" s="2478"/>
      <c r="E3" s="2478"/>
      <c r="F3" s="2478"/>
      <c r="G3" s="2478"/>
      <c r="H3" s="2478"/>
      <c r="I3" s="2478"/>
      <c r="J3" s="1422"/>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77" t="s">
        <v>1346</v>
      </c>
      <c r="C7" s="2478"/>
      <c r="D7" s="2478"/>
      <c r="E7" s="2478"/>
      <c r="F7" s="2478"/>
      <c r="G7" s="2478"/>
      <c r="H7" s="2478"/>
      <c r="I7" s="2478"/>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79"/>
      <c r="D11" s="2479"/>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0"/>
      <c r="E29" s="2480"/>
      <c r="F29" s="2480"/>
      <c r="G29" s="2480"/>
      <c r="H29" s="2480"/>
      <c r="I29" s="2480"/>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1" t="s">
        <v>1854</v>
      </c>
      <c r="D37" s="2482"/>
      <c r="E37" s="2482"/>
      <c r="F37" s="2483"/>
      <c r="G37" s="2481" t="s">
        <v>1674</v>
      </c>
      <c r="H37" s="2482"/>
      <c r="I37" s="2483"/>
    </row>
    <row r="38" spans="2:9" ht="16.5" customHeight="1" x14ac:dyDescent="0.2">
      <c r="B38" s="1443"/>
      <c r="C38" s="2469"/>
      <c r="D38" s="2470"/>
      <c r="E38" s="2470"/>
      <c r="F38" s="2471"/>
      <c r="G38" s="2484"/>
      <c r="H38" s="2485"/>
      <c r="I38" s="2486"/>
    </row>
    <row r="39" spans="2:9" ht="16.5" customHeight="1" x14ac:dyDescent="0.2">
      <c r="B39" s="1443"/>
      <c r="C39" s="2469"/>
      <c r="D39" s="2470"/>
      <c r="E39" s="2470"/>
      <c r="F39" s="2471"/>
      <c r="G39" s="2472"/>
      <c r="H39" s="2472"/>
      <c r="I39" s="2472"/>
    </row>
    <row r="40" spans="2:9" ht="16.5" customHeight="1" x14ac:dyDescent="0.2">
      <c r="B40" s="1443"/>
      <c r="C40" s="2469"/>
      <c r="D40" s="2470"/>
      <c r="E40" s="2470"/>
      <c r="F40" s="2471"/>
      <c r="G40" s="2472"/>
      <c r="H40" s="2472"/>
      <c r="I40" s="2472"/>
    </row>
    <row r="41" spans="2:9" ht="16.5" customHeight="1" x14ac:dyDescent="0.2">
      <c r="B41" s="1443"/>
      <c r="C41" s="2469"/>
      <c r="D41" s="2470"/>
      <c r="E41" s="2470"/>
      <c r="F41" s="2471"/>
      <c r="G41" s="2472"/>
      <c r="H41" s="2472"/>
      <c r="I41" s="2472"/>
    </row>
    <row r="42" spans="2:9" ht="16.5" customHeight="1" x14ac:dyDescent="0.2">
      <c r="B42" s="1443"/>
      <c r="C42" s="2469"/>
      <c r="D42" s="2470"/>
      <c r="E42" s="2470"/>
      <c r="F42" s="2471"/>
      <c r="G42" s="2472"/>
      <c r="H42" s="2472"/>
      <c r="I42" s="2472"/>
    </row>
    <row r="43" spans="2:9" ht="16.5" customHeight="1" x14ac:dyDescent="0.2">
      <c r="B43" s="1443"/>
      <c r="C43" s="2487" t="s">
        <v>1675</v>
      </c>
      <c r="D43" s="2488"/>
      <c r="E43" s="2488"/>
      <c r="F43" s="2489"/>
      <c r="G43" s="2490">
        <f>SUM(G38:I42)</f>
        <v>0</v>
      </c>
      <c r="H43" s="2490"/>
      <c r="I43" s="2490"/>
    </row>
    <row r="44" spans="2:9" ht="12.75" customHeight="1" x14ac:dyDescent="0.2"/>
    <row r="45" spans="2:9" ht="12.75" customHeight="1" x14ac:dyDescent="0.2">
      <c r="B45" s="1434" t="s">
        <v>1952</v>
      </c>
      <c r="D45" s="2491">
        <v>0</v>
      </c>
      <c r="E45" s="2492"/>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93"/>
      <c r="F49" s="2493"/>
      <c r="G49" s="2493"/>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Deerfield SD 109</v>
      </c>
      <c r="C1" s="2473"/>
      <c r="D1" s="2473"/>
      <c r="E1" s="2473"/>
      <c r="F1" s="2473"/>
      <c r="G1" s="2473"/>
      <c r="H1" s="2473"/>
      <c r="I1" s="2473"/>
      <c r="J1" s="2473"/>
      <c r="K1" s="2473"/>
      <c r="L1" s="1373"/>
      <c r="M1" s="1373"/>
    </row>
    <row r="2" spans="1:13" ht="12" customHeight="1" x14ac:dyDescent="0.2">
      <c r="B2" s="2475">
        <f>'Single Audit Cover'!E7</f>
        <v>34049109002</v>
      </c>
      <c r="C2" s="2475"/>
      <c r="D2" s="2475"/>
      <c r="E2" s="2475"/>
      <c r="F2" s="2475"/>
      <c r="G2" s="2475"/>
      <c r="H2" s="2475"/>
      <c r="I2" s="2475"/>
      <c r="J2" s="2475"/>
      <c r="K2" s="2475"/>
      <c r="L2" s="1374"/>
      <c r="M2" s="1375"/>
    </row>
    <row r="3" spans="1:13" ht="10.35" customHeight="1" x14ac:dyDescent="0.2">
      <c r="B3" s="2496" t="s">
        <v>1347</v>
      </c>
      <c r="C3" s="2496"/>
      <c r="D3" s="2496"/>
      <c r="E3" s="2496"/>
      <c r="F3" s="2496"/>
      <c r="G3" s="2496"/>
      <c r="H3" s="2496"/>
      <c r="I3" s="2496"/>
      <c r="J3" s="2496"/>
      <c r="K3" s="2496"/>
      <c r="L3" s="1376"/>
      <c r="M3" s="137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7" t="s">
        <v>1363</v>
      </c>
      <c r="C7" s="2497"/>
      <c r="D7" s="2498"/>
      <c r="E7" s="2498"/>
      <c r="F7" s="2498"/>
      <c r="G7" s="2498"/>
      <c r="H7" s="2498"/>
      <c r="I7" s="2498"/>
      <c r="J7" s="2498"/>
      <c r="K7" s="2498"/>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5"/>
      <c r="C14" s="2495"/>
      <c r="D14" s="2495"/>
      <c r="E14" s="2495"/>
      <c r="F14" s="2495"/>
      <c r="G14" s="2495"/>
      <c r="H14" s="2495"/>
      <c r="I14" s="2495"/>
      <c r="J14" s="2495"/>
      <c r="K14" s="2495"/>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5"/>
      <c r="C17" s="2495"/>
      <c r="D17" s="2495"/>
      <c r="E17" s="2495"/>
      <c r="F17" s="2495"/>
      <c r="G17" s="2495"/>
      <c r="H17" s="2495"/>
      <c r="I17" s="2495"/>
      <c r="J17" s="2495"/>
      <c r="K17" s="2495"/>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9"/>
      <c r="C20" s="2499"/>
      <c r="D20" s="2495"/>
      <c r="E20" s="2495"/>
      <c r="F20" s="2495"/>
      <c r="G20" s="2495"/>
      <c r="H20" s="2495"/>
      <c r="I20" s="2495"/>
      <c r="J20" s="2495"/>
      <c r="K20" s="2495"/>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5"/>
      <c r="C23" s="2495"/>
      <c r="D23" s="2495"/>
      <c r="E23" s="2495"/>
      <c r="F23" s="2495"/>
      <c r="G23" s="2495"/>
      <c r="H23" s="2495"/>
      <c r="I23" s="2495"/>
      <c r="J23" s="2495"/>
      <c r="K23" s="2495"/>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5"/>
      <c r="C26" s="2495"/>
      <c r="D26" s="2495"/>
      <c r="E26" s="2495"/>
      <c r="F26" s="2495"/>
      <c r="G26" s="2495"/>
      <c r="H26" s="2495"/>
      <c r="I26" s="2495"/>
      <c r="J26" s="2495"/>
      <c r="K26" s="2495"/>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4"/>
      <c r="C29" s="2494"/>
      <c r="D29" s="2495"/>
      <c r="E29" s="2495"/>
      <c r="F29" s="2495"/>
      <c r="G29" s="2495"/>
      <c r="H29" s="2495"/>
      <c r="I29" s="2495"/>
      <c r="J29" s="2495"/>
      <c r="K29" s="2495"/>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4"/>
      <c r="C32" s="2494"/>
      <c r="D32" s="2495"/>
      <c r="E32" s="2495"/>
      <c r="F32" s="2495"/>
      <c r="G32" s="2495"/>
      <c r="H32" s="2495"/>
      <c r="I32" s="2495"/>
      <c r="J32" s="2495"/>
      <c r="K32" s="2495"/>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Deerfield SD 109</v>
      </c>
      <c r="C1" s="2500"/>
      <c r="D1" s="2500"/>
      <c r="E1" s="2500"/>
      <c r="F1" s="2500"/>
      <c r="G1" s="2500"/>
      <c r="H1" s="2500"/>
      <c r="I1" s="2500"/>
      <c r="J1" s="2500"/>
      <c r="K1" s="2500"/>
      <c r="L1" s="1464"/>
    </row>
    <row r="2" spans="1:12" ht="12.75" customHeight="1" x14ac:dyDescent="0.2">
      <c r="B2" s="2501">
        <f>'Single Audit Cover'!E7</f>
        <v>34049109002</v>
      </c>
      <c r="C2" s="2501"/>
      <c r="D2" s="2501"/>
      <c r="E2" s="2501"/>
      <c r="F2" s="2501"/>
      <c r="G2" s="2501"/>
      <c r="H2" s="2501"/>
      <c r="I2" s="2501"/>
      <c r="J2" s="2501"/>
      <c r="K2" s="2501"/>
      <c r="L2" s="1465"/>
    </row>
    <row r="3" spans="1:12" ht="12.75" customHeight="1" x14ac:dyDescent="0.2">
      <c r="B3" s="2496" t="s">
        <v>1347</v>
      </c>
      <c r="C3" s="2496"/>
      <c r="D3" s="2496"/>
      <c r="E3" s="2496"/>
      <c r="F3" s="2496"/>
      <c r="G3" s="2496"/>
      <c r="H3" s="2496"/>
      <c r="I3" s="2496"/>
      <c r="J3" s="2496"/>
      <c r="K3" s="2496"/>
      <c r="L3" s="1376"/>
    </row>
    <row r="4" spans="1:12" ht="12.75" customHeight="1" x14ac:dyDescent="0.2">
      <c r="B4" s="2496" t="str">
        <f>'Single Audit Cover'!A4</f>
        <v>Year Ending June 30, 2018</v>
      </c>
      <c r="C4" s="2496"/>
      <c r="D4" s="2496"/>
      <c r="E4" s="2496"/>
      <c r="F4" s="2496"/>
      <c r="G4" s="2496"/>
      <c r="H4" s="2496"/>
      <c r="I4" s="2496"/>
      <c r="J4" s="2496"/>
      <c r="K4" s="2496"/>
      <c r="L4" s="1376"/>
    </row>
    <row r="5" spans="1:12" ht="5.25" customHeight="1" x14ac:dyDescent="0.2">
      <c r="B5" s="1259" t="s">
        <v>1231</v>
      </c>
      <c r="C5" s="1259"/>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0"/>
      <c r="G12" s="2480"/>
      <c r="H12" s="2480"/>
      <c r="I12" s="2480"/>
      <c r="J12" s="2480"/>
      <c r="K12" s="2480"/>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3"/>
      <c r="E14" s="2503"/>
      <c r="F14" s="2503"/>
      <c r="H14" s="1474" t="s">
        <v>1370</v>
      </c>
      <c r="I14" s="2504"/>
      <c r="J14" s="2504"/>
      <c r="K14" s="2504"/>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4"/>
      <c r="E16" s="2504"/>
      <c r="F16" s="2504"/>
      <c r="G16" s="2504"/>
      <c r="H16" s="2504"/>
      <c r="I16" s="2504"/>
      <c r="J16" s="2504"/>
      <c r="K16" s="2504"/>
      <c r="L16" s="322"/>
    </row>
    <row r="17" spans="2:12" ht="13.5" customHeight="1" x14ac:dyDescent="0.2">
      <c r="B17" s="1386" t="s">
        <v>1368</v>
      </c>
      <c r="C17" s="1386"/>
      <c r="D17" s="2505"/>
      <c r="E17" s="2505"/>
      <c r="F17" s="2505"/>
      <c r="G17" s="2505"/>
      <c r="H17" s="2505"/>
      <c r="I17" s="2505"/>
      <c r="J17" s="2505"/>
      <c r="K17" s="2505"/>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5"/>
      <c r="C20" s="2495"/>
      <c r="D20" s="2495"/>
      <c r="E20" s="2495"/>
      <c r="F20" s="2495"/>
      <c r="G20" s="2495"/>
      <c r="H20" s="2495"/>
      <c r="I20" s="2495"/>
      <c r="J20" s="2495"/>
      <c r="K20" s="2495"/>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3" t="str">
        <f>'Single Audit Cover'!A7</f>
        <v>Deerfield SD 109</v>
      </c>
      <c r="C1" s="2473"/>
      <c r="D1" s="2473"/>
      <c r="E1" s="1490"/>
    </row>
    <row r="2" spans="2:5" s="1281" customFormat="1" ht="12.75" customHeight="1" x14ac:dyDescent="0.2">
      <c r="B2" s="2475">
        <f>'Single Audit Cover'!E7</f>
        <v>34049109002</v>
      </c>
      <c r="C2" s="2475"/>
      <c r="D2" s="2475"/>
      <c r="E2" s="1491"/>
    </row>
    <row r="3" spans="2:5" ht="12.75" customHeight="1" x14ac:dyDescent="0.2">
      <c r="B3" s="2496" t="s">
        <v>1869</v>
      </c>
      <c r="C3" s="2496"/>
      <c r="D3" s="2496"/>
      <c r="E3" s="1273"/>
    </row>
    <row r="4" spans="2:5" s="1281" customFormat="1" ht="12.75" customHeight="1" x14ac:dyDescent="0.2">
      <c r="B4" s="2506" t="str">
        <f>'Single Audit Cover'!A4</f>
        <v>Year Ending June 30, 2018</v>
      </c>
      <c r="C4" s="2506"/>
      <c r="D4" s="2506"/>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1" sqref="B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1705504276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2.416981E-2</v>
      </c>
      <c r="E10" s="356" t="s">
        <v>1062</v>
      </c>
      <c r="F10" s="355">
        <v>3.7858100000000001E-3</v>
      </c>
      <c r="G10" s="356" t="s">
        <v>1062</v>
      </c>
      <c r="H10" s="355">
        <v>7.8848999999999998E-4</v>
      </c>
      <c r="I10" s="356" t="s">
        <v>1063</v>
      </c>
      <c r="J10" s="1753">
        <f>ROUND(D10+F10+H10,5)</f>
        <v>2.8740000000000002E-2</v>
      </c>
      <c r="K10" s="222"/>
      <c r="L10" s="355"/>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50939212</v>
      </c>
      <c r="E16" s="356"/>
      <c r="F16" s="1754">
        <f>SUM('Acct Summary 7-8'!C17,'Acct Summary 7-8'!D17,'Acct Summary 7-8'!F17)</f>
        <v>49582927</v>
      </c>
      <c r="G16" s="356"/>
      <c r="H16" s="1754">
        <f>SUM(D16-F16)</f>
        <v>1356285</v>
      </c>
      <c r="I16" s="222"/>
      <c r="J16" s="1754">
        <f>SUM('Acct Summary 7-8'!C81,'Acct Summary 7-8'!D81,'Acct Summary 7-8'!F81,'Acct Summary 7-8'!I81)</f>
        <v>15899620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117679795.04400001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20630000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Deerfield SD 109</v>
      </c>
      <c r="E7" s="391"/>
      <c r="G7" s="252"/>
      <c r="H7" s="387"/>
      <c r="I7" s="387"/>
      <c r="J7" s="387"/>
      <c r="K7" s="387"/>
      <c r="L7" s="329"/>
      <c r="M7" s="329"/>
      <c r="N7" s="329"/>
      <c r="O7" s="329"/>
      <c r="P7" s="329"/>
    </row>
    <row r="8" spans="1:18" ht="12.75" x14ac:dyDescent="0.2">
      <c r="A8" s="329"/>
      <c r="B8" s="329"/>
      <c r="C8" s="389" t="s">
        <v>1187</v>
      </c>
      <c r="D8" s="392">
        <f>COVER!A13</f>
        <v>34049109002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15899620</v>
      </c>
      <c r="I12" s="404"/>
      <c r="J12" s="404"/>
      <c r="K12" s="405">
        <f>TRUNC((H12/H13*100000),5)/100000</f>
        <v>0.31212928849999999</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50939212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49582927</v>
      </c>
      <c r="I17" s="404"/>
      <c r="J17" s="416"/>
      <c r="K17" s="405">
        <f>TRUNC((H17/H18*100000),5)/100000</f>
        <v>0.97337444080000002</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50939212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45591910</v>
      </c>
      <c r="I24" s="422"/>
      <c r="J24" s="422"/>
      <c r="K24" s="423">
        <f>TRUNC(((H24/H25*100000)/100000),2)</f>
        <v>331.02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137730.35277999999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41663763.958400004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20630000</v>
      </c>
      <c r="I32" s="420"/>
      <c r="J32" s="420"/>
      <c r="K32" s="423">
        <f>TRUNC(100-((((H32/H33*100))*100)/100),2)</f>
        <v>82.46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117679795.04400001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K11" sqref="K1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0"/>
      <c r="D3" s="1581"/>
      <c r="E3" s="1581"/>
      <c r="F3" s="1581"/>
      <c r="G3" s="1581"/>
      <c r="H3" s="1581"/>
      <c r="I3" s="1581"/>
      <c r="J3" s="1581"/>
      <c r="K3" s="1581"/>
      <c r="L3" s="1581"/>
      <c r="M3" s="1582"/>
      <c r="N3" s="1583"/>
    </row>
    <row r="4" spans="1:14" ht="13.5" customHeight="1" x14ac:dyDescent="0.2">
      <c r="A4" s="463" t="s">
        <v>1750</v>
      </c>
      <c r="B4" s="464"/>
      <c r="C4" s="465">
        <f>38211809-159139</f>
        <v>38052670</v>
      </c>
      <c r="D4" s="466">
        <v>5165656</v>
      </c>
      <c r="E4" s="466">
        <v>1523450</v>
      </c>
      <c r="F4" s="466">
        <v>2373584</v>
      </c>
      <c r="G4" s="466">
        <v>1671352</v>
      </c>
      <c r="H4" s="466">
        <v>10117321</v>
      </c>
      <c r="I4" s="466"/>
      <c r="J4" s="467"/>
      <c r="K4" s="466">
        <v>1884990</v>
      </c>
      <c r="L4" s="466">
        <f>84749+33699</f>
        <v>118448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17675182</v>
      </c>
      <c r="D6" s="466">
        <v>2716577</v>
      </c>
      <c r="E6" s="466">
        <v>468550</v>
      </c>
      <c r="F6" s="466">
        <v>566459</v>
      </c>
      <c r="G6" s="471">
        <v>475790</v>
      </c>
      <c r="H6" s="471">
        <v>74787</v>
      </c>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243343</v>
      </c>
      <c r="D8" s="467"/>
      <c r="E8" s="467"/>
      <c r="F8" s="467">
        <v>70310</v>
      </c>
      <c r="G8" s="478"/>
      <c r="H8" s="467"/>
      <c r="I8" s="474"/>
      <c r="J8" s="474"/>
      <c r="K8" s="479"/>
      <c r="L8" s="480"/>
      <c r="M8" s="468"/>
      <c r="N8" s="469"/>
    </row>
    <row r="9" spans="1:14" ht="13.5" customHeight="1" x14ac:dyDescent="0.2">
      <c r="A9" s="473" t="s">
        <v>288</v>
      </c>
      <c r="B9" s="470">
        <v>160</v>
      </c>
      <c r="C9" s="476">
        <v>273393</v>
      </c>
      <c r="D9" s="467">
        <v>9124</v>
      </c>
      <c r="E9" s="467">
        <v>13775</v>
      </c>
      <c r="F9" s="467">
        <v>20243</v>
      </c>
      <c r="G9" s="467">
        <v>14005</v>
      </c>
      <c r="H9" s="478">
        <v>116647</v>
      </c>
      <c r="I9" s="467"/>
      <c r="J9" s="467"/>
      <c r="K9" s="467">
        <v>21485</v>
      </c>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1145979</v>
      </c>
      <c r="D11" s="467">
        <v>24359</v>
      </c>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57390567</v>
      </c>
      <c r="D13" s="1758">
        <f t="shared" ref="D13:L13" si="0">SUM(D4:D12)</f>
        <v>7915716</v>
      </c>
      <c r="E13" s="1758">
        <f t="shared" si="0"/>
        <v>2005775</v>
      </c>
      <c r="F13" s="1758">
        <f t="shared" si="0"/>
        <v>3030596</v>
      </c>
      <c r="G13" s="1758">
        <f t="shared" si="0"/>
        <v>2161147</v>
      </c>
      <c r="H13" s="1758">
        <f t="shared" si="0"/>
        <v>10308755</v>
      </c>
      <c r="I13" s="1758">
        <f t="shared" si="0"/>
        <v>0</v>
      </c>
      <c r="J13" s="1758">
        <f t="shared" si="0"/>
        <v>0</v>
      </c>
      <c r="K13" s="1758">
        <f t="shared" si="0"/>
        <v>1906475</v>
      </c>
      <c r="L13" s="1758">
        <f t="shared" si="0"/>
        <v>118448</v>
      </c>
      <c r="M13" s="468"/>
      <c r="N13" s="469"/>
    </row>
    <row r="14" spans="1:14" ht="18" customHeight="1" thickTop="1" x14ac:dyDescent="0.2">
      <c r="A14" s="2130" t="s">
        <v>149</v>
      </c>
      <c r="B14" s="2131"/>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127188</v>
      </c>
      <c r="N16" s="484"/>
    </row>
    <row r="17" spans="1:14" s="485" customFormat="1" ht="12.75" customHeight="1" x14ac:dyDescent="0.2">
      <c r="A17" s="482" t="s">
        <v>1470</v>
      </c>
      <c r="B17" s="483">
        <v>230</v>
      </c>
      <c r="C17" s="477"/>
      <c r="D17" s="477"/>
      <c r="E17" s="477"/>
      <c r="F17" s="477"/>
      <c r="G17" s="477"/>
      <c r="H17" s="477"/>
      <c r="I17" s="477"/>
      <c r="J17" s="477"/>
      <c r="K17" s="477"/>
      <c r="L17" s="477"/>
      <c r="M17" s="467">
        <v>91753337</v>
      </c>
      <c r="N17" s="484"/>
    </row>
    <row r="18" spans="1:14" s="485" customFormat="1" ht="12.75" customHeight="1" x14ac:dyDescent="0.2">
      <c r="A18" s="482" t="s">
        <v>1471</v>
      </c>
      <c r="B18" s="483">
        <v>240</v>
      </c>
      <c r="C18" s="477"/>
      <c r="D18" s="477"/>
      <c r="E18" s="477"/>
      <c r="F18" s="477"/>
      <c r="G18" s="477"/>
      <c r="H18" s="477"/>
      <c r="I18" s="477"/>
      <c r="J18" s="477"/>
      <c r="K18" s="477"/>
      <c r="L18" s="477"/>
      <c r="M18" s="467">
        <v>2914525</v>
      </c>
      <c r="N18" s="484"/>
    </row>
    <row r="19" spans="1:14" s="485" customFormat="1" ht="12.75" customHeight="1" x14ac:dyDescent="0.2">
      <c r="A19" s="482" t="s">
        <v>1472</v>
      </c>
      <c r="B19" s="483">
        <v>250</v>
      </c>
      <c r="C19" s="477"/>
      <c r="D19" s="477"/>
      <c r="E19" s="477"/>
      <c r="F19" s="477"/>
      <c r="G19" s="477"/>
      <c r="H19" s="477"/>
      <c r="I19" s="477"/>
      <c r="J19" s="477"/>
      <c r="K19" s="477"/>
      <c r="L19" s="477"/>
      <c r="M19" s="467">
        <v>29919905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874595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19755405</v>
      </c>
    </row>
    <row r="23" spans="1:14" ht="13.5" customHeight="1" thickBot="1" x14ac:dyDescent="0.25">
      <c r="A23" s="1757" t="s">
        <v>664</v>
      </c>
      <c r="B23" s="1762"/>
      <c r="C23" s="468"/>
      <c r="D23" s="468"/>
      <c r="E23" s="468"/>
      <c r="F23" s="468"/>
      <c r="G23" s="468"/>
      <c r="H23" s="468"/>
      <c r="I23" s="468"/>
      <c r="J23" s="468"/>
      <c r="K23" s="468"/>
      <c r="L23" s="468"/>
      <c r="M23" s="1709">
        <f>SUM(M15:M22)</f>
        <v>124714955</v>
      </c>
      <c r="N23" s="1709">
        <f>SUM(N21:N22)</f>
        <v>20630000</v>
      </c>
    </row>
    <row r="24" spans="1:14" ht="18" customHeight="1" thickTop="1" x14ac:dyDescent="0.2">
      <c r="A24" s="2132" t="s">
        <v>619</v>
      </c>
      <c r="B24" s="2133"/>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381104</v>
      </c>
      <c r="D27" s="467">
        <v>334322</v>
      </c>
      <c r="E27" s="467">
        <v>28579</v>
      </c>
      <c r="F27" s="467">
        <v>28835</v>
      </c>
      <c r="G27" s="467"/>
      <c r="H27" s="467">
        <v>58005</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2032912</v>
      </c>
      <c r="D31" s="467"/>
      <c r="E31" s="467"/>
      <c r="F31" s="466"/>
      <c r="G31" s="467">
        <v>120104</v>
      </c>
      <c r="H31" s="467"/>
      <c r="I31" s="467"/>
      <c r="J31" s="467"/>
      <c r="K31" s="467"/>
      <c r="L31" s="468"/>
      <c r="M31" s="468"/>
      <c r="N31" s="468"/>
    </row>
    <row r="32" spans="1:14" ht="13.5" customHeight="1" x14ac:dyDescent="0.2">
      <c r="A32" s="490" t="s">
        <v>673</v>
      </c>
      <c r="B32" s="491">
        <v>490</v>
      </c>
      <c r="C32" s="492">
        <f>41601865+293693</f>
        <v>41895558</v>
      </c>
      <c r="D32" s="492">
        <v>6401335</v>
      </c>
      <c r="E32" s="474">
        <v>1102601</v>
      </c>
      <c r="F32" s="474">
        <f>1333333+29860</f>
        <v>1363193</v>
      </c>
      <c r="G32" s="474">
        <v>1119842</v>
      </c>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f>84749+33699</f>
        <v>118448</v>
      </c>
      <c r="M33" s="468"/>
      <c r="N33" s="469"/>
    </row>
    <row r="34" spans="1:14" ht="13.5" customHeight="1" thickBot="1" x14ac:dyDescent="0.25">
      <c r="A34" s="1759" t="s">
        <v>675</v>
      </c>
      <c r="B34" s="1760"/>
      <c r="C34" s="1761">
        <f>SUM(C25:C33)</f>
        <v>44309574</v>
      </c>
      <c r="D34" s="1761">
        <f t="shared" ref="D34:K34" si="1">SUM(D25:D33)</f>
        <v>6735657</v>
      </c>
      <c r="E34" s="1761">
        <f t="shared" si="1"/>
        <v>1131180</v>
      </c>
      <c r="F34" s="1761">
        <f t="shared" si="1"/>
        <v>1392028</v>
      </c>
      <c r="G34" s="1761">
        <f t="shared" si="1"/>
        <v>1239946</v>
      </c>
      <c r="H34" s="1761">
        <f t="shared" si="1"/>
        <v>58005</v>
      </c>
      <c r="I34" s="1761">
        <f t="shared" si="1"/>
        <v>0</v>
      </c>
      <c r="J34" s="1761">
        <f t="shared" si="1"/>
        <v>0</v>
      </c>
      <c r="K34" s="1761">
        <f t="shared" si="1"/>
        <v>0</v>
      </c>
      <c r="L34" s="1742">
        <f>SUM(L33)</f>
        <v>118448</v>
      </c>
      <c r="M34" s="468"/>
      <c r="N34" s="480"/>
    </row>
    <row r="35" spans="1:14" ht="18" customHeight="1" thickTop="1" x14ac:dyDescent="0.2">
      <c r="A35" s="2134" t="s">
        <v>550</v>
      </c>
      <c r="B35" s="2135"/>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20630000</v>
      </c>
    </row>
    <row r="37" spans="1:14" ht="13.5" thickBot="1" x14ac:dyDescent="0.25">
      <c r="A37" s="1757" t="s">
        <v>674</v>
      </c>
      <c r="B37" s="1762"/>
      <c r="C37" s="477"/>
      <c r="D37" s="477"/>
      <c r="E37" s="477"/>
      <c r="F37" s="477"/>
      <c r="G37" s="477"/>
      <c r="H37" s="477"/>
      <c r="I37" s="477"/>
      <c r="J37" s="477"/>
      <c r="K37" s="477"/>
      <c r="L37" s="480"/>
      <c r="M37" s="468"/>
      <c r="N37" s="1709">
        <f>SUM(N36:N36)</f>
        <v>20630000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13240132-159139</f>
        <v>13080993</v>
      </c>
      <c r="D39" s="466">
        <v>1180059</v>
      </c>
      <c r="E39" s="466">
        <v>874595</v>
      </c>
      <c r="F39" s="466">
        <v>1638568</v>
      </c>
      <c r="G39" s="466">
        <v>921201</v>
      </c>
      <c r="H39" s="466">
        <v>10250750</v>
      </c>
      <c r="I39" s="466"/>
      <c r="J39" s="467"/>
      <c r="K39" s="466">
        <v>1906475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124714955</v>
      </c>
      <c r="N40" s="497"/>
    </row>
    <row r="41" spans="1:14" ht="13.5" customHeight="1" thickBot="1" x14ac:dyDescent="0.25">
      <c r="A41" s="1757" t="s">
        <v>676</v>
      </c>
      <c r="B41" s="1727"/>
      <c r="C41" s="1709">
        <f>(SUM(C34,C37,C38,C39))</f>
        <v>57390567</v>
      </c>
      <c r="D41" s="1709">
        <f t="shared" ref="D41:L41" si="2">SUM(D34,D37,D38:D39)</f>
        <v>7915716</v>
      </c>
      <c r="E41" s="1709">
        <f t="shared" si="2"/>
        <v>2005775</v>
      </c>
      <c r="F41" s="1709">
        <f t="shared" si="2"/>
        <v>3030596</v>
      </c>
      <c r="G41" s="1709">
        <f t="shared" si="2"/>
        <v>2161147</v>
      </c>
      <c r="H41" s="1709">
        <f t="shared" si="2"/>
        <v>10308755</v>
      </c>
      <c r="I41" s="1709">
        <f t="shared" si="2"/>
        <v>0</v>
      </c>
      <c r="J41" s="1709">
        <f t="shared" si="2"/>
        <v>0</v>
      </c>
      <c r="K41" s="1709">
        <f t="shared" si="2"/>
        <v>1906475</v>
      </c>
      <c r="L41" s="1709">
        <f t="shared" si="2"/>
        <v>118448</v>
      </c>
      <c r="M41" s="1709">
        <f>SUM(M40)</f>
        <v>124714955</v>
      </c>
      <c r="N41" s="1709">
        <f>SUM(N37)</f>
        <v>20630000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4"/>
      <c r="D3" s="1595"/>
      <c r="E3" s="1595"/>
      <c r="F3" s="1595"/>
      <c r="G3" s="1595"/>
      <c r="H3" s="1595"/>
      <c r="I3" s="1595"/>
      <c r="J3" s="1595"/>
      <c r="K3" s="1596"/>
      <c r="L3" s="506"/>
    </row>
    <row r="4" spans="1:13" ht="15.75" customHeight="1" x14ac:dyDescent="0.2">
      <c r="A4" s="1953" t="s">
        <v>1579</v>
      </c>
      <c r="B4" s="1954">
        <v>1000</v>
      </c>
      <c r="C4" s="1763">
        <f>'Revenues 9-14'!C109</f>
        <v>41971070</v>
      </c>
      <c r="D4" s="1763">
        <f>'Revenues 9-14'!D109</f>
        <v>6082420</v>
      </c>
      <c r="E4" s="1763">
        <f>'Revenues 9-14'!E109</f>
        <v>1130982</v>
      </c>
      <c r="F4" s="1763">
        <f>'Revenues 9-14'!F109</f>
        <v>1444967</v>
      </c>
      <c r="G4" s="1763">
        <f>'Revenues 9-14'!G109</f>
        <v>1257444</v>
      </c>
      <c r="H4" s="1763">
        <f>'Revenues 9-14'!H109</f>
        <v>541735</v>
      </c>
      <c r="I4" s="1763">
        <f>'Revenues 9-14'!I109</f>
        <v>0</v>
      </c>
      <c r="J4" s="1763">
        <f>'Revenues 9-14'!J109</f>
        <v>0</v>
      </c>
      <c r="K4" s="1763">
        <f>'Revenues 9-14'!K109</f>
        <v>40025</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429588</v>
      </c>
      <c r="D6" s="1764">
        <f>'Revenues 9-14'!D173</f>
        <v>0</v>
      </c>
      <c r="E6" s="1764">
        <f>'Revenues 9-14'!E173</f>
        <v>0</v>
      </c>
      <c r="F6" s="1764">
        <f>'Revenues 9-14'!F173</f>
        <v>280838</v>
      </c>
      <c r="G6" s="1764">
        <f>'Revenues 9-14'!G173</f>
        <v>0</v>
      </c>
      <c r="H6" s="1764">
        <f>'Revenues 9-14'!H173</f>
        <v>1472535</v>
      </c>
      <c r="I6" s="1764">
        <f>'Revenues 9-14'!I173</f>
        <v>0</v>
      </c>
      <c r="J6" s="1764">
        <f>'Revenues 9-14'!J173</f>
        <v>0</v>
      </c>
      <c r="K6" s="1764">
        <f>'Revenues 9-14'!K173</f>
        <v>0</v>
      </c>
      <c r="L6" s="347"/>
      <c r="M6" s="513"/>
    </row>
    <row r="7" spans="1:13" ht="15.75" customHeight="1" x14ac:dyDescent="0.2">
      <c r="A7" s="1597" t="s">
        <v>1582</v>
      </c>
      <c r="B7" s="1599">
        <v>4000</v>
      </c>
      <c r="C7" s="1764">
        <f>'Revenues 9-14'!C274</f>
        <v>730329</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43130987</v>
      </c>
      <c r="D8" s="1709">
        <f t="shared" ref="D8:K8" si="0">SUM(D4:D7)</f>
        <v>6082420</v>
      </c>
      <c r="E8" s="1709">
        <f t="shared" si="0"/>
        <v>1130982</v>
      </c>
      <c r="F8" s="1709">
        <f t="shared" si="0"/>
        <v>1725805</v>
      </c>
      <c r="G8" s="1709">
        <f t="shared" si="0"/>
        <v>1257444</v>
      </c>
      <c r="H8" s="1709">
        <f t="shared" si="0"/>
        <v>2014270</v>
      </c>
      <c r="I8" s="1709">
        <f t="shared" si="0"/>
        <v>0</v>
      </c>
      <c r="J8" s="1709">
        <f t="shared" si="0"/>
        <v>0</v>
      </c>
      <c r="K8" s="1709">
        <f t="shared" si="0"/>
        <v>40025</v>
      </c>
      <c r="L8" s="347"/>
    </row>
    <row r="9" spans="1:13" ht="15.75" thickTop="1" x14ac:dyDescent="0.2">
      <c r="A9" s="514" t="s">
        <v>1752</v>
      </c>
      <c r="B9" s="515">
        <v>3998</v>
      </c>
      <c r="C9" s="481">
        <v>18895272</v>
      </c>
      <c r="D9" s="516"/>
      <c r="E9" s="481"/>
      <c r="F9" s="481"/>
      <c r="G9" s="517"/>
      <c r="H9" s="481"/>
      <c r="I9" s="509" t="s">
        <v>1231</v>
      </c>
      <c r="J9" s="478"/>
      <c r="K9" s="481"/>
      <c r="L9" s="347"/>
    </row>
    <row r="10" spans="1:13" s="519" customFormat="1" ht="13.5" thickBot="1" x14ac:dyDescent="0.25">
      <c r="A10" s="1757" t="s">
        <v>1235</v>
      </c>
      <c r="B10" s="1730"/>
      <c r="C10" s="1709">
        <f>SUM(C8:C9)</f>
        <v>62026259</v>
      </c>
      <c r="D10" s="1709">
        <f t="shared" ref="D10:K10" si="1">SUM(D8:D9)</f>
        <v>6082420</v>
      </c>
      <c r="E10" s="1709">
        <f t="shared" si="1"/>
        <v>1130982</v>
      </c>
      <c r="F10" s="1709">
        <f t="shared" si="1"/>
        <v>1725805</v>
      </c>
      <c r="G10" s="1709">
        <f t="shared" si="1"/>
        <v>1257444</v>
      </c>
      <c r="H10" s="1709">
        <f t="shared" si="1"/>
        <v>2014270</v>
      </c>
      <c r="I10" s="1709">
        <f t="shared" si="1"/>
        <v>0</v>
      </c>
      <c r="J10" s="1709">
        <f t="shared" si="1"/>
        <v>0</v>
      </c>
      <c r="K10" s="1709">
        <f t="shared" si="1"/>
        <v>40025</v>
      </c>
      <c r="L10" s="518"/>
    </row>
    <row r="11" spans="1:13" s="519" customFormat="1" ht="16.7" customHeight="1" thickTop="1" x14ac:dyDescent="0.2">
      <c r="A11" s="2130" t="s">
        <v>1238</v>
      </c>
      <c r="B11" s="2131"/>
      <c r="C11" s="1591"/>
      <c r="D11" s="1592"/>
      <c r="E11" s="1592"/>
      <c r="F11" s="1592"/>
      <c r="G11" s="1592"/>
      <c r="H11" s="1592"/>
      <c r="I11" s="1592"/>
      <c r="J11" s="1592"/>
      <c r="K11" s="1593"/>
      <c r="L11" s="518"/>
    </row>
    <row r="12" spans="1:13" ht="15.75" customHeight="1" x14ac:dyDescent="0.2">
      <c r="A12" s="1597" t="s">
        <v>476</v>
      </c>
      <c r="B12" s="1599">
        <v>1000</v>
      </c>
      <c r="C12" s="1763">
        <f>'Expenditures 15-22'!K33</f>
        <v>27531826</v>
      </c>
      <c r="D12" s="520" t="s">
        <v>1231</v>
      </c>
      <c r="E12" s="468" t="s">
        <v>1231</v>
      </c>
      <c r="F12" s="468" t="s">
        <v>1231</v>
      </c>
      <c r="G12" s="1763">
        <f>'Expenditures 15-22'!K229</f>
        <v>620808</v>
      </c>
      <c r="H12" s="521"/>
      <c r="I12" s="468" t="s">
        <v>1231</v>
      </c>
      <c r="J12" s="468" t="s">
        <v>1231</v>
      </c>
      <c r="K12" s="521" t="s">
        <v>1231</v>
      </c>
      <c r="L12" s="347"/>
    </row>
    <row r="13" spans="1:13" ht="15.75" customHeight="1" x14ac:dyDescent="0.2">
      <c r="A13" s="1597" t="s">
        <v>477</v>
      </c>
      <c r="B13" s="1599">
        <v>2000</v>
      </c>
      <c r="C13" s="1764">
        <f>'Expenditures 15-22'!K74</f>
        <v>14275719</v>
      </c>
      <c r="D13" s="1764">
        <f>'Expenditures 15-22'!K129</f>
        <v>5591702</v>
      </c>
      <c r="E13" s="469" t="s">
        <v>1231</v>
      </c>
      <c r="F13" s="1764">
        <f>'Expenditures 15-22'!K184</f>
        <v>1494036</v>
      </c>
      <c r="G13" s="1764">
        <f>'Expenditures 15-22'!K279</f>
        <v>472119</v>
      </c>
      <c r="H13" s="1764">
        <f>'Expenditures 15-22'!K303</f>
        <v>1898379</v>
      </c>
      <c r="I13" s="468" t="s">
        <v>1231</v>
      </c>
      <c r="J13" s="1764">
        <f>'Expenditures 15-22'!K330</f>
        <v>0</v>
      </c>
      <c r="K13" s="1768">
        <f>'Expenditures 15-22'!K352</f>
        <v>1108382</v>
      </c>
      <c r="L13" s="347"/>
    </row>
    <row r="14" spans="1:13" ht="15.75" customHeight="1" x14ac:dyDescent="0.2">
      <c r="A14" s="1597" t="s">
        <v>469</v>
      </c>
      <c r="B14" s="1599">
        <v>3000</v>
      </c>
      <c r="C14" s="1764">
        <f>'Expenditures 15-22'!K75</f>
        <v>191590</v>
      </c>
      <c r="D14" s="1764">
        <f>'Expenditures 15-22'!K130</f>
        <v>0</v>
      </c>
      <c r="E14" s="520" t="s">
        <v>1231</v>
      </c>
      <c r="F14" s="1764">
        <f>'Expenditures 15-22'!K185</f>
        <v>0</v>
      </c>
      <c r="G14" s="1764">
        <f>'Expenditures 15-22'!K280</f>
        <v>21240</v>
      </c>
      <c r="H14" s="512"/>
      <c r="I14" s="468" t="s">
        <v>1231</v>
      </c>
      <c r="J14" s="468" t="s">
        <v>1231</v>
      </c>
      <c r="K14" s="512" t="s">
        <v>1231</v>
      </c>
      <c r="L14" s="347"/>
    </row>
    <row r="15" spans="1:13" ht="15.75" customHeight="1" x14ac:dyDescent="0.2">
      <c r="A15" s="1597" t="s">
        <v>109</v>
      </c>
      <c r="B15" s="1599">
        <v>4000</v>
      </c>
      <c r="C15" s="1764">
        <f>'Expenditures 15-22'!K102</f>
        <v>498054</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1176862</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42497189</v>
      </c>
      <c r="D17" s="1709">
        <f t="shared" si="2"/>
        <v>5591702</v>
      </c>
      <c r="E17" s="1709">
        <f t="shared" si="2"/>
        <v>1176862</v>
      </c>
      <c r="F17" s="1709">
        <f t="shared" si="2"/>
        <v>1494036</v>
      </c>
      <c r="G17" s="1709">
        <f t="shared" si="2"/>
        <v>1114167</v>
      </c>
      <c r="H17" s="1709">
        <f t="shared" si="2"/>
        <v>1898379</v>
      </c>
      <c r="I17" s="468"/>
      <c r="J17" s="1709">
        <f>SUM(J12:J16)</f>
        <v>0</v>
      </c>
      <c r="K17" s="1709">
        <f>SUM(K12:K16)</f>
        <v>1108382</v>
      </c>
      <c r="L17" s="347"/>
    </row>
    <row r="18" spans="1:12" ht="15" customHeight="1" thickTop="1" x14ac:dyDescent="0.2">
      <c r="A18" s="1765" t="s">
        <v>1753</v>
      </c>
      <c r="B18" s="1766">
        <v>4180</v>
      </c>
      <c r="C18" s="1763">
        <f t="shared" ref="C18:H18" si="3">C9</f>
        <v>18895272</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61392461</v>
      </c>
      <c r="D19" s="1709">
        <f t="shared" si="4"/>
        <v>5591702</v>
      </c>
      <c r="E19" s="1709">
        <f t="shared" si="4"/>
        <v>1176862</v>
      </c>
      <c r="F19" s="1709">
        <f t="shared" si="4"/>
        <v>1494036</v>
      </c>
      <c r="G19" s="1709">
        <f t="shared" si="4"/>
        <v>1114167</v>
      </c>
      <c r="H19" s="1709">
        <f t="shared" si="4"/>
        <v>1898379</v>
      </c>
      <c r="I19" s="468"/>
      <c r="J19" s="1709">
        <f>SUM(J17:J18)</f>
        <v>0</v>
      </c>
      <c r="K19" s="1709">
        <f>SUM(K17:K18)</f>
        <v>1108382</v>
      </c>
      <c r="L19" s="347"/>
    </row>
    <row r="20" spans="1:12" ht="16.5" thickTop="1" thickBot="1" x14ac:dyDescent="0.25">
      <c r="A20" s="2146" t="s">
        <v>1754</v>
      </c>
      <c r="B20" s="2147"/>
      <c r="C20" s="1767">
        <f>C8-C17</f>
        <v>633798</v>
      </c>
      <c r="D20" s="1767">
        <f t="shared" ref="D20:K20" si="5">D8-D17</f>
        <v>490718</v>
      </c>
      <c r="E20" s="1767">
        <f t="shared" si="5"/>
        <v>-45880</v>
      </c>
      <c r="F20" s="1767">
        <f t="shared" si="5"/>
        <v>231769</v>
      </c>
      <c r="G20" s="1767">
        <f t="shared" si="5"/>
        <v>143277</v>
      </c>
      <c r="H20" s="1767">
        <f t="shared" si="5"/>
        <v>115891</v>
      </c>
      <c r="I20" s="1767">
        <f t="shared" si="5"/>
        <v>0</v>
      </c>
      <c r="J20" s="1767">
        <f t="shared" si="5"/>
        <v>0</v>
      </c>
      <c r="K20" s="1767">
        <f t="shared" si="5"/>
        <v>-1068357</v>
      </c>
      <c r="L20" s="347"/>
    </row>
    <row r="21" spans="1:12" ht="16.7" customHeight="1" thickTop="1" x14ac:dyDescent="0.2">
      <c r="A21" s="2158" t="s">
        <v>616</v>
      </c>
      <c r="B21" s="2159"/>
      <c r="C21" s="1591"/>
      <c r="D21" s="1592"/>
      <c r="E21" s="1592"/>
      <c r="F21" s="1592"/>
      <c r="G21" s="1592"/>
      <c r="H21" s="1592"/>
      <c r="I21" s="1592"/>
      <c r="J21" s="1592"/>
      <c r="K21" s="1593"/>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v>3000000</v>
      </c>
      <c r="E27" s="526"/>
      <c r="F27" s="467"/>
      <c r="G27" s="480"/>
      <c r="H27" s="480"/>
      <c r="I27" s="480"/>
      <c r="J27" s="480"/>
      <c r="K27" s="480"/>
      <c r="L27" s="524"/>
    </row>
    <row r="28" spans="1:12" s="485" customFormat="1" ht="13.5" customHeight="1" x14ac:dyDescent="0.2">
      <c r="A28" s="1510" t="s">
        <v>1465</v>
      </c>
      <c r="B28" s="483">
        <v>7140</v>
      </c>
      <c r="C28" s="467"/>
      <c r="D28" s="467"/>
      <c r="E28" s="467">
        <v>75660</v>
      </c>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v>15198</v>
      </c>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v>8000000</v>
      </c>
      <c r="I43" s="467"/>
      <c r="J43" s="467"/>
      <c r="K43" s="467"/>
      <c r="L43" s="524"/>
    </row>
    <row r="44" spans="1:12" s="485" customFormat="1" ht="13.5" customHeight="1" thickBot="1" x14ac:dyDescent="0.25">
      <c r="A44" s="2160" t="s">
        <v>392</v>
      </c>
      <c r="B44" s="2161"/>
      <c r="C44" s="1724">
        <f>SUM(C24:C43)</f>
        <v>15198</v>
      </c>
      <c r="D44" s="1724">
        <f t="shared" ref="D44:K44" si="6">SUM(D24:D43)</f>
        <v>3000000</v>
      </c>
      <c r="E44" s="1724">
        <f t="shared" si="6"/>
        <v>75660</v>
      </c>
      <c r="F44" s="1724">
        <f t="shared" si="6"/>
        <v>0</v>
      </c>
      <c r="G44" s="1724">
        <f t="shared" si="6"/>
        <v>0</v>
      </c>
      <c r="H44" s="1724">
        <f t="shared" si="6"/>
        <v>8000000</v>
      </c>
      <c r="I44" s="1724">
        <f t="shared" si="6"/>
        <v>0</v>
      </c>
      <c r="J44" s="1724">
        <f t="shared" si="6"/>
        <v>0</v>
      </c>
      <c r="K44" s="1724">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v>3000000</v>
      </c>
      <c r="D49" s="467"/>
      <c r="E49" s="480"/>
      <c r="F49" s="467"/>
      <c r="G49" s="480"/>
      <c r="H49" s="480"/>
      <c r="I49" s="477"/>
      <c r="J49" s="480"/>
      <c r="K49" s="477"/>
      <c r="L49" s="524"/>
    </row>
    <row r="50" spans="1:12" s="485" customFormat="1" x14ac:dyDescent="0.2">
      <c r="A50" s="1511" t="s">
        <v>1465</v>
      </c>
      <c r="B50" s="483">
        <v>8140</v>
      </c>
      <c r="C50" s="467"/>
      <c r="D50" s="467">
        <v>75660</v>
      </c>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v>8000000</v>
      </c>
      <c r="E75" s="530"/>
      <c r="F75" s="532"/>
      <c r="G75" s="532"/>
      <c r="H75" s="532"/>
      <c r="I75" s="530"/>
      <c r="J75" s="530"/>
      <c r="K75" s="532"/>
      <c r="L75" s="524"/>
    </row>
    <row r="76" spans="1:12" s="485" customFormat="1" ht="14.25" thickTop="1" thickBot="1" x14ac:dyDescent="0.25">
      <c r="A76" s="2136" t="s">
        <v>460</v>
      </c>
      <c r="B76" s="2137"/>
      <c r="C76" s="1724">
        <f t="shared" ref="C76:K76" si="7">SUM(C47:C75)</f>
        <v>3000000</v>
      </c>
      <c r="D76" s="1724">
        <f t="shared" si="7"/>
        <v>8075660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8" t="s">
        <v>1239</v>
      </c>
      <c r="B77" s="2139"/>
      <c r="C77" s="1724">
        <f t="shared" ref="C77:K77" si="8">C44-C76</f>
        <v>-2984802</v>
      </c>
      <c r="D77" s="1724">
        <f t="shared" si="8"/>
        <v>-5075660</v>
      </c>
      <c r="E77" s="1724">
        <f t="shared" si="8"/>
        <v>75660</v>
      </c>
      <c r="F77" s="1724">
        <f t="shared" si="8"/>
        <v>0</v>
      </c>
      <c r="G77" s="1724">
        <f t="shared" si="8"/>
        <v>0</v>
      </c>
      <c r="H77" s="1724">
        <f t="shared" si="8"/>
        <v>8000000</v>
      </c>
      <c r="I77" s="1724">
        <f t="shared" si="8"/>
        <v>0</v>
      </c>
      <c r="J77" s="1724">
        <f t="shared" si="8"/>
        <v>0</v>
      </c>
      <c r="K77" s="1724">
        <f t="shared" si="8"/>
        <v>0</v>
      </c>
      <c r="L77" s="347"/>
    </row>
    <row r="78" spans="1:12" ht="21.75" customHeight="1" thickTop="1" thickBot="1" x14ac:dyDescent="0.25">
      <c r="A78" s="2142" t="s">
        <v>618</v>
      </c>
      <c r="B78" s="2143"/>
      <c r="C78" s="1723">
        <f t="shared" ref="C78:K78" si="9">C20+C77</f>
        <v>-2351004</v>
      </c>
      <c r="D78" s="1723">
        <f t="shared" si="9"/>
        <v>-4584942</v>
      </c>
      <c r="E78" s="1723">
        <f t="shared" si="9"/>
        <v>29780</v>
      </c>
      <c r="F78" s="1723">
        <f t="shared" si="9"/>
        <v>231769</v>
      </c>
      <c r="G78" s="1723">
        <f t="shared" si="9"/>
        <v>143277</v>
      </c>
      <c r="H78" s="1723">
        <f t="shared" si="9"/>
        <v>8115891</v>
      </c>
      <c r="I78" s="1723">
        <f t="shared" si="9"/>
        <v>0</v>
      </c>
      <c r="J78" s="1723">
        <f t="shared" si="9"/>
        <v>0</v>
      </c>
      <c r="K78" s="1723">
        <f t="shared" si="9"/>
        <v>-1068357</v>
      </c>
      <c r="L78" s="533"/>
    </row>
    <row r="79" spans="1:12" ht="13.5" thickTop="1" x14ac:dyDescent="0.2">
      <c r="A79" s="1515" t="s">
        <v>2073</v>
      </c>
      <c r="B79" s="534"/>
      <c r="C79" s="478">
        <v>15431997</v>
      </c>
      <c r="D79" s="535">
        <v>5765001</v>
      </c>
      <c r="E79" s="535">
        <v>844815</v>
      </c>
      <c r="F79" s="535">
        <v>1406799</v>
      </c>
      <c r="G79" s="535">
        <v>777924</v>
      </c>
      <c r="H79" s="535">
        <v>2134859</v>
      </c>
      <c r="I79" s="535">
        <v>0</v>
      </c>
      <c r="J79" s="535">
        <v>0</v>
      </c>
      <c r="K79" s="535">
        <v>2974832</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2074</v>
      </c>
      <c r="B81" s="2141"/>
      <c r="C81" s="1709">
        <f>(SUM(C78:C80))</f>
        <v>13080993</v>
      </c>
      <c r="D81" s="1709">
        <f>SUM(D78:D80)</f>
        <v>1180059</v>
      </c>
      <c r="E81" s="1709">
        <f t="shared" ref="E81:K81" si="10">SUM(E78:E80)</f>
        <v>874595</v>
      </c>
      <c r="F81" s="1709">
        <f t="shared" si="10"/>
        <v>1638568</v>
      </c>
      <c r="G81" s="1709">
        <f t="shared" si="10"/>
        <v>921201</v>
      </c>
      <c r="H81" s="1709">
        <f t="shared" si="10"/>
        <v>10250750</v>
      </c>
      <c r="I81" s="1709">
        <f t="shared" si="10"/>
        <v>0</v>
      </c>
      <c r="J81" s="1709">
        <f t="shared" si="10"/>
        <v>0</v>
      </c>
      <c r="K81" s="1709">
        <f t="shared" si="10"/>
        <v>1906475</v>
      </c>
      <c r="L81" s="347"/>
    </row>
    <row r="82" spans="1:12" ht="0.75" customHeight="1" thickTop="1" thickBot="1" x14ac:dyDescent="0.25">
      <c r="A82" s="536" t="s">
        <v>361</v>
      </c>
      <c r="B82" s="537"/>
      <c r="C82" s="538">
        <f>(C81-C79)</f>
        <v>-2351004</v>
      </c>
      <c r="D82" s="538">
        <f t="shared" ref="D82:K82" si="11">(D81-D79)</f>
        <v>-4584942</v>
      </c>
      <c r="E82" s="538">
        <f t="shared" si="11"/>
        <v>29780</v>
      </c>
      <c r="F82" s="538">
        <f t="shared" si="11"/>
        <v>231769</v>
      </c>
      <c r="G82" s="538">
        <f t="shared" si="11"/>
        <v>143277</v>
      </c>
      <c r="H82" s="538">
        <f t="shared" si="11"/>
        <v>8115891</v>
      </c>
      <c r="I82" s="538">
        <f t="shared" si="11"/>
        <v>0</v>
      </c>
      <c r="J82" s="538">
        <f t="shared" si="11"/>
        <v>0</v>
      </c>
      <c r="K82" s="538">
        <f t="shared" si="11"/>
        <v>-1068357</v>
      </c>
    </row>
    <row r="83" spans="1:12" ht="14.25" hidden="1" thickTop="1" thickBot="1" x14ac:dyDescent="0.25">
      <c r="A83" s="539" t="s">
        <v>362</v>
      </c>
      <c r="B83" s="464"/>
      <c r="C83" s="540">
        <f>C82/C81</f>
        <v>-0.179726722581382</v>
      </c>
      <c r="D83" s="540">
        <f t="shared" ref="D83:K83" si="12">D82/D81</f>
        <v>-3.8853498003065949</v>
      </c>
      <c r="E83" s="540">
        <f t="shared" si="12"/>
        <v>3.4050046021301288E-2</v>
      </c>
      <c r="F83" s="540">
        <f t="shared" si="12"/>
        <v>0.14144606754190245</v>
      </c>
      <c r="G83" s="540">
        <f t="shared" si="12"/>
        <v>0.15553283159701303</v>
      </c>
      <c r="H83" s="540">
        <f t="shared" si="12"/>
        <v>0.79173631197717242</v>
      </c>
      <c r="I83" s="540" t="e">
        <f t="shared" si="12"/>
        <v>#DIV/0!</v>
      </c>
      <c r="J83" s="540" t="e">
        <f t="shared" si="12"/>
        <v>#DIV/0!</v>
      </c>
      <c r="K83" s="540">
        <f t="shared" si="12"/>
        <v>-0.56038343015250658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39889796</v>
      </c>
      <c r="D5" s="481">
        <v>6019298</v>
      </c>
      <c r="E5" s="466">
        <v>1107422</v>
      </c>
      <c r="F5" s="548">
        <v>1321497</v>
      </c>
      <c r="G5" s="466">
        <v>486197</v>
      </c>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705838</v>
      </c>
      <c r="D7" s="466"/>
      <c r="E7" s="468"/>
      <c r="F7" s="467"/>
      <c r="G7" s="467"/>
      <c r="H7" s="467"/>
      <c r="I7" s="468"/>
      <c r="J7" s="468"/>
      <c r="K7" s="468"/>
    </row>
    <row r="8" spans="1:12" x14ac:dyDescent="0.2">
      <c r="A8" s="463" t="s">
        <v>433</v>
      </c>
      <c r="B8" s="470">
        <v>1150</v>
      </c>
      <c r="C8" s="475"/>
      <c r="D8" s="475"/>
      <c r="E8" s="477"/>
      <c r="F8" s="477"/>
      <c r="G8" s="481">
        <v>646463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40595634</v>
      </c>
      <c r="D12" s="1728">
        <f t="shared" si="0"/>
        <v>6019298</v>
      </c>
      <c r="E12" s="1728">
        <f t="shared" si="0"/>
        <v>1107422</v>
      </c>
      <c r="F12" s="1728">
        <f t="shared" si="0"/>
        <v>1321497</v>
      </c>
      <c r="G12" s="1728">
        <f t="shared" si="0"/>
        <v>1132660</v>
      </c>
      <c r="H12" s="1728">
        <f t="shared" si="0"/>
        <v>0</v>
      </c>
      <c r="I12" s="1728">
        <f t="shared" si="0"/>
        <v>0</v>
      </c>
      <c r="J12" s="1728">
        <f t="shared" si="0"/>
        <v>0</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v>100000</v>
      </c>
      <c r="H16" s="466">
        <v>338922</v>
      </c>
      <c r="I16" s="466"/>
      <c r="J16" s="467"/>
      <c r="K16" s="466"/>
    </row>
    <row r="17" spans="1:11" ht="12.75" customHeight="1" x14ac:dyDescent="0.2">
      <c r="A17" s="463" t="s">
        <v>840</v>
      </c>
      <c r="B17" s="470">
        <v>1290</v>
      </c>
      <c r="C17" s="551"/>
      <c r="D17" s="466"/>
      <c r="E17" s="466"/>
      <c r="F17" s="466"/>
      <c r="G17" s="466"/>
      <c r="H17" s="466">
        <v>13910</v>
      </c>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100000</v>
      </c>
      <c r="H18" s="1731">
        <f t="shared" si="1"/>
        <v>352832</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128960</v>
      </c>
      <c r="D20" s="468"/>
      <c r="E20" s="468"/>
      <c r="F20" s="468"/>
      <c r="G20" s="468"/>
      <c r="H20" s="468"/>
      <c r="I20" s="468"/>
      <c r="J20" s="468"/>
      <c r="K20" s="468"/>
    </row>
    <row r="21" spans="1:11" ht="12.75" customHeight="1" x14ac:dyDescent="0.2">
      <c r="A21" s="463" t="s">
        <v>887</v>
      </c>
      <c r="B21" s="470">
        <v>1312</v>
      </c>
      <c r="C21" s="551">
        <v>279274</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40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408274</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84426</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84426</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f>582736-159139</f>
        <v>423597</v>
      </c>
      <c r="D65" s="466">
        <v>30948</v>
      </c>
      <c r="E65" s="466">
        <v>23560</v>
      </c>
      <c r="F65" s="467">
        <v>39044</v>
      </c>
      <c r="G65" s="466">
        <v>24784</v>
      </c>
      <c r="H65" s="466">
        <v>188903</v>
      </c>
      <c r="I65" s="466"/>
      <c r="J65" s="467"/>
      <c r="K65" s="466">
        <v>40025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423597</v>
      </c>
      <c r="D67" s="1709">
        <f t="shared" ref="D67:K67" si="2">SUM(D65:D66)</f>
        <v>30948</v>
      </c>
      <c r="E67" s="1709">
        <f t="shared" si="2"/>
        <v>23560</v>
      </c>
      <c r="F67" s="1709">
        <f t="shared" si="2"/>
        <v>39044</v>
      </c>
      <c r="G67" s="1709">
        <f t="shared" si="2"/>
        <v>24784</v>
      </c>
      <c r="H67" s="1709">
        <f t="shared" si="2"/>
        <v>188903</v>
      </c>
      <c r="I67" s="1709">
        <f t="shared" si="2"/>
        <v>0</v>
      </c>
      <c r="J67" s="1709">
        <f t="shared" si="2"/>
        <v>0</v>
      </c>
      <c r="K67" s="1709">
        <f t="shared" si="2"/>
        <v>40025</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29894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29894</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123710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123710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327652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327652</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32174</v>
      </c>
      <c r="E95" s="521"/>
      <c r="F95" s="521"/>
      <c r="G95" s="521"/>
      <c r="H95" s="521"/>
      <c r="I95" s="521"/>
      <c r="J95" s="521"/>
      <c r="K95" s="521"/>
    </row>
    <row r="96" spans="1:11" ht="12.75" customHeight="1" x14ac:dyDescent="0.2">
      <c r="A96" s="463" t="s">
        <v>409</v>
      </c>
      <c r="B96" s="470">
        <v>1920</v>
      </c>
      <c r="C96" s="551">
        <v>4550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3381</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2378</v>
      </c>
      <c r="D106" s="489"/>
      <c r="E106" s="467"/>
      <c r="F106" s="467"/>
      <c r="G106" s="467"/>
      <c r="H106" s="467"/>
      <c r="I106" s="521"/>
      <c r="J106" s="467"/>
      <c r="K106" s="467"/>
    </row>
    <row r="107" spans="1:12" ht="12.75" customHeight="1" x14ac:dyDescent="0.2">
      <c r="A107" s="463" t="s">
        <v>80</v>
      </c>
      <c r="B107" s="470">
        <v>1999</v>
      </c>
      <c r="C107" s="551">
        <v>52000</v>
      </c>
      <c r="D107" s="466"/>
      <c r="E107" s="466"/>
      <c r="F107" s="466"/>
      <c r="G107" s="466"/>
      <c r="H107" s="466"/>
      <c r="I107" s="466"/>
      <c r="J107" s="467"/>
      <c r="K107" s="466"/>
    </row>
    <row r="108" spans="1:12" ht="12.75" customHeight="1" thickBot="1" x14ac:dyDescent="0.25">
      <c r="A108" s="1729" t="s">
        <v>508</v>
      </c>
      <c r="B108" s="1733"/>
      <c r="C108" s="1728">
        <f>SUM(C95:C107)</f>
        <v>62309</v>
      </c>
      <c r="D108" s="1728">
        <f t="shared" ref="D108:K108" si="3">SUM(D95:D107)</f>
        <v>32174</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41971070</v>
      </c>
      <c r="D109" s="1736">
        <f t="shared" si="4"/>
        <v>6082420</v>
      </c>
      <c r="E109" s="1736">
        <f t="shared" si="4"/>
        <v>1130982</v>
      </c>
      <c r="F109" s="1736">
        <f t="shared" si="4"/>
        <v>1444967</v>
      </c>
      <c r="G109" s="1736">
        <f t="shared" si="4"/>
        <v>1257444</v>
      </c>
      <c r="H109" s="1736">
        <f t="shared" si="4"/>
        <v>541735</v>
      </c>
      <c r="I109" s="1736">
        <f t="shared" si="4"/>
        <v>0</v>
      </c>
      <c r="J109" s="1736">
        <f t="shared" si="4"/>
        <v>0</v>
      </c>
      <c r="K109" s="1723">
        <f t="shared" si="4"/>
        <v>40025</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v>1472535</v>
      </c>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0</v>
      </c>
      <c r="D121" s="1728">
        <f t="shared" si="5"/>
        <v>0</v>
      </c>
      <c r="E121" s="1728">
        <f t="shared" si="5"/>
        <v>0</v>
      </c>
      <c r="F121" s="1728">
        <f t="shared" si="5"/>
        <v>0</v>
      </c>
      <c r="G121" s="1728">
        <f t="shared" si="5"/>
        <v>0</v>
      </c>
      <c r="H121" s="1728">
        <f t="shared" si="5"/>
        <v>1472535</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139644</v>
      </c>
      <c r="D124" s="561"/>
      <c r="E124" s="468"/>
      <c r="F124" s="548"/>
      <c r="G124" s="468"/>
      <c r="H124" s="468"/>
      <c r="I124" s="468"/>
      <c r="J124" s="468"/>
      <c r="K124" s="468"/>
    </row>
    <row r="125" spans="1:11" ht="12.75" customHeight="1" x14ac:dyDescent="0.2">
      <c r="A125" s="463" t="s">
        <v>1521</v>
      </c>
      <c r="B125" s="562">
        <v>3105</v>
      </c>
      <c r="C125" s="466">
        <v>88320</v>
      </c>
      <c r="D125" s="561"/>
      <c r="E125" s="468"/>
      <c r="F125" s="466"/>
      <c r="G125" s="468"/>
      <c r="H125" s="468"/>
      <c r="I125" s="468"/>
      <c r="J125" s="468"/>
      <c r="K125" s="468"/>
    </row>
    <row r="126" spans="1:11" ht="12.75" customHeight="1" x14ac:dyDescent="0.2">
      <c r="A126" s="463" t="s">
        <v>922</v>
      </c>
      <c r="B126" s="562">
        <v>3110</v>
      </c>
      <c r="C126" s="551">
        <v>196701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861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425526</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20206</v>
      </c>
      <c r="G151" s="467"/>
      <c r="H151" s="468"/>
      <c r="I151" s="468"/>
      <c r="J151" s="468"/>
      <c r="K151" s="468"/>
    </row>
    <row r="152" spans="1:11" ht="12.75" customHeight="1" x14ac:dyDescent="0.2">
      <c r="A152" s="463" t="s">
        <v>1117</v>
      </c>
      <c r="B152" s="562">
        <v>3510</v>
      </c>
      <c r="C152" s="551"/>
      <c r="D152" s="466"/>
      <c r="E152" s="561"/>
      <c r="F152" s="466">
        <v>260632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280838</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4062</v>
      </c>
      <c r="D171" s="580"/>
      <c r="E171" s="580"/>
      <c r="F171" s="580"/>
      <c r="G171" s="581"/>
      <c r="H171" s="582"/>
      <c r="I171" s="581"/>
      <c r="J171" s="581"/>
      <c r="K171" s="582"/>
    </row>
    <row r="172" spans="1:11" ht="12.75" customHeight="1" thickTop="1" thickBot="1" x14ac:dyDescent="0.25">
      <c r="A172" s="2164" t="s">
        <v>418</v>
      </c>
      <c r="B172" s="2165"/>
      <c r="C172" s="1743">
        <f t="shared" ref="C172:K172" si="6">SUM(C131,C140,C144,C145:C149,C154,C155:C170,C171)</f>
        <v>429588</v>
      </c>
      <c r="D172" s="1743">
        <f t="shared" si="6"/>
        <v>0</v>
      </c>
      <c r="E172" s="1743">
        <f t="shared" si="6"/>
        <v>0</v>
      </c>
      <c r="F172" s="1743">
        <f t="shared" si="6"/>
        <v>280838</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429588</v>
      </c>
      <c r="D173" s="1736">
        <f>SUM(D121,D172)</f>
        <v>0</v>
      </c>
      <c r="E173" s="1736">
        <f>SUM(E121,E172)</f>
        <v>0</v>
      </c>
      <c r="F173" s="1736">
        <f t="shared" ref="F173:K173" si="7">SUM(F121,F172)</f>
        <v>280838</v>
      </c>
      <c r="G173" s="1736">
        <f t="shared" si="7"/>
        <v>0</v>
      </c>
      <c r="H173" s="1736">
        <f t="shared" si="7"/>
        <v>1472535</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v>19676</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19676</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57268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v>49317</v>
      </c>
      <c r="D210" s="466"/>
      <c r="E210" s="468"/>
      <c r="F210" s="466"/>
      <c r="G210" s="466"/>
      <c r="H210" s="468"/>
      <c r="I210" s="468"/>
      <c r="J210" s="468"/>
      <c r="K210" s="468"/>
    </row>
    <row r="211" spans="1:11" ht="12.75" customHeight="1" thickBot="1" x14ac:dyDescent="0.25">
      <c r="A211" s="1729" t="s">
        <v>420</v>
      </c>
      <c r="B211" s="1730"/>
      <c r="C211" s="1728">
        <f>SUM(C203:C210)</f>
        <v>106585</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22972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524116</v>
      </c>
      <c r="D220" s="466"/>
      <c r="E220" s="468"/>
      <c r="F220" s="466"/>
      <c r="G220" s="466"/>
      <c r="H220" s="468"/>
      <c r="I220" s="468"/>
      <c r="J220" s="468"/>
      <c r="K220" s="468"/>
    </row>
    <row r="221" spans="1:11" ht="12.75" customHeight="1" x14ac:dyDescent="0.2">
      <c r="A221" s="463" t="s">
        <v>1114</v>
      </c>
      <c r="B221" s="470">
        <v>4625</v>
      </c>
      <c r="C221" s="551">
        <v>10356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557444</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46624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730329</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730329</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43130987</v>
      </c>
      <c r="D275" s="1736">
        <f t="shared" si="12"/>
        <v>6082420</v>
      </c>
      <c r="E275" s="1736">
        <f t="shared" si="12"/>
        <v>1130982</v>
      </c>
      <c r="F275" s="1736">
        <f t="shared" si="12"/>
        <v>1725805</v>
      </c>
      <c r="G275" s="1736">
        <f t="shared" si="12"/>
        <v>1257444</v>
      </c>
      <c r="H275" s="1736">
        <f t="shared" si="12"/>
        <v>2014270</v>
      </c>
      <c r="I275" s="1736">
        <f t="shared" si="12"/>
        <v>0</v>
      </c>
      <c r="J275" s="1736">
        <f t="shared" si="12"/>
        <v>0</v>
      </c>
      <c r="K275" s="1723">
        <f t="shared" si="12"/>
        <v>40025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61" activePane="bottomLeft" state="frozen"/>
      <selection activeCell="A47" sqref="A47"/>
      <selection pane="bottomLeft" activeCell="F63" sqref="F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16186041</v>
      </c>
      <c r="D5" s="466">
        <v>2566952</v>
      </c>
      <c r="E5" s="466">
        <v>164523</v>
      </c>
      <c r="F5" s="466">
        <v>490857</v>
      </c>
      <c r="G5" s="466">
        <v>4353</v>
      </c>
      <c r="H5" s="466"/>
      <c r="I5" s="467"/>
      <c r="J5" s="467"/>
      <c r="K5" s="1692">
        <f>SUM(C5:J5)</f>
        <v>19412726</v>
      </c>
      <c r="L5" s="466">
        <v>20305096</v>
      </c>
    </row>
    <row r="6" spans="1:14" x14ac:dyDescent="0.2">
      <c r="A6" s="1525" t="s">
        <v>1508</v>
      </c>
      <c r="B6" s="615" t="s">
        <v>1506</v>
      </c>
      <c r="C6" s="477"/>
      <c r="D6" s="477"/>
      <c r="E6" s="466"/>
      <c r="F6" s="477"/>
      <c r="G6" s="477"/>
      <c r="H6" s="477"/>
      <c r="I6" s="477"/>
      <c r="J6" s="477"/>
      <c r="K6" s="1692">
        <f>SUM(C6,E6)</f>
        <v>0</v>
      </c>
      <c r="L6" s="466">
        <v>0</v>
      </c>
    </row>
    <row r="7" spans="1:14" x14ac:dyDescent="0.2">
      <c r="A7" s="1525" t="s">
        <v>165</v>
      </c>
      <c r="B7" s="615" t="s">
        <v>1024</v>
      </c>
      <c r="C7" s="467"/>
      <c r="D7" s="467"/>
      <c r="E7" s="467"/>
      <c r="F7" s="467"/>
      <c r="G7" s="467"/>
      <c r="H7" s="467"/>
      <c r="I7" s="467"/>
      <c r="J7" s="467"/>
      <c r="K7" s="1692">
        <f t="shared" ref="K7:K32" si="0">SUM(C7:J7)</f>
        <v>0</v>
      </c>
      <c r="L7" s="466">
        <v>0</v>
      </c>
    </row>
    <row r="8" spans="1:14" x14ac:dyDescent="0.2">
      <c r="A8" s="1525" t="s">
        <v>166</v>
      </c>
      <c r="B8" s="615">
        <v>1200</v>
      </c>
      <c r="C8" s="466">
        <v>5042370</v>
      </c>
      <c r="D8" s="466">
        <v>1142976</v>
      </c>
      <c r="E8" s="466">
        <v>94708</v>
      </c>
      <c r="F8" s="466">
        <v>82052</v>
      </c>
      <c r="G8" s="466">
        <v>11828</v>
      </c>
      <c r="H8" s="466">
        <v>233515</v>
      </c>
      <c r="I8" s="467"/>
      <c r="J8" s="467"/>
      <c r="K8" s="1692">
        <f t="shared" si="0"/>
        <v>6607449</v>
      </c>
      <c r="L8" s="466">
        <v>7095310</v>
      </c>
    </row>
    <row r="9" spans="1:14" x14ac:dyDescent="0.2">
      <c r="A9" s="1525" t="s">
        <v>745</v>
      </c>
      <c r="B9" s="615" t="s">
        <v>1025</v>
      </c>
      <c r="C9" s="467"/>
      <c r="D9" s="467"/>
      <c r="E9" s="467"/>
      <c r="F9" s="467"/>
      <c r="G9" s="467"/>
      <c r="H9" s="467"/>
      <c r="I9" s="467"/>
      <c r="J9" s="467"/>
      <c r="K9" s="1692">
        <f t="shared" si="0"/>
        <v>0</v>
      </c>
      <c r="L9" s="466">
        <v>0</v>
      </c>
    </row>
    <row r="10" spans="1:14" x14ac:dyDescent="0.2">
      <c r="A10" s="1525" t="s">
        <v>746</v>
      </c>
      <c r="B10" s="615">
        <v>1250</v>
      </c>
      <c r="C10" s="466">
        <v>736</v>
      </c>
      <c r="D10" s="466">
        <v>276</v>
      </c>
      <c r="E10" s="466"/>
      <c r="F10" s="466">
        <v>10774</v>
      </c>
      <c r="G10" s="466"/>
      <c r="H10" s="466"/>
      <c r="I10" s="467"/>
      <c r="J10" s="467"/>
      <c r="K10" s="1692">
        <f t="shared" si="0"/>
        <v>11786</v>
      </c>
      <c r="L10" s="466">
        <v>0</v>
      </c>
    </row>
    <row r="11" spans="1:14" x14ac:dyDescent="0.2">
      <c r="A11" s="1525" t="s">
        <v>1192</v>
      </c>
      <c r="B11" s="615" t="s">
        <v>163</v>
      </c>
      <c r="C11" s="467"/>
      <c r="D11" s="467"/>
      <c r="E11" s="467"/>
      <c r="F11" s="467"/>
      <c r="G11" s="467"/>
      <c r="H11" s="467"/>
      <c r="I11" s="467"/>
      <c r="J11" s="467"/>
      <c r="K11" s="1692">
        <f t="shared" si="0"/>
        <v>0</v>
      </c>
      <c r="L11" s="466">
        <v>0</v>
      </c>
    </row>
    <row r="12" spans="1:14" x14ac:dyDescent="0.2">
      <c r="A12" s="1525" t="s">
        <v>1019</v>
      </c>
      <c r="B12" s="615">
        <v>1300</v>
      </c>
      <c r="C12" s="466"/>
      <c r="D12" s="466"/>
      <c r="E12" s="466"/>
      <c r="F12" s="466"/>
      <c r="G12" s="466"/>
      <c r="H12" s="466"/>
      <c r="I12" s="467"/>
      <c r="J12" s="467"/>
      <c r="K12" s="1692">
        <f t="shared" si="0"/>
        <v>0</v>
      </c>
      <c r="L12" s="466">
        <v>0</v>
      </c>
    </row>
    <row r="13" spans="1:14" x14ac:dyDescent="0.2">
      <c r="A13" s="1525" t="s">
        <v>747</v>
      </c>
      <c r="B13" s="615">
        <v>1400</v>
      </c>
      <c r="C13" s="466"/>
      <c r="D13" s="466"/>
      <c r="E13" s="466"/>
      <c r="F13" s="466"/>
      <c r="G13" s="466"/>
      <c r="H13" s="466"/>
      <c r="I13" s="467"/>
      <c r="J13" s="467"/>
      <c r="K13" s="1692">
        <f t="shared" si="0"/>
        <v>0</v>
      </c>
      <c r="L13" s="466">
        <v>0</v>
      </c>
    </row>
    <row r="14" spans="1:14" x14ac:dyDescent="0.2">
      <c r="A14" s="1525" t="s">
        <v>1020</v>
      </c>
      <c r="B14" s="615">
        <v>1500</v>
      </c>
      <c r="C14" s="466">
        <v>397360</v>
      </c>
      <c r="D14" s="466">
        <v>4792</v>
      </c>
      <c r="E14" s="466">
        <v>14036</v>
      </c>
      <c r="F14" s="466">
        <v>8050</v>
      </c>
      <c r="G14" s="466"/>
      <c r="H14" s="466"/>
      <c r="I14" s="467"/>
      <c r="J14" s="467"/>
      <c r="K14" s="1692">
        <f t="shared" si="0"/>
        <v>424238</v>
      </c>
      <c r="L14" s="466">
        <v>370800</v>
      </c>
    </row>
    <row r="15" spans="1:14" x14ac:dyDescent="0.2">
      <c r="A15" s="1525" t="s">
        <v>1021</v>
      </c>
      <c r="B15" s="615">
        <v>1600</v>
      </c>
      <c r="C15" s="466">
        <v>53761</v>
      </c>
      <c r="D15" s="466">
        <v>503</v>
      </c>
      <c r="E15" s="466"/>
      <c r="F15" s="466">
        <v>431</v>
      </c>
      <c r="G15" s="466"/>
      <c r="H15" s="466"/>
      <c r="I15" s="467"/>
      <c r="J15" s="467"/>
      <c r="K15" s="1692">
        <f t="shared" si="0"/>
        <v>54695</v>
      </c>
      <c r="L15" s="466">
        <v>102350</v>
      </c>
    </row>
    <row r="16" spans="1:14" x14ac:dyDescent="0.2">
      <c r="A16" s="1525" t="s">
        <v>1044</v>
      </c>
      <c r="B16" s="615" t="s">
        <v>444</v>
      </c>
      <c r="C16" s="466">
        <v>874610</v>
      </c>
      <c r="D16" s="466">
        <v>145499</v>
      </c>
      <c r="E16" s="466">
        <v>514</v>
      </c>
      <c r="F16" s="466">
        <v>309</v>
      </c>
      <c r="G16" s="466"/>
      <c r="H16" s="466"/>
      <c r="I16" s="467"/>
      <c r="J16" s="467"/>
      <c r="K16" s="1692">
        <f t="shared" si="0"/>
        <v>1020932</v>
      </c>
      <c r="L16" s="466">
        <v>1026349</v>
      </c>
    </row>
    <row r="17" spans="1:12" x14ac:dyDescent="0.2">
      <c r="A17" s="1525" t="s">
        <v>748</v>
      </c>
      <c r="B17" s="615" t="s">
        <v>164</v>
      </c>
      <c r="C17" s="467"/>
      <c r="D17" s="467"/>
      <c r="E17" s="467"/>
      <c r="F17" s="467"/>
      <c r="G17" s="467"/>
      <c r="H17" s="467"/>
      <c r="I17" s="467"/>
      <c r="J17" s="467"/>
      <c r="K17" s="1692">
        <f t="shared" si="0"/>
        <v>0</v>
      </c>
      <c r="L17" s="466">
        <v>0</v>
      </c>
    </row>
    <row r="18" spans="1:12" x14ac:dyDescent="0.2">
      <c r="A18" s="1525" t="s">
        <v>1148</v>
      </c>
      <c r="B18" s="615">
        <v>1800</v>
      </c>
      <c r="C18" s="466"/>
      <c r="D18" s="466"/>
      <c r="E18" s="466"/>
      <c r="F18" s="466"/>
      <c r="G18" s="466"/>
      <c r="H18" s="466"/>
      <c r="I18" s="467"/>
      <c r="J18" s="467"/>
      <c r="K18" s="1692">
        <f t="shared" si="0"/>
        <v>0</v>
      </c>
      <c r="L18" s="466">
        <v>0</v>
      </c>
    </row>
    <row r="19" spans="1:12" x14ac:dyDescent="0.2">
      <c r="A19" s="1525" t="s">
        <v>136</v>
      </c>
      <c r="B19" s="615">
        <v>1900</v>
      </c>
      <c r="C19" s="466"/>
      <c r="D19" s="466"/>
      <c r="E19" s="466"/>
      <c r="F19" s="466"/>
      <c r="G19" s="466"/>
      <c r="H19" s="466"/>
      <c r="I19" s="467"/>
      <c r="J19" s="467"/>
      <c r="K19" s="1692">
        <f t="shared" si="0"/>
        <v>0</v>
      </c>
      <c r="L19" s="466">
        <v>0</v>
      </c>
    </row>
    <row r="20" spans="1:12" x14ac:dyDescent="0.2">
      <c r="A20" s="1526" t="s">
        <v>762</v>
      </c>
      <c r="B20" s="603" t="s">
        <v>749</v>
      </c>
      <c r="C20" s="477"/>
      <c r="D20" s="477"/>
      <c r="E20" s="477"/>
      <c r="F20" s="477"/>
      <c r="G20" s="477"/>
      <c r="H20" s="474"/>
      <c r="I20" s="617"/>
      <c r="J20" s="475"/>
      <c r="K20" s="1692">
        <f t="shared" si="0"/>
        <v>0</v>
      </c>
      <c r="L20" s="471">
        <v>0</v>
      </c>
    </row>
    <row r="21" spans="1:12" x14ac:dyDescent="0.2">
      <c r="A21" s="1526" t="s">
        <v>763</v>
      </c>
      <c r="B21" s="603" t="s">
        <v>750</v>
      </c>
      <c r="C21" s="477"/>
      <c r="D21" s="477"/>
      <c r="E21" s="477"/>
      <c r="F21" s="477"/>
      <c r="G21" s="477"/>
      <c r="H21" s="474"/>
      <c r="I21" s="617"/>
      <c r="J21" s="477"/>
      <c r="K21" s="1692">
        <f t="shared" si="0"/>
        <v>0</v>
      </c>
      <c r="L21" s="471">
        <v>0</v>
      </c>
    </row>
    <row r="22" spans="1:12" x14ac:dyDescent="0.2">
      <c r="A22" s="1526" t="s">
        <v>764</v>
      </c>
      <c r="B22" s="603" t="s">
        <v>751</v>
      </c>
      <c r="C22" s="477"/>
      <c r="D22" s="477"/>
      <c r="E22" s="477"/>
      <c r="F22" s="477"/>
      <c r="G22" s="477"/>
      <c r="H22" s="474"/>
      <c r="I22" s="617"/>
      <c r="J22" s="477"/>
      <c r="K22" s="1692">
        <f t="shared" si="0"/>
        <v>0</v>
      </c>
      <c r="L22" s="471">
        <v>0</v>
      </c>
    </row>
    <row r="23" spans="1:12" x14ac:dyDescent="0.2">
      <c r="A23" s="1526" t="s">
        <v>765</v>
      </c>
      <c r="B23" s="603" t="s">
        <v>752</v>
      </c>
      <c r="C23" s="477"/>
      <c r="D23" s="477"/>
      <c r="E23" s="477"/>
      <c r="F23" s="477"/>
      <c r="G23" s="477"/>
      <c r="H23" s="474"/>
      <c r="I23" s="617"/>
      <c r="J23" s="477"/>
      <c r="K23" s="1692">
        <f t="shared" si="0"/>
        <v>0</v>
      </c>
      <c r="L23" s="471">
        <v>0</v>
      </c>
    </row>
    <row r="24" spans="1:12" ht="12.75" customHeight="1" x14ac:dyDescent="0.2">
      <c r="A24" s="1526" t="s">
        <v>766</v>
      </c>
      <c r="B24" s="603" t="s">
        <v>753</v>
      </c>
      <c r="C24" s="477"/>
      <c r="D24" s="477"/>
      <c r="E24" s="477"/>
      <c r="F24" s="477"/>
      <c r="G24" s="477"/>
      <c r="H24" s="474"/>
      <c r="I24" s="617"/>
      <c r="J24" s="477"/>
      <c r="K24" s="1692">
        <f t="shared" si="0"/>
        <v>0</v>
      </c>
      <c r="L24" s="471">
        <v>0</v>
      </c>
    </row>
    <row r="25" spans="1:12" ht="12.75" customHeight="1" x14ac:dyDescent="0.2">
      <c r="A25" s="1526" t="s">
        <v>835</v>
      </c>
      <c r="B25" s="603" t="s">
        <v>754</v>
      </c>
      <c r="C25" s="477"/>
      <c r="D25" s="477"/>
      <c r="E25" s="477"/>
      <c r="F25" s="477"/>
      <c r="G25" s="477"/>
      <c r="H25" s="474"/>
      <c r="I25" s="617"/>
      <c r="J25" s="477"/>
      <c r="K25" s="1692">
        <f t="shared" si="0"/>
        <v>0</v>
      </c>
      <c r="L25" s="471">
        <v>0</v>
      </c>
    </row>
    <row r="26" spans="1:12" x14ac:dyDescent="0.2">
      <c r="A26" s="1526" t="s">
        <v>643</v>
      </c>
      <c r="B26" s="603" t="s">
        <v>755</v>
      </c>
      <c r="C26" s="477"/>
      <c r="D26" s="477"/>
      <c r="E26" s="477"/>
      <c r="F26" s="477"/>
      <c r="G26" s="477"/>
      <c r="H26" s="474"/>
      <c r="I26" s="617"/>
      <c r="J26" s="477"/>
      <c r="K26" s="1692">
        <f t="shared" si="0"/>
        <v>0</v>
      </c>
      <c r="L26" s="471">
        <v>0</v>
      </c>
    </row>
    <row r="27" spans="1:12" x14ac:dyDescent="0.2">
      <c r="A27" s="1526" t="s">
        <v>644</v>
      </c>
      <c r="B27" s="603" t="s">
        <v>756</v>
      </c>
      <c r="C27" s="477"/>
      <c r="D27" s="477"/>
      <c r="E27" s="477"/>
      <c r="F27" s="477"/>
      <c r="G27" s="477"/>
      <c r="H27" s="474"/>
      <c r="I27" s="617"/>
      <c r="J27" s="477"/>
      <c r="K27" s="1692">
        <f t="shared" si="0"/>
        <v>0</v>
      </c>
      <c r="L27" s="471">
        <v>0</v>
      </c>
    </row>
    <row r="28" spans="1:12" x14ac:dyDescent="0.2">
      <c r="A28" s="1526" t="s">
        <v>152</v>
      </c>
      <c r="B28" s="603" t="s">
        <v>757</v>
      </c>
      <c r="C28" s="477"/>
      <c r="D28" s="477"/>
      <c r="E28" s="477"/>
      <c r="F28" s="477"/>
      <c r="G28" s="477"/>
      <c r="H28" s="474"/>
      <c r="I28" s="617"/>
      <c r="J28" s="477"/>
      <c r="K28" s="1692">
        <f t="shared" si="0"/>
        <v>0</v>
      </c>
      <c r="L28" s="471">
        <v>0</v>
      </c>
    </row>
    <row r="29" spans="1:12" x14ac:dyDescent="0.2">
      <c r="A29" s="1526" t="s">
        <v>153</v>
      </c>
      <c r="B29" s="603" t="s">
        <v>758</v>
      </c>
      <c r="C29" s="477"/>
      <c r="D29" s="477"/>
      <c r="E29" s="477"/>
      <c r="F29" s="477"/>
      <c r="G29" s="477"/>
      <c r="H29" s="474"/>
      <c r="I29" s="617"/>
      <c r="J29" s="477"/>
      <c r="K29" s="1692">
        <f t="shared" si="0"/>
        <v>0</v>
      </c>
      <c r="L29" s="471">
        <v>0</v>
      </c>
    </row>
    <row r="30" spans="1:12" x14ac:dyDescent="0.2">
      <c r="A30" s="1526" t="s">
        <v>154</v>
      </c>
      <c r="B30" s="603" t="s">
        <v>759</v>
      </c>
      <c r="C30" s="477"/>
      <c r="D30" s="477"/>
      <c r="E30" s="477"/>
      <c r="F30" s="477"/>
      <c r="G30" s="477"/>
      <c r="H30" s="474"/>
      <c r="I30" s="617"/>
      <c r="J30" s="477"/>
      <c r="K30" s="1692">
        <f t="shared" si="0"/>
        <v>0</v>
      </c>
      <c r="L30" s="471">
        <v>0</v>
      </c>
    </row>
    <row r="31" spans="1:12" x14ac:dyDescent="0.2">
      <c r="A31" s="1526" t="s">
        <v>155</v>
      </c>
      <c r="B31" s="603" t="s">
        <v>760</v>
      </c>
      <c r="C31" s="477"/>
      <c r="D31" s="477"/>
      <c r="E31" s="477"/>
      <c r="F31" s="477"/>
      <c r="G31" s="477"/>
      <c r="H31" s="474"/>
      <c r="I31" s="617"/>
      <c r="J31" s="477"/>
      <c r="K31" s="1692">
        <f t="shared" si="0"/>
        <v>0</v>
      </c>
      <c r="L31" s="471">
        <v>0</v>
      </c>
    </row>
    <row r="32" spans="1:12" x14ac:dyDescent="0.2">
      <c r="A32" s="1527" t="s">
        <v>1191</v>
      </c>
      <c r="B32" s="615" t="s">
        <v>761</v>
      </c>
      <c r="C32" s="477"/>
      <c r="D32" s="477"/>
      <c r="E32" s="477"/>
      <c r="F32" s="477"/>
      <c r="G32" s="477"/>
      <c r="H32" s="474"/>
      <c r="I32" s="617"/>
      <c r="J32" s="480"/>
      <c r="K32" s="1692">
        <f t="shared" si="0"/>
        <v>0</v>
      </c>
      <c r="L32" s="471">
        <v>0</v>
      </c>
    </row>
    <row r="33" spans="1:14" ht="12.75" customHeight="1" thickBot="1" x14ac:dyDescent="0.25">
      <c r="A33" s="1689" t="s">
        <v>1767</v>
      </c>
      <c r="B33" s="1690" t="s">
        <v>591</v>
      </c>
      <c r="C33" s="1691">
        <f>SUM(C5:C32)</f>
        <v>22554878</v>
      </c>
      <c r="D33" s="1691">
        <f t="shared" ref="D33:L33" si="1">SUM(D5:D32)</f>
        <v>3860998</v>
      </c>
      <c r="E33" s="1691">
        <f t="shared" si="1"/>
        <v>273781</v>
      </c>
      <c r="F33" s="1691">
        <f t="shared" si="1"/>
        <v>592473</v>
      </c>
      <c r="G33" s="1691">
        <f t="shared" si="1"/>
        <v>16181</v>
      </c>
      <c r="H33" s="1691">
        <f t="shared" si="1"/>
        <v>233515</v>
      </c>
      <c r="I33" s="1691">
        <f t="shared" si="1"/>
        <v>0</v>
      </c>
      <c r="J33" s="1691">
        <f t="shared" si="1"/>
        <v>0</v>
      </c>
      <c r="K33" s="1691">
        <f t="shared" si="1"/>
        <v>27531826</v>
      </c>
      <c r="L33" s="1691">
        <f t="shared" si="1"/>
        <v>28899905</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644775</v>
      </c>
      <c r="D36" s="481">
        <v>119881</v>
      </c>
      <c r="E36" s="481">
        <f>12624</f>
        <v>12624</v>
      </c>
      <c r="F36" s="481"/>
      <c r="G36" s="481"/>
      <c r="H36" s="481"/>
      <c r="I36" s="467"/>
      <c r="J36" s="467"/>
      <c r="K36" s="1692">
        <f t="shared" ref="K36:K41" si="2">SUM(C36:J36)</f>
        <v>777280</v>
      </c>
      <c r="L36" s="466">
        <v>809805</v>
      </c>
    </row>
    <row r="37" spans="1:14" x14ac:dyDescent="0.2">
      <c r="A37" s="1525" t="s">
        <v>1151</v>
      </c>
      <c r="B37" s="615">
        <v>2120</v>
      </c>
      <c r="C37" s="466">
        <v>215077</v>
      </c>
      <c r="D37" s="466">
        <v>43194</v>
      </c>
      <c r="E37" s="466"/>
      <c r="F37" s="466"/>
      <c r="G37" s="466"/>
      <c r="H37" s="466"/>
      <c r="I37" s="467"/>
      <c r="J37" s="467"/>
      <c r="K37" s="1692">
        <f t="shared" si="2"/>
        <v>258271</v>
      </c>
      <c r="L37" s="466">
        <v>207418</v>
      </c>
    </row>
    <row r="38" spans="1:14" x14ac:dyDescent="0.2">
      <c r="A38" s="1525" t="s">
        <v>207</v>
      </c>
      <c r="B38" s="615">
        <v>2130</v>
      </c>
      <c r="C38" s="466">
        <v>321273</v>
      </c>
      <c r="D38" s="466">
        <v>88650</v>
      </c>
      <c r="E38" s="466"/>
      <c r="F38" s="466">
        <v>5293</v>
      </c>
      <c r="G38" s="466"/>
      <c r="H38" s="466"/>
      <c r="I38" s="467"/>
      <c r="J38" s="467"/>
      <c r="K38" s="1692">
        <f t="shared" si="2"/>
        <v>415216</v>
      </c>
      <c r="L38" s="466">
        <v>407605</v>
      </c>
    </row>
    <row r="39" spans="1:14" x14ac:dyDescent="0.2">
      <c r="A39" s="1525" t="s">
        <v>208</v>
      </c>
      <c r="B39" s="615">
        <v>2140</v>
      </c>
      <c r="C39" s="466">
        <v>154011</v>
      </c>
      <c r="D39" s="466">
        <v>31369</v>
      </c>
      <c r="E39" s="466">
        <v>4000</v>
      </c>
      <c r="F39" s="466">
        <v>8335</v>
      </c>
      <c r="G39" s="466"/>
      <c r="H39" s="466"/>
      <c r="I39" s="467"/>
      <c r="J39" s="467"/>
      <c r="K39" s="1692">
        <f t="shared" si="2"/>
        <v>197715</v>
      </c>
      <c r="L39" s="466">
        <v>267345</v>
      </c>
    </row>
    <row r="40" spans="1:14" x14ac:dyDescent="0.2">
      <c r="A40" s="1525" t="s">
        <v>209</v>
      </c>
      <c r="B40" s="615">
        <v>2150</v>
      </c>
      <c r="C40" s="466">
        <v>929112</v>
      </c>
      <c r="D40" s="466">
        <v>138312</v>
      </c>
      <c r="E40" s="466">
        <v>574</v>
      </c>
      <c r="F40" s="466">
        <v>2201</v>
      </c>
      <c r="G40" s="466"/>
      <c r="H40" s="466"/>
      <c r="I40" s="467"/>
      <c r="J40" s="467"/>
      <c r="K40" s="1692">
        <f t="shared" si="2"/>
        <v>1070199</v>
      </c>
      <c r="L40" s="466">
        <v>1102651</v>
      </c>
    </row>
    <row r="41" spans="1:14" x14ac:dyDescent="0.2">
      <c r="A41" s="1525" t="s">
        <v>1768</v>
      </c>
      <c r="B41" s="615">
        <v>2190</v>
      </c>
      <c r="C41" s="466"/>
      <c r="D41" s="466"/>
      <c r="E41" s="466"/>
      <c r="F41" s="466"/>
      <c r="G41" s="466"/>
      <c r="H41" s="466"/>
      <c r="I41" s="467"/>
      <c r="J41" s="467"/>
      <c r="K41" s="1692">
        <f t="shared" si="2"/>
        <v>0</v>
      </c>
      <c r="L41" s="466">
        <v>0</v>
      </c>
    </row>
    <row r="42" spans="1:14" ht="12.75" customHeight="1" thickBot="1" x14ac:dyDescent="0.25">
      <c r="A42" s="1689" t="s">
        <v>581</v>
      </c>
      <c r="B42" s="1690" t="s">
        <v>740</v>
      </c>
      <c r="C42" s="1691">
        <f>SUM(C36:C41)</f>
        <v>2264248</v>
      </c>
      <c r="D42" s="1691">
        <f t="shared" ref="D42:L42" si="3">SUM(D36:D41)</f>
        <v>421406</v>
      </c>
      <c r="E42" s="1691">
        <f t="shared" si="3"/>
        <v>17198</v>
      </c>
      <c r="F42" s="1691">
        <f t="shared" si="3"/>
        <v>15829</v>
      </c>
      <c r="G42" s="1691">
        <f t="shared" si="3"/>
        <v>0</v>
      </c>
      <c r="H42" s="1691">
        <f t="shared" si="3"/>
        <v>0</v>
      </c>
      <c r="I42" s="1691">
        <f t="shared" si="3"/>
        <v>0</v>
      </c>
      <c r="J42" s="1691">
        <f t="shared" si="3"/>
        <v>0</v>
      </c>
      <c r="K42" s="1691">
        <f t="shared" si="3"/>
        <v>2718681</v>
      </c>
      <c r="L42" s="1691">
        <f t="shared" si="3"/>
        <v>2794824</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2037055</v>
      </c>
      <c r="D44" s="481">
        <v>183611</v>
      </c>
      <c r="E44" s="481">
        <v>374874</v>
      </c>
      <c r="F44" s="481">
        <v>51691</v>
      </c>
      <c r="G44" s="481"/>
      <c r="H44" s="481">
        <v>279</v>
      </c>
      <c r="I44" s="467"/>
      <c r="J44" s="467"/>
      <c r="K44" s="1693">
        <f>SUM(C44:J44)</f>
        <v>2647510</v>
      </c>
      <c r="L44" s="481">
        <v>1826105</v>
      </c>
    </row>
    <row r="45" spans="1:14" x14ac:dyDescent="0.2">
      <c r="A45" s="1525" t="s">
        <v>869</v>
      </c>
      <c r="B45" s="615">
        <v>2220</v>
      </c>
      <c r="C45" s="466">
        <v>739027</v>
      </c>
      <c r="D45" s="466">
        <v>159304</v>
      </c>
      <c r="E45" s="466"/>
      <c r="F45" s="466">
        <v>43345</v>
      </c>
      <c r="G45" s="466">
        <v>23299</v>
      </c>
      <c r="H45" s="466"/>
      <c r="I45" s="467"/>
      <c r="J45" s="467"/>
      <c r="K45" s="1693">
        <f>SUM(C45:J45)</f>
        <v>964975</v>
      </c>
      <c r="L45" s="466">
        <v>977215</v>
      </c>
    </row>
    <row r="46" spans="1:14" x14ac:dyDescent="0.2">
      <c r="A46" s="1525" t="s">
        <v>870</v>
      </c>
      <c r="B46" s="615">
        <v>2230</v>
      </c>
      <c r="C46" s="466">
        <v>339681</v>
      </c>
      <c r="D46" s="466">
        <v>80389</v>
      </c>
      <c r="E46" s="466">
        <f>73213+46250</f>
        <v>119463</v>
      </c>
      <c r="F46" s="466">
        <v>5157</v>
      </c>
      <c r="G46" s="466"/>
      <c r="H46" s="466"/>
      <c r="I46" s="467"/>
      <c r="J46" s="467"/>
      <c r="K46" s="1693">
        <f>SUM(C46:J46)</f>
        <v>544690</v>
      </c>
      <c r="L46" s="466">
        <v>531504</v>
      </c>
    </row>
    <row r="47" spans="1:14" ht="12.75" customHeight="1" thickBot="1" x14ac:dyDescent="0.25">
      <c r="A47" s="1689" t="s">
        <v>582</v>
      </c>
      <c r="B47" s="1690" t="s">
        <v>32</v>
      </c>
      <c r="C47" s="1691">
        <f>SUM(C44:C46)</f>
        <v>3115763</v>
      </c>
      <c r="D47" s="1691">
        <f t="shared" ref="D47:K47" si="4">SUM(D44:D46)</f>
        <v>423304</v>
      </c>
      <c r="E47" s="1691">
        <f t="shared" si="4"/>
        <v>494337</v>
      </c>
      <c r="F47" s="1691">
        <f t="shared" si="4"/>
        <v>100193</v>
      </c>
      <c r="G47" s="1691">
        <f t="shared" si="4"/>
        <v>23299</v>
      </c>
      <c r="H47" s="1691">
        <f t="shared" si="4"/>
        <v>279</v>
      </c>
      <c r="I47" s="1691">
        <f t="shared" si="4"/>
        <v>0</v>
      </c>
      <c r="J47" s="1691">
        <f t="shared" si="4"/>
        <v>0</v>
      </c>
      <c r="K47" s="1691">
        <f t="shared" si="4"/>
        <v>4157175</v>
      </c>
      <c r="L47" s="1691">
        <f>SUM(L44:L46)</f>
        <v>3334824</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820403</v>
      </c>
      <c r="F49" s="481"/>
      <c r="G49" s="481"/>
      <c r="H49" s="481"/>
      <c r="I49" s="467"/>
      <c r="J49" s="467"/>
      <c r="K49" s="1693">
        <f>SUM(C49:J49)</f>
        <v>820403</v>
      </c>
      <c r="L49" s="481">
        <v>808676</v>
      </c>
    </row>
    <row r="50" spans="1:14" x14ac:dyDescent="0.2">
      <c r="A50" s="1525" t="s">
        <v>872</v>
      </c>
      <c r="B50" s="615">
        <v>2320</v>
      </c>
      <c r="C50" s="466">
        <v>719536</v>
      </c>
      <c r="D50" s="466">
        <v>121615</v>
      </c>
      <c r="E50" s="466">
        <v>206733</v>
      </c>
      <c r="F50" s="466">
        <v>17346</v>
      </c>
      <c r="G50" s="466">
        <v>4198</v>
      </c>
      <c r="H50" s="466"/>
      <c r="I50" s="467"/>
      <c r="J50" s="467"/>
      <c r="K50" s="1693">
        <f>SUM(C50:J50)</f>
        <v>1069428</v>
      </c>
      <c r="L50" s="466">
        <v>975942</v>
      </c>
    </row>
    <row r="51" spans="1:14" x14ac:dyDescent="0.2">
      <c r="A51" s="1525" t="s">
        <v>44</v>
      </c>
      <c r="B51" s="615">
        <v>2330</v>
      </c>
      <c r="C51" s="466"/>
      <c r="D51" s="466"/>
      <c r="E51" s="466"/>
      <c r="F51" s="466"/>
      <c r="G51" s="466"/>
      <c r="H51" s="466"/>
      <c r="I51" s="467"/>
      <c r="J51" s="467"/>
      <c r="K51" s="1693">
        <f>SUM(C51:J51)</f>
        <v>0</v>
      </c>
      <c r="L51" s="466">
        <v>0</v>
      </c>
    </row>
    <row r="52" spans="1:14" ht="22.5" x14ac:dyDescent="0.2">
      <c r="A52" s="1526" t="s">
        <v>316</v>
      </c>
      <c r="B52" s="628" t="s">
        <v>384</v>
      </c>
      <c r="C52" s="474"/>
      <c r="D52" s="474"/>
      <c r="E52" s="474"/>
      <c r="F52" s="474"/>
      <c r="G52" s="474"/>
      <c r="H52" s="474"/>
      <c r="I52" s="474"/>
      <c r="J52" s="474"/>
      <c r="K52" s="1693">
        <f>SUM(C52:J52)</f>
        <v>0</v>
      </c>
      <c r="L52" s="474">
        <v>0</v>
      </c>
    </row>
    <row r="53" spans="1:14" ht="12.75" customHeight="1" thickBot="1" x14ac:dyDescent="0.25">
      <c r="A53" s="1689" t="s">
        <v>741</v>
      </c>
      <c r="B53" s="1690" t="s">
        <v>33</v>
      </c>
      <c r="C53" s="1691">
        <f>SUM(C49:C52)</f>
        <v>719536</v>
      </c>
      <c r="D53" s="1691">
        <f t="shared" ref="D53:L53" si="5">SUM(D49:D52)</f>
        <v>121615</v>
      </c>
      <c r="E53" s="1691">
        <f t="shared" si="5"/>
        <v>1027136</v>
      </c>
      <c r="F53" s="1691">
        <f t="shared" si="5"/>
        <v>17346</v>
      </c>
      <c r="G53" s="1691">
        <f t="shared" si="5"/>
        <v>4198</v>
      </c>
      <c r="H53" s="1691">
        <f t="shared" si="5"/>
        <v>0</v>
      </c>
      <c r="I53" s="1691">
        <f t="shared" si="5"/>
        <v>0</v>
      </c>
      <c r="J53" s="1691">
        <f t="shared" si="5"/>
        <v>0</v>
      </c>
      <c r="K53" s="1691">
        <f t="shared" si="5"/>
        <v>1889831</v>
      </c>
      <c r="L53" s="1691">
        <f t="shared" si="5"/>
        <v>1784618</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f>24362+1701881</f>
        <v>1726243</v>
      </c>
      <c r="D55" s="481">
        <v>420845</v>
      </c>
      <c r="E55" s="481">
        <v>23720</v>
      </c>
      <c r="F55" s="481">
        <v>6292</v>
      </c>
      <c r="G55" s="481"/>
      <c r="H55" s="481"/>
      <c r="I55" s="467"/>
      <c r="J55" s="467"/>
      <c r="K55" s="1693">
        <f>SUM(C55:J55)</f>
        <v>2177100</v>
      </c>
      <c r="L55" s="481">
        <v>2154983</v>
      </c>
    </row>
    <row r="56" spans="1:14" ht="12.75" customHeight="1" x14ac:dyDescent="0.2">
      <c r="A56" s="1529" t="s">
        <v>394</v>
      </c>
      <c r="B56" s="629">
        <v>2490</v>
      </c>
      <c r="C56" s="466"/>
      <c r="D56" s="466"/>
      <c r="E56" s="466"/>
      <c r="F56" s="466"/>
      <c r="G56" s="466"/>
      <c r="H56" s="466"/>
      <c r="I56" s="467"/>
      <c r="J56" s="467"/>
      <c r="K56" s="1693">
        <f>SUM(C56:J56)</f>
        <v>0</v>
      </c>
      <c r="L56" s="466">
        <v>0</v>
      </c>
    </row>
    <row r="57" spans="1:14" s="343" customFormat="1" ht="12.75" customHeight="1" thickBot="1" x14ac:dyDescent="0.25">
      <c r="A57" s="1689" t="s">
        <v>281</v>
      </c>
      <c r="B57" s="1694" t="s">
        <v>34</v>
      </c>
      <c r="C57" s="1695">
        <f>SUM(C55:C56)</f>
        <v>1726243</v>
      </c>
      <c r="D57" s="1695">
        <f t="shared" ref="D57:K57" si="6">SUM(D55:D56)</f>
        <v>420845</v>
      </c>
      <c r="E57" s="1695">
        <f t="shared" si="6"/>
        <v>23720</v>
      </c>
      <c r="F57" s="1695">
        <f t="shared" si="6"/>
        <v>6292</v>
      </c>
      <c r="G57" s="1695">
        <f t="shared" si="6"/>
        <v>0</v>
      </c>
      <c r="H57" s="1695">
        <f t="shared" si="6"/>
        <v>0</v>
      </c>
      <c r="I57" s="1695">
        <f t="shared" si="6"/>
        <v>0</v>
      </c>
      <c r="J57" s="1695">
        <f t="shared" si="6"/>
        <v>0</v>
      </c>
      <c r="K57" s="1695">
        <f t="shared" si="6"/>
        <v>2177100</v>
      </c>
      <c r="L57" s="1691">
        <f>SUM(L55:L56)</f>
        <v>2154983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534740</v>
      </c>
      <c r="D59" s="481">
        <v>107459</v>
      </c>
      <c r="E59" s="481">
        <v>51487</v>
      </c>
      <c r="F59" s="481">
        <v>6151</v>
      </c>
      <c r="G59" s="481"/>
      <c r="H59" s="481"/>
      <c r="I59" s="467"/>
      <c r="J59" s="467"/>
      <c r="K59" s="1693">
        <f t="shared" ref="K59:K64" si="7">SUM(C59:J59)</f>
        <v>699837</v>
      </c>
      <c r="L59" s="481">
        <v>665516</v>
      </c>
      <c r="M59" s="610"/>
      <c r="N59" s="610"/>
    </row>
    <row r="60" spans="1:14" s="343" customFormat="1" x14ac:dyDescent="0.2">
      <c r="A60" s="1525" t="s">
        <v>483</v>
      </c>
      <c r="B60" s="615">
        <v>2520</v>
      </c>
      <c r="C60" s="466"/>
      <c r="D60" s="466"/>
      <c r="E60" s="466"/>
      <c r="F60" s="466"/>
      <c r="G60" s="466"/>
      <c r="H60" s="466"/>
      <c r="I60" s="467"/>
      <c r="J60" s="467"/>
      <c r="K60" s="1693">
        <f t="shared" si="7"/>
        <v>0</v>
      </c>
      <c r="L60" s="466">
        <v>0</v>
      </c>
      <c r="M60" s="610"/>
      <c r="N60" s="610"/>
    </row>
    <row r="61" spans="1:14" s="343" customFormat="1" x14ac:dyDescent="0.2">
      <c r="A61" s="1525" t="s">
        <v>206</v>
      </c>
      <c r="B61" s="615">
        <v>2540</v>
      </c>
      <c r="C61" s="466"/>
      <c r="D61" s="466"/>
      <c r="E61" s="466"/>
      <c r="F61" s="466"/>
      <c r="G61" s="466"/>
      <c r="H61" s="466"/>
      <c r="I61" s="467"/>
      <c r="J61" s="467"/>
      <c r="K61" s="1693">
        <f t="shared" si="7"/>
        <v>0</v>
      </c>
      <c r="L61" s="466">
        <v>0</v>
      </c>
      <c r="M61" s="610"/>
      <c r="N61" s="610"/>
    </row>
    <row r="62" spans="1:14" s="343" customFormat="1" x14ac:dyDescent="0.2">
      <c r="A62" s="1525" t="s">
        <v>1010</v>
      </c>
      <c r="B62" s="615">
        <v>2550</v>
      </c>
      <c r="C62" s="466"/>
      <c r="D62" s="466"/>
      <c r="E62" s="466"/>
      <c r="F62" s="466"/>
      <c r="G62" s="466"/>
      <c r="H62" s="466"/>
      <c r="I62" s="467"/>
      <c r="J62" s="467"/>
      <c r="K62" s="1693">
        <f t="shared" si="7"/>
        <v>0</v>
      </c>
      <c r="L62" s="466">
        <v>0</v>
      </c>
      <c r="M62" s="610"/>
      <c r="N62" s="610"/>
    </row>
    <row r="63" spans="1:14" s="610" customFormat="1" x14ac:dyDescent="0.2">
      <c r="A63" s="1525" t="s">
        <v>102</v>
      </c>
      <c r="B63" s="615">
        <v>2560</v>
      </c>
      <c r="C63" s="466">
        <v>313506</v>
      </c>
      <c r="D63" s="466">
        <v>773</v>
      </c>
      <c r="E63" s="466"/>
      <c r="F63" s="466">
        <v>35929</v>
      </c>
      <c r="G63" s="466"/>
      <c r="H63" s="466"/>
      <c r="I63" s="467"/>
      <c r="J63" s="467"/>
      <c r="K63" s="1693">
        <f t="shared" si="7"/>
        <v>350208</v>
      </c>
      <c r="L63" s="466">
        <v>343933</v>
      </c>
    </row>
    <row r="64" spans="1:14" s="610" customFormat="1" x14ac:dyDescent="0.2">
      <c r="A64" s="1530" t="s">
        <v>103</v>
      </c>
      <c r="B64" s="631">
        <v>2570</v>
      </c>
      <c r="C64" s="481"/>
      <c r="D64" s="481"/>
      <c r="E64" s="481"/>
      <c r="F64" s="481"/>
      <c r="G64" s="481"/>
      <c r="H64" s="481"/>
      <c r="I64" s="467"/>
      <c r="J64" s="467"/>
      <c r="K64" s="1693">
        <f t="shared" si="7"/>
        <v>0</v>
      </c>
      <c r="L64" s="481">
        <v>0</v>
      </c>
    </row>
    <row r="65" spans="1:14" s="343" customFormat="1" ht="12.75" customHeight="1" thickBot="1" x14ac:dyDescent="0.25">
      <c r="A65" s="1689" t="s">
        <v>743</v>
      </c>
      <c r="B65" s="1690" t="s">
        <v>35</v>
      </c>
      <c r="C65" s="1691">
        <f>SUM(C59:C64)</f>
        <v>848246</v>
      </c>
      <c r="D65" s="1691">
        <f t="shared" ref="D65:L65" si="8">SUM(D59:D64)</f>
        <v>108232</v>
      </c>
      <c r="E65" s="1691">
        <f t="shared" si="8"/>
        <v>51487</v>
      </c>
      <c r="F65" s="1691">
        <f t="shared" si="8"/>
        <v>42080</v>
      </c>
      <c r="G65" s="1691">
        <f t="shared" si="8"/>
        <v>0</v>
      </c>
      <c r="H65" s="1691">
        <f t="shared" si="8"/>
        <v>0</v>
      </c>
      <c r="I65" s="1691">
        <f t="shared" si="8"/>
        <v>0</v>
      </c>
      <c r="J65" s="1691">
        <f t="shared" si="8"/>
        <v>0</v>
      </c>
      <c r="K65" s="1691">
        <f t="shared" si="8"/>
        <v>1050045</v>
      </c>
      <c r="L65" s="1691">
        <f t="shared" si="8"/>
        <v>1009449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v>0</v>
      </c>
      <c r="M67" s="610"/>
      <c r="N67" s="610"/>
    </row>
    <row r="68" spans="1:14" s="343" customFormat="1" x14ac:dyDescent="0.2">
      <c r="A68" s="1525" t="s">
        <v>628</v>
      </c>
      <c r="B68" s="615">
        <v>2620</v>
      </c>
      <c r="C68" s="466"/>
      <c r="D68" s="466"/>
      <c r="E68" s="466"/>
      <c r="F68" s="466"/>
      <c r="G68" s="466"/>
      <c r="H68" s="466"/>
      <c r="I68" s="467"/>
      <c r="J68" s="467"/>
      <c r="K68" s="1693">
        <f>SUM(C68:J68)</f>
        <v>0</v>
      </c>
      <c r="L68" s="466">
        <v>0</v>
      </c>
      <c r="M68" s="610"/>
      <c r="N68" s="610"/>
    </row>
    <row r="69" spans="1:14" s="343" customFormat="1" x14ac:dyDescent="0.2">
      <c r="A69" s="1525" t="s">
        <v>1121</v>
      </c>
      <c r="B69" s="615">
        <v>2630</v>
      </c>
      <c r="C69" s="466"/>
      <c r="D69" s="466"/>
      <c r="E69" s="466">
        <v>886505</v>
      </c>
      <c r="F69" s="466">
        <v>532125</v>
      </c>
      <c r="G69" s="466">
        <v>833444</v>
      </c>
      <c r="H69" s="466"/>
      <c r="I69" s="467"/>
      <c r="J69" s="467"/>
      <c r="K69" s="1693">
        <f>SUM(C69:J69)</f>
        <v>2252074</v>
      </c>
      <c r="L69" s="466">
        <v>2129128</v>
      </c>
      <c r="M69" s="610"/>
      <c r="N69" s="610"/>
    </row>
    <row r="70" spans="1:14" s="343" customFormat="1" x14ac:dyDescent="0.2">
      <c r="A70" s="1525" t="s">
        <v>423</v>
      </c>
      <c r="B70" s="615">
        <v>2640</v>
      </c>
      <c r="C70" s="466"/>
      <c r="D70" s="466"/>
      <c r="E70" s="466"/>
      <c r="F70" s="466"/>
      <c r="G70" s="466"/>
      <c r="H70" s="466"/>
      <c r="I70" s="467"/>
      <c r="J70" s="467"/>
      <c r="K70" s="1693">
        <f>SUM(C70:J70)</f>
        <v>0</v>
      </c>
      <c r="L70" s="466">
        <v>0</v>
      </c>
      <c r="M70" s="610"/>
      <c r="N70" s="610"/>
    </row>
    <row r="71" spans="1:14" s="343" customFormat="1" x14ac:dyDescent="0.2">
      <c r="A71" s="1525" t="s">
        <v>424</v>
      </c>
      <c r="B71" s="615">
        <v>2660</v>
      </c>
      <c r="C71" s="466">
        <v>3500</v>
      </c>
      <c r="D71" s="466">
        <v>405</v>
      </c>
      <c r="E71" s="466">
        <v>24708</v>
      </c>
      <c r="F71" s="466">
        <v>2200</v>
      </c>
      <c r="G71" s="466"/>
      <c r="H71" s="466"/>
      <c r="I71" s="467"/>
      <c r="J71" s="467"/>
      <c r="K71" s="1693">
        <f>SUM(C71:J71)</f>
        <v>30813</v>
      </c>
      <c r="L71" s="466">
        <v>15000</v>
      </c>
      <c r="M71" s="610"/>
      <c r="N71" s="610"/>
    </row>
    <row r="72" spans="1:14" s="343" customFormat="1" ht="12.75" customHeight="1" thickBot="1" x14ac:dyDescent="0.25">
      <c r="A72" s="1689" t="s">
        <v>37</v>
      </c>
      <c r="B72" s="1696" t="s">
        <v>36</v>
      </c>
      <c r="C72" s="1691">
        <f>SUM(C67:C71)</f>
        <v>3500</v>
      </c>
      <c r="D72" s="1691">
        <f t="shared" ref="D72:K72" si="9">SUM(D67:D71)</f>
        <v>405</v>
      </c>
      <c r="E72" s="1691">
        <f t="shared" si="9"/>
        <v>911213</v>
      </c>
      <c r="F72" s="1691">
        <f t="shared" si="9"/>
        <v>534325</v>
      </c>
      <c r="G72" s="1691">
        <f t="shared" si="9"/>
        <v>833444</v>
      </c>
      <c r="H72" s="1691">
        <f t="shared" si="9"/>
        <v>0</v>
      </c>
      <c r="I72" s="1691">
        <f t="shared" si="9"/>
        <v>0</v>
      </c>
      <c r="J72" s="1691">
        <f t="shared" si="9"/>
        <v>0</v>
      </c>
      <c r="K72" s="1691">
        <f t="shared" si="9"/>
        <v>2282887</v>
      </c>
      <c r="L72" s="1691">
        <f>SUM(L67:L71)</f>
        <v>2144128</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v>0</v>
      </c>
      <c r="M73" s="610"/>
      <c r="N73" s="610"/>
    </row>
    <row r="74" spans="1:14" ht="12.75" customHeight="1" thickTop="1" thickBot="1" x14ac:dyDescent="0.25">
      <c r="A74" s="1689" t="s">
        <v>865</v>
      </c>
      <c r="B74" s="1697">
        <v>2000</v>
      </c>
      <c r="C74" s="1698">
        <f>SUM(C42,C47,C53,C57,C65,C72,C73)</f>
        <v>8677536</v>
      </c>
      <c r="D74" s="1698">
        <f t="shared" ref="D74:K74" si="10">SUM(D42,D47,D53,D57,D65,D72,D73)</f>
        <v>1495807</v>
      </c>
      <c r="E74" s="1698">
        <f t="shared" si="10"/>
        <v>2525091</v>
      </c>
      <c r="F74" s="1698">
        <f t="shared" si="10"/>
        <v>716065</v>
      </c>
      <c r="G74" s="1698">
        <f t="shared" si="10"/>
        <v>860941</v>
      </c>
      <c r="H74" s="1698">
        <f t="shared" si="10"/>
        <v>279</v>
      </c>
      <c r="I74" s="1698">
        <f t="shared" si="10"/>
        <v>0</v>
      </c>
      <c r="J74" s="1698">
        <f t="shared" si="10"/>
        <v>0</v>
      </c>
      <c r="K74" s="1698">
        <f t="shared" si="10"/>
        <v>14275719</v>
      </c>
      <c r="L74" s="1698">
        <f>SUM(L42,L47,L53,L57,L65,L72,L73)</f>
        <v>13222826</v>
      </c>
    </row>
    <row r="75" spans="1:14" s="259" customFormat="1" ht="15.75" customHeight="1" thickTop="1" thickBot="1" x14ac:dyDescent="0.25">
      <c r="A75" s="1631" t="s">
        <v>49</v>
      </c>
      <c r="B75" s="1632" t="s">
        <v>596</v>
      </c>
      <c r="C75" s="573">
        <v>152598</v>
      </c>
      <c r="D75" s="573">
        <v>37467</v>
      </c>
      <c r="E75" s="573">
        <v>1365</v>
      </c>
      <c r="F75" s="573">
        <v>160</v>
      </c>
      <c r="G75" s="573"/>
      <c r="H75" s="573"/>
      <c r="I75" s="531"/>
      <c r="J75" s="531"/>
      <c r="K75" s="1691">
        <f>SUM(C75:J75)</f>
        <v>191590</v>
      </c>
      <c r="L75" s="576">
        <v>220722</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v>0</v>
      </c>
    </row>
    <row r="79" spans="1:14" x14ac:dyDescent="0.2">
      <c r="A79" s="1525" t="s">
        <v>322</v>
      </c>
      <c r="B79" s="615">
        <v>4120</v>
      </c>
      <c r="C79" s="617"/>
      <c r="D79" s="617"/>
      <c r="E79" s="466">
        <v>342015</v>
      </c>
      <c r="F79" s="617"/>
      <c r="G79" s="617"/>
      <c r="H79" s="466">
        <v>155319</v>
      </c>
      <c r="I79" s="477"/>
      <c r="J79" s="477"/>
      <c r="K79" s="1692">
        <f t="shared" si="11"/>
        <v>497334</v>
      </c>
      <c r="L79" s="466">
        <v>639000</v>
      </c>
    </row>
    <row r="80" spans="1:14" x14ac:dyDescent="0.2">
      <c r="A80" s="1525" t="s">
        <v>323</v>
      </c>
      <c r="B80" s="615">
        <v>4130</v>
      </c>
      <c r="C80" s="617"/>
      <c r="D80" s="617"/>
      <c r="E80" s="466"/>
      <c r="F80" s="617"/>
      <c r="G80" s="617"/>
      <c r="H80" s="466"/>
      <c r="I80" s="477"/>
      <c r="J80" s="477"/>
      <c r="K80" s="1692">
        <f t="shared" si="11"/>
        <v>0</v>
      </c>
      <c r="L80" s="466">
        <v>0</v>
      </c>
    </row>
    <row r="81" spans="1:12" x14ac:dyDescent="0.2">
      <c r="A81" s="1525" t="s">
        <v>721</v>
      </c>
      <c r="B81" s="615">
        <v>4140</v>
      </c>
      <c r="C81" s="617"/>
      <c r="D81" s="617"/>
      <c r="E81" s="466"/>
      <c r="F81" s="617"/>
      <c r="G81" s="617"/>
      <c r="H81" s="466"/>
      <c r="I81" s="477"/>
      <c r="J81" s="477"/>
      <c r="K81" s="1692">
        <f t="shared" si="11"/>
        <v>0</v>
      </c>
      <c r="L81" s="466">
        <v>0</v>
      </c>
    </row>
    <row r="82" spans="1:12" x14ac:dyDescent="0.2">
      <c r="A82" s="1525" t="s">
        <v>88</v>
      </c>
      <c r="B82" s="615">
        <v>4170</v>
      </c>
      <c r="C82" s="617"/>
      <c r="D82" s="617"/>
      <c r="E82" s="466"/>
      <c r="F82" s="617"/>
      <c r="G82" s="617"/>
      <c r="H82" s="466"/>
      <c r="I82" s="477"/>
      <c r="J82" s="477"/>
      <c r="K82" s="1692">
        <f t="shared" si="11"/>
        <v>0</v>
      </c>
      <c r="L82" s="466">
        <v>0</v>
      </c>
    </row>
    <row r="83" spans="1:12" x14ac:dyDescent="0.2">
      <c r="A83" s="1529" t="s">
        <v>722</v>
      </c>
      <c r="B83" s="629">
        <v>4190</v>
      </c>
      <c r="C83" s="617"/>
      <c r="D83" s="617"/>
      <c r="E83" s="466"/>
      <c r="F83" s="617"/>
      <c r="G83" s="617"/>
      <c r="H83" s="466"/>
      <c r="I83" s="477"/>
      <c r="J83" s="477"/>
      <c r="K83" s="1692">
        <f t="shared" si="11"/>
        <v>0</v>
      </c>
      <c r="L83" s="466">
        <v>0</v>
      </c>
    </row>
    <row r="84" spans="1:12" ht="13.5" thickBot="1" x14ac:dyDescent="0.25">
      <c r="A84" s="1689" t="s">
        <v>1565</v>
      </c>
      <c r="B84" s="1699">
        <v>4100</v>
      </c>
      <c r="C84" s="617"/>
      <c r="D84" s="617"/>
      <c r="E84" s="1691">
        <f>SUM(E78:E83)</f>
        <v>342015</v>
      </c>
      <c r="F84" s="617"/>
      <c r="G84" s="617"/>
      <c r="H84" s="1691">
        <f>SUM(H78:H83)</f>
        <v>155319</v>
      </c>
      <c r="I84" s="477"/>
      <c r="J84" s="477"/>
      <c r="K84" s="1691">
        <f>SUM(K78:K83)</f>
        <v>497334</v>
      </c>
      <c r="L84" s="1691">
        <f>SUM(L78:L83)</f>
        <v>639000</v>
      </c>
    </row>
    <row r="85" spans="1:12" ht="12.75" customHeight="1" thickTop="1" thickBot="1" x14ac:dyDescent="0.25">
      <c r="A85" s="1532" t="s">
        <v>273</v>
      </c>
      <c r="B85" s="636">
        <v>4210</v>
      </c>
      <c r="C85" s="617"/>
      <c r="D85" s="617"/>
      <c r="E85" s="637"/>
      <c r="F85" s="617"/>
      <c r="G85" s="617"/>
      <c r="H85" s="535"/>
      <c r="I85" s="477"/>
      <c r="J85" s="477"/>
      <c r="K85" s="1698">
        <f>H85</f>
        <v>0</v>
      </c>
      <c r="L85" s="530">
        <v>0</v>
      </c>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v>0</v>
      </c>
    </row>
    <row r="87" spans="1:12" ht="14.25" thickTop="1" thickBot="1" x14ac:dyDescent="0.25">
      <c r="A87" s="1534" t="s">
        <v>724</v>
      </c>
      <c r="B87" s="640">
        <v>4230</v>
      </c>
      <c r="C87" s="617"/>
      <c r="D87" s="617"/>
      <c r="E87" s="639"/>
      <c r="F87" s="617"/>
      <c r="G87" s="617"/>
      <c r="H87" s="467"/>
      <c r="I87" s="477"/>
      <c r="J87" s="477"/>
      <c r="K87" s="1698">
        <f t="shared" si="12"/>
        <v>0</v>
      </c>
      <c r="L87" s="530">
        <v>0</v>
      </c>
    </row>
    <row r="88" spans="1:12" ht="12.75" customHeight="1" thickTop="1" thickBot="1" x14ac:dyDescent="0.25">
      <c r="A88" s="1534" t="s">
        <v>789</v>
      </c>
      <c r="B88" s="640">
        <v>4240</v>
      </c>
      <c r="C88" s="617"/>
      <c r="D88" s="617"/>
      <c r="E88" s="639"/>
      <c r="F88" s="617"/>
      <c r="G88" s="617"/>
      <c r="H88" s="467"/>
      <c r="I88" s="477"/>
      <c r="J88" s="477"/>
      <c r="K88" s="1698">
        <f t="shared" si="12"/>
        <v>0</v>
      </c>
      <c r="L88" s="530">
        <v>0</v>
      </c>
    </row>
    <row r="89" spans="1:12" ht="12.75" customHeight="1" thickTop="1" thickBot="1" x14ac:dyDescent="0.25">
      <c r="A89" s="1534" t="s">
        <v>725</v>
      </c>
      <c r="B89" s="640">
        <v>4270</v>
      </c>
      <c r="C89" s="617"/>
      <c r="D89" s="617"/>
      <c r="E89" s="639"/>
      <c r="F89" s="617"/>
      <c r="G89" s="617"/>
      <c r="H89" s="467"/>
      <c r="I89" s="477"/>
      <c r="J89" s="477"/>
      <c r="K89" s="1698">
        <f t="shared" si="12"/>
        <v>0</v>
      </c>
      <c r="L89" s="530">
        <v>0</v>
      </c>
    </row>
    <row r="90" spans="1:12" ht="12.75" customHeight="1" thickTop="1" thickBot="1" x14ac:dyDescent="0.25">
      <c r="A90" s="1534" t="s">
        <v>710</v>
      </c>
      <c r="B90" s="640">
        <v>4280</v>
      </c>
      <c r="C90" s="617"/>
      <c r="D90" s="617"/>
      <c r="E90" s="639"/>
      <c r="F90" s="617"/>
      <c r="G90" s="617"/>
      <c r="H90" s="467"/>
      <c r="I90" s="477"/>
      <c r="J90" s="477"/>
      <c r="K90" s="1698">
        <f t="shared" si="12"/>
        <v>0</v>
      </c>
      <c r="L90" s="530">
        <v>0</v>
      </c>
    </row>
    <row r="91" spans="1:12" ht="12.75" customHeight="1" thickTop="1" thickBot="1" x14ac:dyDescent="0.25">
      <c r="A91" s="1534"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v>0</v>
      </c>
    </row>
    <row r="94" spans="1:12" ht="12.75" customHeight="1" thickTop="1" thickBot="1" x14ac:dyDescent="0.25">
      <c r="A94" s="1534" t="s">
        <v>713</v>
      </c>
      <c r="B94" s="640">
        <v>4320</v>
      </c>
      <c r="C94" s="617"/>
      <c r="D94" s="617"/>
      <c r="E94" s="639"/>
      <c r="F94" s="617"/>
      <c r="G94" s="617"/>
      <c r="H94" s="467">
        <v>720</v>
      </c>
      <c r="I94" s="477"/>
      <c r="J94" s="477"/>
      <c r="K94" s="1698">
        <f t="shared" si="12"/>
        <v>720</v>
      </c>
      <c r="L94" s="530">
        <v>0</v>
      </c>
    </row>
    <row r="95" spans="1:12" ht="15" customHeight="1" thickTop="1" thickBot="1" x14ac:dyDescent="0.25">
      <c r="A95" s="1534" t="s">
        <v>1568</v>
      </c>
      <c r="B95" s="640">
        <v>4330</v>
      </c>
      <c r="C95" s="617"/>
      <c r="D95" s="617"/>
      <c r="E95" s="639"/>
      <c r="F95" s="617"/>
      <c r="G95" s="617"/>
      <c r="H95" s="467"/>
      <c r="I95" s="477"/>
      <c r="J95" s="477"/>
      <c r="K95" s="1698">
        <f t="shared" si="12"/>
        <v>0</v>
      </c>
      <c r="L95" s="530">
        <v>0</v>
      </c>
    </row>
    <row r="96" spans="1:12" ht="14.25" thickTop="1" thickBot="1" x14ac:dyDescent="0.25">
      <c r="A96" s="1534" t="s">
        <v>714</v>
      </c>
      <c r="B96" s="640">
        <v>4340</v>
      </c>
      <c r="C96" s="617"/>
      <c r="D96" s="617"/>
      <c r="E96" s="639"/>
      <c r="F96" s="617"/>
      <c r="G96" s="617"/>
      <c r="H96" s="467"/>
      <c r="I96" s="477"/>
      <c r="J96" s="477"/>
      <c r="K96" s="1698">
        <f t="shared" si="12"/>
        <v>0</v>
      </c>
      <c r="L96" s="530">
        <v>0</v>
      </c>
    </row>
    <row r="97" spans="1:14" ht="12.75" customHeight="1" thickTop="1" thickBot="1" x14ac:dyDescent="0.25">
      <c r="A97" s="1534" t="s">
        <v>787</v>
      </c>
      <c r="B97" s="640">
        <v>4370</v>
      </c>
      <c r="C97" s="617"/>
      <c r="D97" s="617"/>
      <c r="E97" s="639"/>
      <c r="F97" s="617"/>
      <c r="G97" s="617"/>
      <c r="H97" s="467"/>
      <c r="I97" s="477"/>
      <c r="J97" s="477"/>
      <c r="K97" s="1698">
        <f t="shared" si="12"/>
        <v>0</v>
      </c>
      <c r="L97" s="530">
        <v>0</v>
      </c>
    </row>
    <row r="98" spans="1:14" ht="14.25" thickTop="1" thickBot="1" x14ac:dyDescent="0.25">
      <c r="A98" s="1534" t="s">
        <v>788</v>
      </c>
      <c r="B98" s="640">
        <v>4380</v>
      </c>
      <c r="C98" s="617"/>
      <c r="D98" s="617"/>
      <c r="E98" s="643"/>
      <c r="F98" s="617"/>
      <c r="G98" s="617"/>
      <c r="H98" s="467"/>
      <c r="I98" s="477"/>
      <c r="J98" s="477"/>
      <c r="K98" s="1698">
        <f t="shared" si="12"/>
        <v>0</v>
      </c>
      <c r="L98" s="530">
        <v>0</v>
      </c>
    </row>
    <row r="99" spans="1:14" ht="14.25" thickTop="1" thickBot="1" x14ac:dyDescent="0.25">
      <c r="A99" s="1534" t="s">
        <v>385</v>
      </c>
      <c r="B99" s="640">
        <v>4390</v>
      </c>
      <c r="C99" s="617"/>
      <c r="D99" s="617"/>
      <c r="E99" s="532"/>
      <c r="F99" s="617"/>
      <c r="G99" s="617"/>
      <c r="H99" s="467"/>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720</v>
      </c>
      <c r="I100" s="477"/>
      <c r="J100" s="477"/>
      <c r="K100" s="1698">
        <f>SUM(K93:K99)</f>
        <v>720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v>0</v>
      </c>
    </row>
    <row r="102" spans="1:14" ht="12.75" customHeight="1" thickTop="1" thickBot="1" x14ac:dyDescent="0.25">
      <c r="A102" s="1689" t="s">
        <v>1567</v>
      </c>
      <c r="B102" s="1699">
        <v>4000</v>
      </c>
      <c r="C102" s="617"/>
      <c r="D102" s="617"/>
      <c r="E102" s="1698">
        <f>SUM(E84,E92,E100,E101)</f>
        <v>342015</v>
      </c>
      <c r="F102" s="617"/>
      <c r="G102" s="617"/>
      <c r="H102" s="1698">
        <f>SUM(H84,H92,H100,H101)</f>
        <v>156039</v>
      </c>
      <c r="I102" s="477"/>
      <c r="J102" s="477"/>
      <c r="K102" s="1698">
        <f>SUM(K84,K92,K100,K101)</f>
        <v>498054</v>
      </c>
      <c r="L102" s="1698">
        <f>SUM(L84,L92,L100,L101)</f>
        <v>639000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31385012</v>
      </c>
      <c r="D114" s="1691">
        <f t="shared" ref="D114:K114" si="13">SUM(D33,D74,D75,D102,D112,D113)</f>
        <v>5394272</v>
      </c>
      <c r="E114" s="1691">
        <f t="shared" si="13"/>
        <v>3142252</v>
      </c>
      <c r="F114" s="1691">
        <f t="shared" si="13"/>
        <v>1308698</v>
      </c>
      <c r="G114" s="1691">
        <f t="shared" si="13"/>
        <v>877122</v>
      </c>
      <c r="H114" s="1691">
        <f>SUM(H33,H74,H75,H102,H112,H113)</f>
        <v>389833</v>
      </c>
      <c r="I114" s="1691">
        <f t="shared" si="13"/>
        <v>0</v>
      </c>
      <c r="J114" s="1691">
        <f t="shared" si="13"/>
        <v>0</v>
      </c>
      <c r="K114" s="1691">
        <f t="shared" si="13"/>
        <v>42497189</v>
      </c>
      <c r="L114" s="1691">
        <f>SUM(L33,L74,L75,L102,L112,L113)</f>
        <v>42982453</v>
      </c>
    </row>
    <row r="115" spans="1:14" ht="13.5" thickTop="1" x14ac:dyDescent="0.2">
      <c r="A115" s="2176" t="s">
        <v>1053</v>
      </c>
      <c r="B115" s="2177"/>
      <c r="C115" s="619"/>
      <c r="D115" s="619"/>
      <c r="E115" s="619"/>
      <c r="F115" s="619"/>
      <c r="G115" s="619"/>
      <c r="H115" s="619"/>
      <c r="I115" s="619"/>
      <c r="J115" s="619"/>
      <c r="K115" s="1705">
        <f>'Revenues 9-14'!C275-'Expenditures 15-22'!K114</f>
        <v>633798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v>0</v>
      </c>
    </row>
    <row r="123" spans="1:14" ht="14.25" thickTop="1" thickBot="1" x14ac:dyDescent="0.25">
      <c r="A123" s="1525" t="s">
        <v>4</v>
      </c>
      <c r="B123" s="615">
        <v>2530</v>
      </c>
      <c r="C123" s="466"/>
      <c r="D123" s="466"/>
      <c r="E123" s="466"/>
      <c r="F123" s="466"/>
      <c r="G123" s="466"/>
      <c r="H123" s="466"/>
      <c r="I123" s="467"/>
      <c r="J123" s="467"/>
      <c r="K123" s="1691">
        <f>SUM(C123:J123)</f>
        <v>0</v>
      </c>
      <c r="L123" s="466">
        <v>0</v>
      </c>
    </row>
    <row r="124" spans="1:14" ht="14.25" thickTop="1" thickBot="1" x14ac:dyDescent="0.25">
      <c r="A124" s="1525" t="s">
        <v>206</v>
      </c>
      <c r="B124" s="615">
        <v>2540</v>
      </c>
      <c r="C124" s="466">
        <v>568199</v>
      </c>
      <c r="D124" s="466">
        <v>97368</v>
      </c>
      <c r="E124" s="466">
        <v>3244943</v>
      </c>
      <c r="F124" s="466">
        <v>978995</v>
      </c>
      <c r="G124" s="466">
        <v>702197</v>
      </c>
      <c r="H124" s="466"/>
      <c r="I124" s="467"/>
      <c r="J124" s="467"/>
      <c r="K124" s="1691">
        <f>SUM(C124:J124)</f>
        <v>5591702</v>
      </c>
      <c r="L124" s="466">
        <v>5762523</v>
      </c>
    </row>
    <row r="125" spans="1:14" ht="14.25" thickTop="1" thickBot="1" x14ac:dyDescent="0.25">
      <c r="A125" s="1525" t="s">
        <v>1010</v>
      </c>
      <c r="B125" s="615">
        <v>2550</v>
      </c>
      <c r="C125" s="466"/>
      <c r="D125" s="466"/>
      <c r="E125" s="466"/>
      <c r="F125" s="466"/>
      <c r="G125" s="466"/>
      <c r="H125" s="466"/>
      <c r="I125" s="467"/>
      <c r="J125" s="467"/>
      <c r="K125" s="1691">
        <f>SUM(C125:J125)</f>
        <v>0</v>
      </c>
      <c r="L125" s="466">
        <v>0</v>
      </c>
    </row>
    <row r="126" spans="1:14" ht="14.25" thickTop="1" thickBot="1" x14ac:dyDescent="0.25">
      <c r="A126" s="1525"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743</v>
      </c>
      <c r="B127" s="1690" t="s">
        <v>35</v>
      </c>
      <c r="C127" s="1691">
        <f>SUM(C122:C126)</f>
        <v>568199</v>
      </c>
      <c r="D127" s="1691">
        <f t="shared" ref="D127:L127" si="14">SUM(D122:D126)</f>
        <v>97368</v>
      </c>
      <c r="E127" s="1691">
        <f t="shared" si="14"/>
        <v>3244943</v>
      </c>
      <c r="F127" s="1691">
        <f t="shared" si="14"/>
        <v>978995</v>
      </c>
      <c r="G127" s="1691">
        <f t="shared" si="14"/>
        <v>702197</v>
      </c>
      <c r="H127" s="1691">
        <f t="shared" si="14"/>
        <v>0</v>
      </c>
      <c r="I127" s="1691">
        <f t="shared" si="14"/>
        <v>0</v>
      </c>
      <c r="J127" s="1691">
        <f t="shared" si="14"/>
        <v>0</v>
      </c>
      <c r="K127" s="1691">
        <f t="shared" si="14"/>
        <v>5591702</v>
      </c>
      <c r="L127" s="1691">
        <f t="shared" si="14"/>
        <v>5762523</v>
      </c>
    </row>
    <row r="128" spans="1:14" ht="12.75" customHeight="1" thickTop="1" x14ac:dyDescent="0.2">
      <c r="A128" s="1532" t="s">
        <v>1037</v>
      </c>
      <c r="B128" s="656" t="s">
        <v>595</v>
      </c>
      <c r="C128" s="657"/>
      <c r="D128" s="657"/>
      <c r="E128" s="657"/>
      <c r="F128" s="657"/>
      <c r="G128" s="657"/>
      <c r="H128" s="657"/>
      <c r="I128" s="535"/>
      <c r="J128" s="535"/>
      <c r="K128" s="1706">
        <f>SUM(C128:J128)</f>
        <v>0</v>
      </c>
      <c r="L128" s="657">
        <v>0</v>
      </c>
    </row>
    <row r="129" spans="1:14" ht="12.75" customHeight="1" thickBot="1" x14ac:dyDescent="0.25">
      <c r="A129" s="1707" t="s">
        <v>865</v>
      </c>
      <c r="B129" s="1708" t="s">
        <v>590</v>
      </c>
      <c r="C129" s="1698">
        <f>SUM(C120,C127,C128)</f>
        <v>568199</v>
      </c>
      <c r="D129" s="1698">
        <f t="shared" ref="D129:L129" si="15">SUM(D120,D127,D128)</f>
        <v>97368</v>
      </c>
      <c r="E129" s="1698">
        <f t="shared" si="15"/>
        <v>3244943</v>
      </c>
      <c r="F129" s="1698">
        <f t="shared" si="15"/>
        <v>978995</v>
      </c>
      <c r="G129" s="1698">
        <f t="shared" si="15"/>
        <v>702197</v>
      </c>
      <c r="H129" s="1698">
        <f t="shared" si="15"/>
        <v>0</v>
      </c>
      <c r="I129" s="1698">
        <f t="shared" si="15"/>
        <v>0</v>
      </c>
      <c r="J129" s="1698">
        <f t="shared" si="15"/>
        <v>0</v>
      </c>
      <c r="K129" s="1698">
        <f t="shared" si="15"/>
        <v>5591702</v>
      </c>
      <c r="L129" s="1698">
        <f t="shared" si="15"/>
        <v>5762523</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v>0</v>
      </c>
      <c r="M133" s="206"/>
      <c r="N133" s="206"/>
    </row>
    <row r="134" spans="1:14" x14ac:dyDescent="0.2">
      <c r="A134" s="1525" t="s">
        <v>322</v>
      </c>
      <c r="B134" s="615">
        <v>4120</v>
      </c>
      <c r="C134" s="617"/>
      <c r="D134" s="617"/>
      <c r="E134" s="478"/>
      <c r="F134" s="617"/>
      <c r="G134" s="617"/>
      <c r="H134" s="481"/>
      <c r="I134" s="477"/>
      <c r="J134" s="617"/>
      <c r="K134" s="1693">
        <f>SUM(E134,H134)</f>
        <v>0</v>
      </c>
      <c r="L134" s="481">
        <v>0</v>
      </c>
    </row>
    <row r="135" spans="1:14" x14ac:dyDescent="0.2">
      <c r="A135" s="1525" t="s">
        <v>721</v>
      </c>
      <c r="B135" s="615">
        <v>4140</v>
      </c>
      <c r="C135" s="617"/>
      <c r="D135" s="617"/>
      <c r="E135" s="467"/>
      <c r="F135" s="617"/>
      <c r="G135" s="617"/>
      <c r="H135" s="466"/>
      <c r="I135" s="477"/>
      <c r="J135" s="617"/>
      <c r="K135" s="1693">
        <f>SUM(E135,H135)</f>
        <v>0</v>
      </c>
      <c r="L135" s="466">
        <v>0</v>
      </c>
    </row>
    <row r="136" spans="1:14" x14ac:dyDescent="0.2">
      <c r="A136" s="1529"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v>0</v>
      </c>
    </row>
    <row r="143" spans="1:14" x14ac:dyDescent="0.2">
      <c r="A143" s="1525" t="s">
        <v>90</v>
      </c>
      <c r="B143" s="615">
        <v>5120</v>
      </c>
      <c r="C143" s="617"/>
      <c r="D143" s="617"/>
      <c r="E143" s="617"/>
      <c r="F143" s="617"/>
      <c r="G143" s="617"/>
      <c r="H143" s="466"/>
      <c r="I143" s="468"/>
      <c r="J143" s="617"/>
      <c r="K143" s="1693">
        <f>SUM(H143)</f>
        <v>0</v>
      </c>
      <c r="L143" s="466">
        <v>0</v>
      </c>
    </row>
    <row r="144" spans="1:14" ht="12.75" customHeight="1" x14ac:dyDescent="0.2">
      <c r="A144" s="1525" t="s">
        <v>1232</v>
      </c>
      <c r="B144" s="629" t="s">
        <v>638</v>
      </c>
      <c r="C144" s="617"/>
      <c r="D144" s="617"/>
      <c r="E144" s="617"/>
      <c r="F144" s="617"/>
      <c r="G144" s="617"/>
      <c r="H144" s="466"/>
      <c r="I144" s="468"/>
      <c r="J144" s="617"/>
      <c r="K144" s="1693">
        <f>SUM(H144)</f>
        <v>0</v>
      </c>
      <c r="L144" s="466">
        <v>0</v>
      </c>
    </row>
    <row r="145" spans="1:14" x14ac:dyDescent="0.2">
      <c r="A145" s="1525" t="s">
        <v>91</v>
      </c>
      <c r="B145" s="615" t="s">
        <v>610</v>
      </c>
      <c r="C145" s="617"/>
      <c r="D145" s="617"/>
      <c r="E145" s="617"/>
      <c r="F145" s="617"/>
      <c r="G145" s="617"/>
      <c r="H145" s="466"/>
      <c r="I145" s="468"/>
      <c r="J145" s="617"/>
      <c r="K145" s="1693">
        <f>SUM(H145)</f>
        <v>0</v>
      </c>
      <c r="L145" s="466">
        <v>0</v>
      </c>
    </row>
    <row r="146" spans="1:14" ht="12.75" customHeight="1" x14ac:dyDescent="0.2">
      <c r="A146" s="1525" t="s">
        <v>640</v>
      </c>
      <c r="B146" s="615" t="s">
        <v>639</v>
      </c>
      <c r="C146" s="617"/>
      <c r="D146" s="617"/>
      <c r="E146" s="617"/>
      <c r="F146" s="617"/>
      <c r="G146" s="617"/>
      <c r="H146" s="466"/>
      <c r="I146" s="468"/>
      <c r="J146" s="617"/>
      <c r="K146" s="1693">
        <f>SUM(H146)</f>
        <v>0</v>
      </c>
      <c r="L146" s="466">
        <v>0</v>
      </c>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93" t="s">
        <v>641</v>
      </c>
      <c r="B151" s="2173"/>
      <c r="C151" s="1691">
        <f>SUM(C129,C130,C139,C149,C150)</f>
        <v>568199</v>
      </c>
      <c r="D151" s="1691">
        <f t="shared" ref="D151:K151" si="16">SUM(D129,D130,D139,D149,D150)</f>
        <v>97368</v>
      </c>
      <c r="E151" s="1691">
        <f t="shared" si="16"/>
        <v>3244943</v>
      </c>
      <c r="F151" s="1691">
        <f t="shared" si="16"/>
        <v>978995</v>
      </c>
      <c r="G151" s="1691">
        <f t="shared" si="16"/>
        <v>702197</v>
      </c>
      <c r="H151" s="1691">
        <f t="shared" si="16"/>
        <v>0</v>
      </c>
      <c r="I151" s="1691">
        <f t="shared" si="16"/>
        <v>0</v>
      </c>
      <c r="J151" s="1691">
        <f t="shared" si="16"/>
        <v>0</v>
      </c>
      <c r="K151" s="1691">
        <f t="shared" si="16"/>
        <v>5591702</v>
      </c>
      <c r="L151" s="1691">
        <f>SUM(L129,L130,L139,L149,L150)</f>
        <v>5762523</v>
      </c>
    </row>
    <row r="152" spans="1:14" ht="12.75" customHeight="1" thickTop="1" x14ac:dyDescent="0.2">
      <c r="A152" s="2196" t="s">
        <v>1240</v>
      </c>
      <c r="B152" s="2197"/>
      <c r="C152" s="619"/>
      <c r="D152" s="619"/>
      <c r="E152" s="619"/>
      <c r="F152" s="619"/>
      <c r="G152" s="619"/>
      <c r="H152" s="619"/>
      <c r="I152" s="619"/>
      <c r="J152" s="617"/>
      <c r="K152" s="1705">
        <f>'Revenues 9-14'!D275-'Expenditures 15-22'!K151</f>
        <v>490718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v>0</v>
      </c>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v>0</v>
      </c>
    </row>
    <row r="164" spans="1:14" x14ac:dyDescent="0.2">
      <c r="A164" s="1525" t="s">
        <v>90</v>
      </c>
      <c r="B164" s="615">
        <v>5120</v>
      </c>
      <c r="C164" s="617"/>
      <c r="D164" s="617"/>
      <c r="E164" s="617"/>
      <c r="F164" s="617"/>
      <c r="G164" s="617"/>
      <c r="H164" s="466"/>
      <c r="I164" s="617"/>
      <c r="J164" s="617"/>
      <c r="K164" s="1692">
        <f>SUM(C164:J164)</f>
        <v>0</v>
      </c>
      <c r="L164" s="466">
        <v>0</v>
      </c>
    </row>
    <row r="165" spans="1:14" ht="12.75" customHeight="1" x14ac:dyDescent="0.2">
      <c r="A165" s="1525" t="s">
        <v>1232</v>
      </c>
      <c r="B165" s="615" t="s">
        <v>638</v>
      </c>
      <c r="C165" s="617"/>
      <c r="D165" s="617"/>
      <c r="E165" s="617"/>
      <c r="F165" s="617"/>
      <c r="G165" s="617"/>
      <c r="H165" s="466"/>
      <c r="I165" s="617"/>
      <c r="J165" s="617"/>
      <c r="K165" s="1692">
        <f>SUM(C165:J165)</f>
        <v>0</v>
      </c>
      <c r="L165" s="466">
        <v>0</v>
      </c>
    </row>
    <row r="166" spans="1:14" x14ac:dyDescent="0.2">
      <c r="A166" s="1525" t="s">
        <v>91</v>
      </c>
      <c r="B166" s="629" t="s">
        <v>610</v>
      </c>
      <c r="C166" s="617"/>
      <c r="D166" s="617"/>
      <c r="E166" s="617"/>
      <c r="F166" s="617"/>
      <c r="G166" s="617"/>
      <c r="H166" s="466"/>
      <c r="I166" s="617"/>
      <c r="J166" s="617"/>
      <c r="K166" s="1692">
        <f>SUM(C166:J166)</f>
        <v>0</v>
      </c>
      <c r="L166" s="466">
        <v>0</v>
      </c>
    </row>
    <row r="167" spans="1:14" ht="12.75" customHeight="1" x14ac:dyDescent="0.2">
      <c r="A167" s="1525"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783967</v>
      </c>
      <c r="I169" s="617"/>
      <c r="J169" s="617"/>
      <c r="K169" s="1692">
        <f>SUM(C169:H169)</f>
        <v>783967</v>
      </c>
      <c r="L169" s="657">
        <v>708308</v>
      </c>
    </row>
    <row r="170" spans="1:14" ht="33.75" customHeight="1" x14ac:dyDescent="0.2">
      <c r="A170" s="670" t="s">
        <v>1769</v>
      </c>
      <c r="B170" s="672" t="s">
        <v>31</v>
      </c>
      <c r="C170" s="617"/>
      <c r="D170" s="617"/>
      <c r="E170" s="617"/>
      <c r="F170" s="617"/>
      <c r="G170" s="617"/>
      <c r="H170" s="569">
        <v>390000</v>
      </c>
      <c r="I170" s="617"/>
      <c r="J170" s="617"/>
      <c r="K170" s="1692">
        <f>SUM(C170:J170)</f>
        <v>390000</v>
      </c>
      <c r="L170" s="569">
        <v>390000</v>
      </c>
    </row>
    <row r="171" spans="1:14" ht="15.75" customHeight="1" x14ac:dyDescent="0.2">
      <c r="A171" s="622" t="s">
        <v>790</v>
      </c>
      <c r="B171" s="673" t="s">
        <v>86</v>
      </c>
      <c r="C171" s="617"/>
      <c r="D171" s="617"/>
      <c r="E171" s="466"/>
      <c r="F171" s="617"/>
      <c r="G171" s="617"/>
      <c r="H171" s="569">
        <v>2895</v>
      </c>
      <c r="I171" s="477"/>
      <c r="J171" s="617"/>
      <c r="K171" s="1692">
        <f>SUM(C171:J171)</f>
        <v>2895</v>
      </c>
      <c r="L171" s="569">
        <v>16000</v>
      </c>
    </row>
    <row r="172" spans="1:14" ht="12.75" customHeight="1" thickBot="1" x14ac:dyDescent="0.25">
      <c r="A172" s="1689" t="s">
        <v>659</v>
      </c>
      <c r="B172" s="1690" t="s">
        <v>513</v>
      </c>
      <c r="C172" s="617"/>
      <c r="D172" s="617"/>
      <c r="E172" s="1698">
        <f>SUM(E168,E169,E170,E171)</f>
        <v>0</v>
      </c>
      <c r="F172" s="617"/>
      <c r="G172" s="617"/>
      <c r="H172" s="1698">
        <f>SUM(H168,H169,H170,H171)</f>
        <v>1176862</v>
      </c>
      <c r="I172" s="639"/>
      <c r="J172" s="617"/>
      <c r="K172" s="1698">
        <f>SUM(K168,K169,K170,K171)</f>
        <v>1176862</v>
      </c>
      <c r="L172" s="1698">
        <f>SUM(L168,L169,L170,L171)</f>
        <v>1114308</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1176862</v>
      </c>
      <c r="I174" s="639"/>
      <c r="J174" s="617"/>
      <c r="K174" s="1698">
        <f>SUM(K160,K172,K173)</f>
        <v>1176862</v>
      </c>
      <c r="L174" s="1698">
        <f>SUM(L160,L172,L173)</f>
        <v>1114308</v>
      </c>
    </row>
    <row r="175" spans="1:14" ht="13.5" thickTop="1" x14ac:dyDescent="0.2">
      <c r="A175" s="2176" t="s">
        <v>1053</v>
      </c>
      <c r="B175" s="2177"/>
      <c r="C175" s="617"/>
      <c r="D175" s="617"/>
      <c r="E175" s="617"/>
      <c r="F175" s="617"/>
      <c r="G175" s="617"/>
      <c r="H175" s="619"/>
      <c r="I175" s="617"/>
      <c r="J175" s="617"/>
      <c r="K175" s="1705">
        <f>'Revenues 9-14'!E275-'Expenditures 15-22'!K174</f>
        <v>-45880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30356</v>
      </c>
      <c r="D182" s="466">
        <v>3184</v>
      </c>
      <c r="E182" s="466">
        <v>1460496</v>
      </c>
      <c r="F182" s="466"/>
      <c r="G182" s="466"/>
      <c r="H182" s="466"/>
      <c r="I182" s="467"/>
      <c r="J182" s="467"/>
      <c r="K182" s="1692">
        <f>SUM(C182:J182)</f>
        <v>1494036</v>
      </c>
      <c r="L182" s="466">
        <v>1595816</v>
      </c>
    </row>
    <row r="183" spans="1:14" ht="12.75" customHeight="1" thickBot="1" x14ac:dyDescent="0.25">
      <c r="A183" s="1530" t="s">
        <v>1037</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865</v>
      </c>
      <c r="B184" s="1690" t="s">
        <v>590</v>
      </c>
      <c r="C184" s="1698">
        <f>SUM(C180,C182,C183)</f>
        <v>30356</v>
      </c>
      <c r="D184" s="1698">
        <f t="shared" ref="D184:J184" si="17">SUM(D180,D182,D183)</f>
        <v>3184</v>
      </c>
      <c r="E184" s="1698">
        <f t="shared" si="17"/>
        <v>1460496</v>
      </c>
      <c r="F184" s="1698">
        <f t="shared" si="17"/>
        <v>0</v>
      </c>
      <c r="G184" s="1698">
        <f t="shared" si="17"/>
        <v>0</v>
      </c>
      <c r="H184" s="1698">
        <f t="shared" si="17"/>
        <v>0</v>
      </c>
      <c r="I184" s="1698">
        <f t="shared" si="17"/>
        <v>0</v>
      </c>
      <c r="J184" s="1698">
        <f t="shared" si="17"/>
        <v>0</v>
      </c>
      <c r="K184" s="1698">
        <f>SUM(K180,K182,K183)</f>
        <v>1494036</v>
      </c>
      <c r="L184" s="1698">
        <f>SUM(L180, L182:L183)</f>
        <v>1595816</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v>0</v>
      </c>
    </row>
    <row r="189" spans="1:14" x14ac:dyDescent="0.2">
      <c r="A189" s="1525" t="s">
        <v>322</v>
      </c>
      <c r="B189" s="615">
        <v>4120</v>
      </c>
      <c r="C189" s="617"/>
      <c r="D189" s="617"/>
      <c r="E189" s="466"/>
      <c r="F189" s="617"/>
      <c r="G189" s="617"/>
      <c r="H189" s="466"/>
      <c r="I189" s="477"/>
      <c r="J189" s="617"/>
      <c r="K189" s="1692">
        <f t="shared" si="18"/>
        <v>0</v>
      </c>
      <c r="L189" s="466">
        <v>0</v>
      </c>
    </row>
    <row r="190" spans="1:14" x14ac:dyDescent="0.2">
      <c r="A190" s="1525" t="s">
        <v>323</v>
      </c>
      <c r="B190" s="629">
        <v>4130</v>
      </c>
      <c r="C190" s="617"/>
      <c r="D190" s="617"/>
      <c r="E190" s="466"/>
      <c r="F190" s="617"/>
      <c r="G190" s="617"/>
      <c r="H190" s="466"/>
      <c r="I190" s="477"/>
      <c r="J190" s="617"/>
      <c r="K190" s="1692">
        <f t="shared" si="18"/>
        <v>0</v>
      </c>
      <c r="L190" s="466">
        <v>0</v>
      </c>
    </row>
    <row r="191" spans="1:14" x14ac:dyDescent="0.2">
      <c r="A191" s="1525" t="s">
        <v>721</v>
      </c>
      <c r="B191" s="615">
        <v>4140</v>
      </c>
      <c r="C191" s="617"/>
      <c r="D191" s="617"/>
      <c r="E191" s="466"/>
      <c r="F191" s="617"/>
      <c r="G191" s="617"/>
      <c r="H191" s="466"/>
      <c r="I191" s="477"/>
      <c r="J191" s="617"/>
      <c r="K191" s="1692">
        <f t="shared" si="18"/>
        <v>0</v>
      </c>
      <c r="L191" s="466">
        <v>0</v>
      </c>
    </row>
    <row r="192" spans="1:14" x14ac:dyDescent="0.2">
      <c r="A192" s="1525" t="s">
        <v>88</v>
      </c>
      <c r="B192" s="615">
        <v>4170</v>
      </c>
      <c r="C192" s="617"/>
      <c r="D192" s="617"/>
      <c r="E192" s="466"/>
      <c r="F192" s="617"/>
      <c r="G192" s="617"/>
      <c r="H192" s="466"/>
      <c r="I192" s="477"/>
      <c r="J192" s="617"/>
      <c r="K192" s="1692">
        <f t="shared" si="18"/>
        <v>0</v>
      </c>
      <c r="L192" s="466">
        <v>0</v>
      </c>
    </row>
    <row r="193" spans="1:14" x14ac:dyDescent="0.2">
      <c r="A193" s="1529"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v>0</v>
      </c>
    </row>
    <row r="200" spans="1:14" x14ac:dyDescent="0.2">
      <c r="A200" s="1525" t="s">
        <v>90</v>
      </c>
      <c r="B200" s="615">
        <v>5120</v>
      </c>
      <c r="C200" s="617"/>
      <c r="D200" s="617"/>
      <c r="E200" s="617"/>
      <c r="F200" s="617"/>
      <c r="G200" s="617"/>
      <c r="H200" s="466"/>
      <c r="I200" s="617"/>
      <c r="J200" s="617"/>
      <c r="K200" s="1692">
        <f>SUM(H200)</f>
        <v>0</v>
      </c>
      <c r="L200" s="466">
        <v>0</v>
      </c>
    </row>
    <row r="201" spans="1:14" ht="12.75" customHeight="1" x14ac:dyDescent="0.2">
      <c r="A201" s="1525" t="s">
        <v>1232</v>
      </c>
      <c r="B201" s="629" t="s">
        <v>638</v>
      </c>
      <c r="C201" s="617"/>
      <c r="D201" s="617"/>
      <c r="E201" s="617"/>
      <c r="F201" s="617"/>
      <c r="G201" s="617"/>
      <c r="H201" s="466"/>
      <c r="I201" s="617"/>
      <c r="J201" s="617"/>
      <c r="K201" s="1692">
        <f>SUM(H201)</f>
        <v>0</v>
      </c>
      <c r="L201" s="466">
        <v>0</v>
      </c>
    </row>
    <row r="202" spans="1:14" x14ac:dyDescent="0.2">
      <c r="A202" s="1525" t="s">
        <v>91</v>
      </c>
      <c r="B202" s="615" t="s">
        <v>610</v>
      </c>
      <c r="C202" s="617"/>
      <c r="D202" s="617"/>
      <c r="E202" s="617"/>
      <c r="F202" s="617"/>
      <c r="G202" s="617"/>
      <c r="H202" s="466"/>
      <c r="I202" s="617"/>
      <c r="J202" s="617"/>
      <c r="K202" s="1692">
        <f>SUM(H202)</f>
        <v>0</v>
      </c>
      <c r="L202" s="466">
        <v>0</v>
      </c>
    </row>
    <row r="203" spans="1:14" x14ac:dyDescent="0.2">
      <c r="A203" s="1537"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v>0</v>
      </c>
    </row>
    <row r="206" spans="1:14" ht="30" customHeight="1" x14ac:dyDescent="0.2">
      <c r="A206" s="682" t="s">
        <v>1770</v>
      </c>
      <c r="B206" s="673" t="s">
        <v>31</v>
      </c>
      <c r="C206" s="617"/>
      <c r="D206" s="617"/>
      <c r="E206" s="617"/>
      <c r="F206" s="617"/>
      <c r="G206" s="617"/>
      <c r="H206" s="466"/>
      <c r="I206" s="617"/>
      <c r="J206" s="617"/>
      <c r="K206" s="1692">
        <f>SUM(H206)</f>
        <v>0</v>
      </c>
      <c r="L206" s="466">
        <v>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30356</v>
      </c>
      <c r="D210" s="1691">
        <f>SUM(D184,D185)</f>
        <v>3184</v>
      </c>
      <c r="E210" s="1691">
        <f>SUM(E184,E185,E196)</f>
        <v>1460496</v>
      </c>
      <c r="F210" s="1691">
        <f>SUM(F184,F185)</f>
        <v>0</v>
      </c>
      <c r="G210" s="1691">
        <f>SUM(G184,G185)</f>
        <v>0</v>
      </c>
      <c r="H210" s="1691">
        <f>SUM(H184,H185,H196,H208,H209)</f>
        <v>0</v>
      </c>
      <c r="I210" s="1691">
        <f>SUM(I184,I185)</f>
        <v>0</v>
      </c>
      <c r="J210" s="1691">
        <f>SUM(J184,J185)</f>
        <v>0</v>
      </c>
      <c r="K210" s="1692">
        <f>SUM(K184,K185,K196,K208,K209)</f>
        <v>1494036</v>
      </c>
      <c r="L210" s="1691">
        <f>SUM(L184,L185,L196,L208,L209)</f>
        <v>1595816</v>
      </c>
    </row>
    <row r="211" spans="1:14" ht="13.5" thickTop="1" x14ac:dyDescent="0.2">
      <c r="A211" s="2176" t="s">
        <v>1053</v>
      </c>
      <c r="B211" s="2177"/>
      <c r="C211" s="619"/>
      <c r="D211" s="619"/>
      <c r="E211" s="619"/>
      <c r="F211" s="619"/>
      <c r="G211" s="619"/>
      <c r="H211" s="619"/>
      <c r="I211" s="617"/>
      <c r="J211" s="617"/>
      <c r="K211" s="1705">
        <f>'Revenues 9-14'!F275-'Expenditures 15-22'!K210</f>
        <v>231769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409865</v>
      </c>
      <c r="E215" s="617"/>
      <c r="F215" s="617"/>
      <c r="G215" s="617"/>
      <c r="H215" s="617"/>
      <c r="I215" s="617"/>
      <c r="J215" s="617"/>
      <c r="K215" s="1692">
        <f>D215</f>
        <v>409865</v>
      </c>
      <c r="L215" s="466">
        <v>781754</v>
      </c>
    </row>
    <row r="216" spans="1:14" x14ac:dyDescent="0.2">
      <c r="A216" s="1525" t="s">
        <v>165</v>
      </c>
      <c r="B216" s="615" t="s">
        <v>1024</v>
      </c>
      <c r="C216" s="617"/>
      <c r="D216" s="467"/>
      <c r="E216" s="617"/>
      <c r="F216" s="617"/>
      <c r="G216" s="617"/>
      <c r="H216" s="617"/>
      <c r="I216" s="617"/>
      <c r="J216" s="617"/>
      <c r="K216" s="1692">
        <f t="shared" ref="K216:K228" si="19">D216</f>
        <v>0</v>
      </c>
      <c r="L216" s="466">
        <v>0</v>
      </c>
    </row>
    <row r="217" spans="1:14" x14ac:dyDescent="0.2">
      <c r="A217" s="1525" t="s">
        <v>166</v>
      </c>
      <c r="B217" s="615">
        <v>1200</v>
      </c>
      <c r="C217" s="617"/>
      <c r="D217" s="466">
        <v>179863</v>
      </c>
      <c r="E217" s="617"/>
      <c r="F217" s="617"/>
      <c r="G217" s="617"/>
      <c r="H217" s="617"/>
      <c r="I217" s="617"/>
      <c r="J217" s="617"/>
      <c r="K217" s="1692">
        <f t="shared" si="19"/>
        <v>179863</v>
      </c>
      <c r="L217" s="466">
        <v>0</v>
      </c>
    </row>
    <row r="218" spans="1:14" x14ac:dyDescent="0.2">
      <c r="A218" s="1525" t="s">
        <v>296</v>
      </c>
      <c r="B218" s="615" t="s">
        <v>1025</v>
      </c>
      <c r="C218" s="617"/>
      <c r="D218" s="467"/>
      <c r="E218" s="617"/>
      <c r="F218" s="617"/>
      <c r="G218" s="617"/>
      <c r="H218" s="617"/>
      <c r="I218" s="617"/>
      <c r="J218" s="617"/>
      <c r="K218" s="1692">
        <f t="shared" si="19"/>
        <v>0</v>
      </c>
      <c r="L218" s="466">
        <v>0</v>
      </c>
    </row>
    <row r="219" spans="1:14" x14ac:dyDescent="0.2">
      <c r="A219" s="1525" t="s">
        <v>297</v>
      </c>
      <c r="B219" s="615">
        <v>1250</v>
      </c>
      <c r="C219" s="617"/>
      <c r="D219" s="466">
        <v>11</v>
      </c>
      <c r="E219" s="617"/>
      <c r="F219" s="617"/>
      <c r="G219" s="617"/>
      <c r="H219" s="617"/>
      <c r="I219" s="617"/>
      <c r="J219" s="617"/>
      <c r="K219" s="1692">
        <f t="shared" si="19"/>
        <v>11</v>
      </c>
      <c r="L219" s="466">
        <v>0</v>
      </c>
    </row>
    <row r="220" spans="1:14" x14ac:dyDescent="0.2">
      <c r="A220" s="1525" t="s">
        <v>298</v>
      </c>
      <c r="B220" s="615" t="s">
        <v>163</v>
      </c>
      <c r="C220" s="617"/>
      <c r="D220" s="467"/>
      <c r="E220" s="617"/>
      <c r="F220" s="617"/>
      <c r="G220" s="617"/>
      <c r="H220" s="617"/>
      <c r="I220" s="617"/>
      <c r="J220" s="617"/>
      <c r="K220" s="1692">
        <f t="shared" si="19"/>
        <v>0</v>
      </c>
      <c r="L220" s="466">
        <v>0</v>
      </c>
    </row>
    <row r="221" spans="1:14" x14ac:dyDescent="0.2">
      <c r="A221" s="1525" t="s">
        <v>1019</v>
      </c>
      <c r="B221" s="615">
        <v>1300</v>
      </c>
      <c r="C221" s="617"/>
      <c r="D221" s="466"/>
      <c r="E221" s="617"/>
      <c r="F221" s="617"/>
      <c r="G221" s="617"/>
      <c r="H221" s="617"/>
      <c r="I221" s="617"/>
      <c r="J221" s="617"/>
      <c r="K221" s="1692">
        <f t="shared" si="19"/>
        <v>0</v>
      </c>
      <c r="L221" s="466">
        <v>0</v>
      </c>
    </row>
    <row r="222" spans="1:14" x14ac:dyDescent="0.2">
      <c r="A222" s="1525" t="s">
        <v>747</v>
      </c>
      <c r="B222" s="615">
        <v>1400</v>
      </c>
      <c r="C222" s="617"/>
      <c r="D222" s="466"/>
      <c r="E222" s="617"/>
      <c r="F222" s="617"/>
      <c r="G222" s="617"/>
      <c r="H222" s="617"/>
      <c r="I222" s="617"/>
      <c r="J222" s="617"/>
      <c r="K222" s="1692">
        <f t="shared" si="19"/>
        <v>0</v>
      </c>
      <c r="L222" s="466">
        <v>0</v>
      </c>
    </row>
    <row r="223" spans="1:14" x14ac:dyDescent="0.2">
      <c r="A223" s="1525" t="s">
        <v>1020</v>
      </c>
      <c r="B223" s="615">
        <v>1500</v>
      </c>
      <c r="C223" s="617"/>
      <c r="D223" s="466">
        <v>15921</v>
      </c>
      <c r="E223" s="617"/>
      <c r="F223" s="617"/>
      <c r="G223" s="617"/>
      <c r="H223" s="617"/>
      <c r="I223" s="617"/>
      <c r="J223" s="617"/>
      <c r="K223" s="1692">
        <f t="shared" si="19"/>
        <v>15921</v>
      </c>
      <c r="L223" s="466">
        <v>0</v>
      </c>
    </row>
    <row r="224" spans="1:14" x14ac:dyDescent="0.2">
      <c r="A224" s="1525" t="s">
        <v>1021</v>
      </c>
      <c r="B224" s="615">
        <v>1600</v>
      </c>
      <c r="C224" s="617"/>
      <c r="D224" s="466">
        <v>2980</v>
      </c>
      <c r="E224" s="617"/>
      <c r="F224" s="617"/>
      <c r="G224" s="617"/>
      <c r="H224" s="617"/>
      <c r="I224" s="617"/>
      <c r="J224" s="617"/>
      <c r="K224" s="1692">
        <f t="shared" si="19"/>
        <v>2980</v>
      </c>
      <c r="L224" s="466">
        <v>0</v>
      </c>
    </row>
    <row r="225" spans="1:12" x14ac:dyDescent="0.2">
      <c r="A225" s="1525" t="s">
        <v>1044</v>
      </c>
      <c r="B225" s="615">
        <v>1650</v>
      </c>
      <c r="C225" s="617"/>
      <c r="D225" s="466">
        <v>12168</v>
      </c>
      <c r="E225" s="617"/>
      <c r="F225" s="617"/>
      <c r="G225" s="617"/>
      <c r="H225" s="617"/>
      <c r="I225" s="617"/>
      <c r="J225" s="617"/>
      <c r="K225" s="1692">
        <f t="shared" si="19"/>
        <v>12168</v>
      </c>
      <c r="L225" s="466">
        <v>0</v>
      </c>
    </row>
    <row r="226" spans="1:12" x14ac:dyDescent="0.2">
      <c r="A226" s="1525" t="s">
        <v>748</v>
      </c>
      <c r="B226" s="615" t="s">
        <v>164</v>
      </c>
      <c r="C226" s="617"/>
      <c r="D226" s="467"/>
      <c r="E226" s="617"/>
      <c r="F226" s="617"/>
      <c r="G226" s="617"/>
      <c r="H226" s="617"/>
      <c r="I226" s="617"/>
      <c r="J226" s="617"/>
      <c r="K226" s="1692">
        <f t="shared" si="19"/>
        <v>0</v>
      </c>
      <c r="L226" s="466">
        <v>0</v>
      </c>
    </row>
    <row r="227" spans="1:12" x14ac:dyDescent="0.2">
      <c r="A227" s="1525" t="s">
        <v>1148</v>
      </c>
      <c r="B227" s="615">
        <v>1800</v>
      </c>
      <c r="C227" s="617"/>
      <c r="D227" s="466"/>
      <c r="E227" s="617"/>
      <c r="F227" s="617"/>
      <c r="G227" s="617"/>
      <c r="H227" s="617"/>
      <c r="I227" s="617"/>
      <c r="J227" s="617"/>
      <c r="K227" s="1692">
        <f t="shared" si="19"/>
        <v>0</v>
      </c>
      <c r="L227" s="466">
        <v>0</v>
      </c>
    </row>
    <row r="228" spans="1:12" x14ac:dyDescent="0.2">
      <c r="A228" s="1525" t="s">
        <v>1149</v>
      </c>
      <c r="B228" s="615">
        <v>1900</v>
      </c>
      <c r="C228" s="617"/>
      <c r="D228" s="466"/>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620808</v>
      </c>
      <c r="E229" s="617"/>
      <c r="F229" s="617"/>
      <c r="G229" s="617"/>
      <c r="H229" s="617"/>
      <c r="I229" s="617"/>
      <c r="J229" s="617"/>
      <c r="K229" s="1691">
        <f>SUM(K215:K228)</f>
        <v>620808</v>
      </c>
      <c r="L229" s="1691">
        <f>SUM(L215:L228)</f>
        <v>781754</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9837</v>
      </c>
      <c r="E232" s="617"/>
      <c r="F232" s="617"/>
      <c r="G232" s="617"/>
      <c r="H232" s="617"/>
      <c r="I232" s="617"/>
      <c r="J232" s="617"/>
      <c r="K232" s="1692">
        <f t="shared" ref="K232:K237" si="20">D232</f>
        <v>9837</v>
      </c>
      <c r="L232" s="466">
        <v>619821</v>
      </c>
    </row>
    <row r="233" spans="1:12" x14ac:dyDescent="0.2">
      <c r="A233" s="1525" t="s">
        <v>1151</v>
      </c>
      <c r="B233" s="615">
        <v>2120</v>
      </c>
      <c r="C233" s="617"/>
      <c r="D233" s="466">
        <v>2998</v>
      </c>
      <c r="E233" s="617"/>
      <c r="F233" s="617"/>
      <c r="G233" s="617"/>
      <c r="H233" s="617"/>
      <c r="I233" s="617"/>
      <c r="J233" s="617"/>
      <c r="K233" s="1692">
        <f t="shared" si="20"/>
        <v>2998</v>
      </c>
      <c r="L233" s="466">
        <v>0</v>
      </c>
    </row>
    <row r="234" spans="1:12" x14ac:dyDescent="0.2">
      <c r="A234" s="1525" t="s">
        <v>207</v>
      </c>
      <c r="B234" s="615">
        <v>2130</v>
      </c>
      <c r="C234" s="617"/>
      <c r="D234" s="466">
        <v>49194</v>
      </c>
      <c r="E234" s="617"/>
      <c r="F234" s="617"/>
      <c r="G234" s="617"/>
      <c r="H234" s="617"/>
      <c r="I234" s="617"/>
      <c r="J234" s="617"/>
      <c r="K234" s="1692">
        <f t="shared" si="20"/>
        <v>49194</v>
      </c>
      <c r="L234" s="466">
        <v>0</v>
      </c>
    </row>
    <row r="235" spans="1:12" x14ac:dyDescent="0.2">
      <c r="A235" s="1525" t="s">
        <v>208</v>
      </c>
      <c r="B235" s="615">
        <v>2140</v>
      </c>
      <c r="C235" s="617"/>
      <c r="D235" s="466">
        <v>2014</v>
      </c>
      <c r="E235" s="617"/>
      <c r="F235" s="617"/>
      <c r="G235" s="617"/>
      <c r="H235" s="617"/>
      <c r="I235" s="617"/>
      <c r="J235" s="617"/>
      <c r="K235" s="1692">
        <f t="shared" si="20"/>
        <v>2014</v>
      </c>
      <c r="L235" s="466">
        <v>0</v>
      </c>
    </row>
    <row r="236" spans="1:12" x14ac:dyDescent="0.2">
      <c r="A236" s="1525" t="s">
        <v>209</v>
      </c>
      <c r="B236" s="615">
        <v>2150</v>
      </c>
      <c r="C236" s="617"/>
      <c r="D236" s="466">
        <v>11425</v>
      </c>
      <c r="E236" s="617"/>
      <c r="F236" s="617"/>
      <c r="G236" s="617"/>
      <c r="H236" s="617"/>
      <c r="I236" s="617"/>
      <c r="J236" s="617"/>
      <c r="K236" s="1692">
        <f t="shared" si="20"/>
        <v>11425</v>
      </c>
      <c r="L236" s="466">
        <v>0</v>
      </c>
    </row>
    <row r="237" spans="1:12" x14ac:dyDescent="0.2">
      <c r="A237" s="1525" t="s">
        <v>167</v>
      </c>
      <c r="B237" s="615">
        <v>2190</v>
      </c>
      <c r="C237" s="617"/>
      <c r="D237" s="466"/>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75468</v>
      </c>
      <c r="E238" s="617"/>
      <c r="F238" s="617"/>
      <c r="G238" s="617"/>
      <c r="H238" s="617"/>
      <c r="I238" s="617"/>
      <c r="J238" s="617"/>
      <c r="K238" s="1691">
        <f>SUM(K232:K237)</f>
        <v>75468</v>
      </c>
      <c r="L238" s="1691">
        <f>SUM(L232:L237)</f>
        <v>619821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16627</v>
      </c>
      <c r="E240" s="617"/>
      <c r="F240" s="617"/>
      <c r="G240" s="617"/>
      <c r="H240" s="617"/>
      <c r="I240" s="617"/>
      <c r="J240" s="617"/>
      <c r="K240" s="1693">
        <f>D240</f>
        <v>16627</v>
      </c>
      <c r="L240" s="481">
        <v>0</v>
      </c>
    </row>
    <row r="241" spans="1:12" x14ac:dyDescent="0.2">
      <c r="A241" s="1525" t="s">
        <v>869</v>
      </c>
      <c r="B241" s="615">
        <v>2220</v>
      </c>
      <c r="C241" s="617"/>
      <c r="D241" s="466">
        <v>38653</v>
      </c>
      <c r="E241" s="617"/>
      <c r="F241" s="617"/>
      <c r="G241" s="617"/>
      <c r="H241" s="617"/>
      <c r="I241" s="617"/>
      <c r="J241" s="617"/>
      <c r="K241" s="1693">
        <f>D241</f>
        <v>38653</v>
      </c>
      <c r="L241" s="466">
        <v>0</v>
      </c>
    </row>
    <row r="242" spans="1:12" x14ac:dyDescent="0.2">
      <c r="A242" s="1525" t="s">
        <v>870</v>
      </c>
      <c r="B242" s="615">
        <v>2230</v>
      </c>
      <c r="C242" s="617"/>
      <c r="D242" s="466">
        <v>38315</v>
      </c>
      <c r="E242" s="617"/>
      <c r="F242" s="617"/>
      <c r="G242" s="617"/>
      <c r="H242" s="617"/>
      <c r="I242" s="617"/>
      <c r="J242" s="617"/>
      <c r="K242" s="1693">
        <f>D242</f>
        <v>38315</v>
      </c>
      <c r="L242" s="466">
        <v>0</v>
      </c>
    </row>
    <row r="243" spans="1:12" ht="12.75" customHeight="1" thickBot="1" x14ac:dyDescent="0.25">
      <c r="A243" s="1715" t="s">
        <v>582</v>
      </c>
      <c r="B243" s="1716">
        <v>2200</v>
      </c>
      <c r="C243" s="617"/>
      <c r="D243" s="1691">
        <f>SUM(D240:D242)</f>
        <v>93595</v>
      </c>
      <c r="E243" s="617"/>
      <c r="F243" s="617"/>
      <c r="G243" s="617"/>
      <c r="H243" s="617"/>
      <c r="I243" s="617"/>
      <c r="J243" s="617"/>
      <c r="K243" s="1691">
        <f>SUM(K240:K242)</f>
        <v>93595</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v>0</v>
      </c>
    </row>
    <row r="246" spans="1:12" x14ac:dyDescent="0.2">
      <c r="A246" s="1525" t="s">
        <v>872</v>
      </c>
      <c r="B246" s="615">
        <v>2320</v>
      </c>
      <c r="C246" s="617"/>
      <c r="D246" s="466">
        <v>43251</v>
      </c>
      <c r="E246" s="617"/>
      <c r="F246" s="617"/>
      <c r="G246" s="617"/>
      <c r="H246" s="617"/>
      <c r="I246" s="617"/>
      <c r="J246" s="617"/>
      <c r="K246" s="1693">
        <f t="shared" ref="K246:K256" si="21">D246</f>
        <v>43251</v>
      </c>
      <c r="L246" s="466">
        <v>0</v>
      </c>
    </row>
    <row r="247" spans="1:12" x14ac:dyDescent="0.2">
      <c r="A247" s="1525" t="s">
        <v>873</v>
      </c>
      <c r="B247" s="615">
        <v>2330</v>
      </c>
      <c r="C247" s="617"/>
      <c r="D247" s="466"/>
      <c r="E247" s="617"/>
      <c r="F247" s="617"/>
      <c r="G247" s="617"/>
      <c r="H247" s="617"/>
      <c r="I247" s="617"/>
      <c r="J247" s="617"/>
      <c r="K247" s="1693">
        <f t="shared" si="21"/>
        <v>0</v>
      </c>
      <c r="L247" s="466">
        <v>0</v>
      </c>
    </row>
    <row r="248" spans="1:12" x14ac:dyDescent="0.2">
      <c r="A248" s="1526" t="s">
        <v>317</v>
      </c>
      <c r="B248" s="603" t="s">
        <v>299</v>
      </c>
      <c r="C248" s="617"/>
      <c r="D248" s="474"/>
      <c r="E248" s="617"/>
      <c r="F248" s="617"/>
      <c r="G248" s="617"/>
      <c r="H248" s="617"/>
      <c r="I248" s="617"/>
      <c r="J248" s="617"/>
      <c r="K248" s="1693">
        <f t="shared" si="21"/>
        <v>0</v>
      </c>
      <c r="L248" s="466">
        <v>0</v>
      </c>
    </row>
    <row r="249" spans="1:12" x14ac:dyDescent="0.2">
      <c r="A249" s="1527" t="s">
        <v>1908</v>
      </c>
      <c r="B249" s="684" t="s">
        <v>300</v>
      </c>
      <c r="C249" s="617"/>
      <c r="D249" s="474"/>
      <c r="E249" s="617"/>
      <c r="F249" s="617"/>
      <c r="G249" s="617"/>
      <c r="H249" s="617"/>
      <c r="I249" s="617"/>
      <c r="J249" s="617"/>
      <c r="K249" s="1693">
        <f t="shared" si="21"/>
        <v>0</v>
      </c>
      <c r="L249" s="466">
        <v>0</v>
      </c>
    </row>
    <row r="250" spans="1:12" x14ac:dyDescent="0.2">
      <c r="A250" s="1526" t="s">
        <v>1909</v>
      </c>
      <c r="B250" s="603" t="s">
        <v>301</v>
      </c>
      <c r="C250" s="617"/>
      <c r="D250" s="474"/>
      <c r="E250" s="617"/>
      <c r="F250" s="617"/>
      <c r="G250" s="617"/>
      <c r="H250" s="617"/>
      <c r="I250" s="617"/>
      <c r="J250" s="617"/>
      <c r="K250" s="1693">
        <f t="shared" si="21"/>
        <v>0</v>
      </c>
      <c r="L250" s="466">
        <v>0</v>
      </c>
    </row>
    <row r="251" spans="1:12" x14ac:dyDescent="0.2">
      <c r="A251" s="1526" t="s">
        <v>256</v>
      </c>
      <c r="B251" s="603" t="s">
        <v>302</v>
      </c>
      <c r="C251" s="617"/>
      <c r="D251" s="474"/>
      <c r="E251" s="617"/>
      <c r="F251" s="617"/>
      <c r="G251" s="617"/>
      <c r="H251" s="617"/>
      <c r="I251" s="617"/>
      <c r="J251" s="617"/>
      <c r="K251" s="1693">
        <f t="shared" si="21"/>
        <v>0</v>
      </c>
      <c r="L251" s="466">
        <v>0</v>
      </c>
    </row>
    <row r="252" spans="1:12" x14ac:dyDescent="0.2">
      <c r="A252" s="1526" t="s">
        <v>726</v>
      </c>
      <c r="B252" s="603" t="s">
        <v>303</v>
      </c>
      <c r="C252" s="617"/>
      <c r="D252" s="474"/>
      <c r="E252" s="617"/>
      <c r="F252" s="617"/>
      <c r="G252" s="617"/>
      <c r="H252" s="617"/>
      <c r="I252" s="617"/>
      <c r="J252" s="617"/>
      <c r="K252" s="1693">
        <f t="shared" si="21"/>
        <v>0</v>
      </c>
      <c r="L252" s="466">
        <v>0</v>
      </c>
    </row>
    <row r="253" spans="1:12" x14ac:dyDescent="0.2">
      <c r="A253" s="1526" t="s">
        <v>257</v>
      </c>
      <c r="B253" s="603" t="s">
        <v>304</v>
      </c>
      <c r="C253" s="617"/>
      <c r="D253" s="474"/>
      <c r="E253" s="617"/>
      <c r="F253" s="617"/>
      <c r="G253" s="617"/>
      <c r="H253" s="617"/>
      <c r="I253" s="617"/>
      <c r="J253" s="617"/>
      <c r="K253" s="1693">
        <f t="shared" si="21"/>
        <v>0</v>
      </c>
      <c r="L253" s="466">
        <v>0</v>
      </c>
    </row>
    <row r="254" spans="1:12" ht="22.5" x14ac:dyDescent="0.2">
      <c r="A254" s="1526" t="s">
        <v>1087</v>
      </c>
      <c r="B254" s="684" t="s">
        <v>305</v>
      </c>
      <c r="C254" s="617"/>
      <c r="D254" s="474"/>
      <c r="E254" s="617"/>
      <c r="F254" s="617"/>
      <c r="G254" s="617"/>
      <c r="H254" s="617"/>
      <c r="I254" s="617"/>
      <c r="J254" s="617"/>
      <c r="K254" s="1693">
        <f t="shared" si="21"/>
        <v>0</v>
      </c>
      <c r="L254" s="466">
        <v>0</v>
      </c>
    </row>
    <row r="255" spans="1:12" x14ac:dyDescent="0.2">
      <c r="A255" s="1526" t="s">
        <v>1088</v>
      </c>
      <c r="B255" s="603" t="s">
        <v>306</v>
      </c>
      <c r="C255" s="617"/>
      <c r="D255" s="474"/>
      <c r="E255" s="617"/>
      <c r="F255" s="617"/>
      <c r="G255" s="617"/>
      <c r="H255" s="617"/>
      <c r="I255" s="617"/>
      <c r="J255" s="617"/>
      <c r="K255" s="1693">
        <f t="shared" si="21"/>
        <v>0</v>
      </c>
      <c r="L255" s="466">
        <v>0</v>
      </c>
    </row>
    <row r="256" spans="1:12" x14ac:dyDescent="0.2">
      <c r="A256" s="1526"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43251</v>
      </c>
      <c r="E257" s="617"/>
      <c r="F257" s="617"/>
      <c r="G257" s="617"/>
      <c r="H257" s="617"/>
      <c r="I257" s="617"/>
      <c r="J257" s="617"/>
      <c r="K257" s="1691">
        <f>SUM(K245:K256)</f>
        <v>43251</v>
      </c>
      <c r="L257" s="169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90906</v>
      </c>
      <c r="E259" s="617"/>
      <c r="F259" s="617"/>
      <c r="G259" s="617"/>
      <c r="H259" s="617"/>
      <c r="I259" s="617"/>
      <c r="J259" s="617"/>
      <c r="K259" s="1693">
        <f>D259</f>
        <v>90906</v>
      </c>
      <c r="L259" s="481">
        <v>0</v>
      </c>
    </row>
    <row r="260" spans="1:14" s="598" customFormat="1" x14ac:dyDescent="0.2">
      <c r="A260" s="1543" t="s">
        <v>1907</v>
      </c>
      <c r="B260" s="629">
        <v>2490</v>
      </c>
      <c r="C260" s="617"/>
      <c r="D260" s="466"/>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90906</v>
      </c>
      <c r="E261" s="617"/>
      <c r="F261" s="617"/>
      <c r="G261" s="617"/>
      <c r="H261" s="617"/>
      <c r="I261" s="617"/>
      <c r="J261" s="617"/>
      <c r="K261" s="1691">
        <f>SUM(K259:K260)</f>
        <v>90906</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51649</v>
      </c>
      <c r="E263" s="617"/>
      <c r="F263" s="617"/>
      <c r="G263" s="617"/>
      <c r="H263" s="617"/>
      <c r="I263" s="617"/>
      <c r="J263" s="617"/>
      <c r="K263" s="1693">
        <f>D263</f>
        <v>51649</v>
      </c>
      <c r="L263" s="481">
        <v>0</v>
      </c>
    </row>
    <row r="264" spans="1:14" x14ac:dyDescent="0.2">
      <c r="A264" s="1525" t="s">
        <v>483</v>
      </c>
      <c r="B264" s="686">
        <v>2520</v>
      </c>
      <c r="C264" s="617"/>
      <c r="D264" s="466"/>
      <c r="E264" s="617"/>
      <c r="F264" s="617"/>
      <c r="G264" s="617"/>
      <c r="H264" s="617"/>
      <c r="I264" s="617"/>
      <c r="J264" s="617"/>
      <c r="K264" s="1693">
        <f t="shared" ref="K264:K269" si="22">D264</f>
        <v>0</v>
      </c>
      <c r="L264" s="466">
        <v>0</v>
      </c>
    </row>
    <row r="265" spans="1:14" x14ac:dyDescent="0.2">
      <c r="A265" s="1525" t="s">
        <v>4</v>
      </c>
      <c r="B265" s="615">
        <v>2530</v>
      </c>
      <c r="C265" s="617"/>
      <c r="D265" s="466"/>
      <c r="E265" s="617"/>
      <c r="F265" s="617"/>
      <c r="G265" s="617"/>
      <c r="H265" s="617"/>
      <c r="I265" s="617"/>
      <c r="J265" s="617"/>
      <c r="K265" s="1693">
        <f t="shared" si="22"/>
        <v>0</v>
      </c>
      <c r="L265" s="466">
        <v>0</v>
      </c>
    </row>
    <row r="266" spans="1:14" x14ac:dyDescent="0.2">
      <c r="A266" s="1525" t="s">
        <v>206</v>
      </c>
      <c r="B266" s="615">
        <v>2540</v>
      </c>
      <c r="C266" s="617"/>
      <c r="D266" s="466">
        <v>83602</v>
      </c>
      <c r="E266" s="617"/>
      <c r="F266" s="617"/>
      <c r="G266" s="617"/>
      <c r="H266" s="617"/>
      <c r="I266" s="617"/>
      <c r="J266" s="617"/>
      <c r="K266" s="1693">
        <f t="shared" si="22"/>
        <v>83602</v>
      </c>
      <c r="L266" s="466">
        <v>0</v>
      </c>
    </row>
    <row r="267" spans="1:14" x14ac:dyDescent="0.2">
      <c r="A267" s="1525" t="s">
        <v>1010</v>
      </c>
      <c r="B267" s="615">
        <v>2550</v>
      </c>
      <c r="C267" s="617"/>
      <c r="D267" s="466">
        <v>3575</v>
      </c>
      <c r="E267" s="617"/>
      <c r="F267" s="617"/>
      <c r="G267" s="617"/>
      <c r="H267" s="617"/>
      <c r="I267" s="617"/>
      <c r="J267" s="617"/>
      <c r="K267" s="1693">
        <f t="shared" si="22"/>
        <v>3575</v>
      </c>
      <c r="L267" s="466">
        <v>0</v>
      </c>
    </row>
    <row r="268" spans="1:14" x14ac:dyDescent="0.2">
      <c r="A268" s="1525" t="s">
        <v>102</v>
      </c>
      <c r="B268" s="615">
        <v>2560</v>
      </c>
      <c r="C268" s="617"/>
      <c r="D268" s="466">
        <v>30073</v>
      </c>
      <c r="E268" s="617"/>
      <c r="F268" s="617"/>
      <c r="G268" s="617"/>
      <c r="H268" s="617"/>
      <c r="I268" s="617"/>
      <c r="J268" s="617"/>
      <c r="K268" s="1693">
        <f t="shared" si="22"/>
        <v>30073</v>
      </c>
      <c r="L268" s="466">
        <v>0</v>
      </c>
    </row>
    <row r="269" spans="1:14" x14ac:dyDescent="0.2">
      <c r="A269" s="1525"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168899</v>
      </c>
      <c r="E270" s="617"/>
      <c r="F270" s="617"/>
      <c r="G270" s="617"/>
      <c r="H270" s="617"/>
      <c r="I270" s="617"/>
      <c r="J270" s="617"/>
      <c r="K270" s="1691">
        <f>SUM(K263:K269)</f>
        <v>168899</v>
      </c>
      <c r="L270" s="169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v>0</v>
      </c>
    </row>
    <row r="273" spans="1:12" x14ac:dyDescent="0.2">
      <c r="A273" s="1525" t="s">
        <v>628</v>
      </c>
      <c r="B273" s="629">
        <v>2620</v>
      </c>
      <c r="C273" s="617"/>
      <c r="D273" s="466"/>
      <c r="E273" s="617"/>
      <c r="F273" s="617"/>
      <c r="G273" s="617"/>
      <c r="H273" s="617"/>
      <c r="I273" s="617"/>
      <c r="J273" s="617"/>
      <c r="K273" s="1693">
        <f>D273</f>
        <v>0</v>
      </c>
      <c r="L273" s="466">
        <v>0</v>
      </c>
    </row>
    <row r="274" spans="1:12" ht="12" customHeight="1" x14ac:dyDescent="0.2">
      <c r="A274" s="1525" t="s">
        <v>1121</v>
      </c>
      <c r="B274" s="615">
        <v>2630</v>
      </c>
      <c r="C274" s="617"/>
      <c r="D274" s="466"/>
      <c r="E274" s="617"/>
      <c r="F274" s="617"/>
      <c r="G274" s="617"/>
      <c r="H274" s="617"/>
      <c r="I274" s="617"/>
      <c r="J274" s="617"/>
      <c r="K274" s="1693">
        <f>D274</f>
        <v>0</v>
      </c>
      <c r="L274" s="466">
        <v>0</v>
      </c>
    </row>
    <row r="275" spans="1:12" x14ac:dyDescent="0.2">
      <c r="A275" s="1525" t="s">
        <v>423</v>
      </c>
      <c r="B275" s="615">
        <v>2640</v>
      </c>
      <c r="C275" s="617"/>
      <c r="D275" s="466"/>
      <c r="E275" s="617"/>
      <c r="F275" s="617"/>
      <c r="G275" s="617"/>
      <c r="H275" s="617"/>
      <c r="I275" s="617"/>
      <c r="J275" s="617"/>
      <c r="K275" s="1693">
        <f>D275</f>
        <v>0</v>
      </c>
      <c r="L275" s="466">
        <v>0</v>
      </c>
    </row>
    <row r="276" spans="1:12" x14ac:dyDescent="0.2">
      <c r="A276" s="1525" t="s">
        <v>424</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v>0</v>
      </c>
    </row>
    <row r="279" spans="1:12" ht="12.75" customHeight="1" thickBot="1" x14ac:dyDescent="0.25">
      <c r="A279" s="1719" t="s">
        <v>865</v>
      </c>
      <c r="B279" s="1702">
        <v>2000</v>
      </c>
      <c r="C279" s="617"/>
      <c r="D279" s="1698">
        <f>SUM(D238,D243,D257,D261,D270,D277,D278)</f>
        <v>472119</v>
      </c>
      <c r="E279" s="617"/>
      <c r="F279" s="617"/>
      <c r="G279" s="617"/>
      <c r="H279" s="617"/>
      <c r="I279" s="617"/>
      <c r="J279" s="617"/>
      <c r="K279" s="1698">
        <f>SUM(K238,K243,K257,K261,K270,K277,K278)</f>
        <v>472119</v>
      </c>
      <c r="L279" s="1698">
        <f>SUM(L238,L243,L257,L261,L270,L277,L278)</f>
        <v>619821</v>
      </c>
    </row>
    <row r="280" spans="1:12" ht="15.75" customHeight="1" thickTop="1" thickBot="1" x14ac:dyDescent="0.25">
      <c r="A280" s="1645" t="s">
        <v>930</v>
      </c>
      <c r="B280" s="1634">
        <v>3000</v>
      </c>
      <c r="C280" s="617"/>
      <c r="D280" s="576">
        <v>21240</v>
      </c>
      <c r="E280" s="617"/>
      <c r="F280" s="617"/>
      <c r="G280" s="617"/>
      <c r="H280" s="617"/>
      <c r="I280" s="617"/>
      <c r="J280" s="617"/>
      <c r="K280" s="1700">
        <f>D280</f>
        <v>21240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v>0</v>
      </c>
    </row>
    <row r="283" spans="1:12" x14ac:dyDescent="0.2">
      <c r="A283" s="1525" t="s">
        <v>322</v>
      </c>
      <c r="B283" s="615">
        <v>4120</v>
      </c>
      <c r="C283" s="617"/>
      <c r="D283" s="466"/>
      <c r="E283" s="617"/>
      <c r="F283" s="617"/>
      <c r="G283" s="617"/>
      <c r="H283" s="617"/>
      <c r="I283" s="617"/>
      <c r="J283" s="617"/>
      <c r="K283" s="1692">
        <f>D283</f>
        <v>0</v>
      </c>
      <c r="L283" s="466">
        <v>0</v>
      </c>
    </row>
    <row r="284" spans="1:12" x14ac:dyDescent="0.2">
      <c r="A284" s="1525"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v>0</v>
      </c>
    </row>
    <row r="289" spans="1:14" x14ac:dyDescent="0.2">
      <c r="A289" s="1525" t="s">
        <v>90</v>
      </c>
      <c r="B289" s="615">
        <v>5120</v>
      </c>
      <c r="C289" s="617"/>
      <c r="D289" s="617"/>
      <c r="E289" s="617"/>
      <c r="F289" s="617"/>
      <c r="G289" s="617"/>
      <c r="H289" s="466"/>
      <c r="I289" s="617"/>
      <c r="J289" s="617"/>
      <c r="K289" s="1692">
        <f>H289</f>
        <v>0</v>
      </c>
      <c r="L289" s="466">
        <v>0</v>
      </c>
    </row>
    <row r="290" spans="1:14" ht="12.75" customHeight="1" x14ac:dyDescent="0.2">
      <c r="A290" s="1525" t="s">
        <v>1232</v>
      </c>
      <c r="B290" s="629" t="s">
        <v>638</v>
      </c>
      <c r="C290" s="617"/>
      <c r="D290" s="617"/>
      <c r="E290" s="617"/>
      <c r="F290" s="617"/>
      <c r="G290" s="617"/>
      <c r="H290" s="466"/>
      <c r="I290" s="617"/>
      <c r="J290" s="617"/>
      <c r="K290" s="1692">
        <f>H290</f>
        <v>0</v>
      </c>
      <c r="L290" s="466">
        <v>0</v>
      </c>
    </row>
    <row r="291" spans="1:14" x14ac:dyDescent="0.2">
      <c r="A291" s="1525" t="s">
        <v>91</v>
      </c>
      <c r="B291" s="615" t="s">
        <v>610</v>
      </c>
      <c r="C291" s="617"/>
      <c r="D291" s="617"/>
      <c r="E291" s="617"/>
      <c r="F291" s="617"/>
      <c r="G291" s="617"/>
      <c r="H291" s="466"/>
      <c r="I291" s="617"/>
      <c r="J291" s="617"/>
      <c r="K291" s="1692">
        <f>H291</f>
        <v>0</v>
      </c>
      <c r="L291" s="466">
        <v>0</v>
      </c>
    </row>
    <row r="292" spans="1:14" x14ac:dyDescent="0.2">
      <c r="A292" s="1525"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94" t="s">
        <v>526</v>
      </c>
      <c r="B295" s="2195"/>
      <c r="C295" s="617"/>
      <c r="D295" s="1691">
        <f>SUM(D229,D279,D280,D285)</f>
        <v>1114167</v>
      </c>
      <c r="E295" s="617"/>
      <c r="F295" s="617"/>
      <c r="G295" s="617"/>
      <c r="H295" s="1691">
        <f>H293</f>
        <v>0</v>
      </c>
      <c r="I295" s="617"/>
      <c r="J295" s="617"/>
      <c r="K295" s="1691">
        <f>SUM(K229,K279,K280,K285,K293,K294)</f>
        <v>1114167</v>
      </c>
      <c r="L295" s="1691">
        <f>SUM(L229,L279,L280,L285,L293,L294)</f>
        <v>1401575</v>
      </c>
    </row>
    <row r="296" spans="1:14" ht="13.5" thickTop="1" x14ac:dyDescent="0.2">
      <c r="A296" s="2176" t="s">
        <v>1053</v>
      </c>
      <c r="B296" s="2177"/>
      <c r="C296" s="617"/>
      <c r="D296" s="619"/>
      <c r="E296" s="617"/>
      <c r="F296" s="617"/>
      <c r="G296" s="617"/>
      <c r="H296" s="688"/>
      <c r="I296" s="617"/>
      <c r="J296" s="617"/>
      <c r="K296" s="1705">
        <f>'Revenues 9-14'!G275-'Expenditures 15-22'!K295</f>
        <v>143277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1898379</v>
      </c>
      <c r="H301" s="466"/>
      <c r="I301" s="467"/>
      <c r="J301" s="467"/>
      <c r="K301" s="1692">
        <f>SUM(C301:J301)</f>
        <v>1898379</v>
      </c>
      <c r="L301" s="467">
        <v>1250000</v>
      </c>
    </row>
    <row r="302" spans="1:14" ht="13.5" customHeight="1" x14ac:dyDescent="0.2">
      <c r="A302" s="1538" t="s">
        <v>1037</v>
      </c>
      <c r="B302" s="615" t="s">
        <v>595</v>
      </c>
      <c r="C302" s="466"/>
      <c r="D302" s="466"/>
      <c r="E302" s="466"/>
      <c r="F302" s="466"/>
      <c r="G302" s="466"/>
      <c r="H302" s="466"/>
      <c r="I302" s="467"/>
      <c r="J302" s="467"/>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1898379</v>
      </c>
      <c r="H303" s="1698">
        <f t="shared" si="23"/>
        <v>0</v>
      </c>
      <c r="I303" s="1698">
        <f t="shared" si="23"/>
        <v>0</v>
      </c>
      <c r="J303" s="1698">
        <f t="shared" si="23"/>
        <v>0</v>
      </c>
      <c r="K303" s="1698">
        <f t="shared" si="23"/>
        <v>1898379</v>
      </c>
      <c r="L303" s="1698">
        <f t="shared" si="23"/>
        <v>1250000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v>0</v>
      </c>
    </row>
    <row r="307" spans="1:14" x14ac:dyDescent="0.2">
      <c r="A307" s="1525" t="s">
        <v>322</v>
      </c>
      <c r="B307" s="615">
        <v>4120</v>
      </c>
      <c r="C307" s="617"/>
      <c r="D307" s="617"/>
      <c r="E307" s="467"/>
      <c r="F307" s="617"/>
      <c r="G307" s="617"/>
      <c r="H307" s="467"/>
      <c r="I307" s="477"/>
      <c r="J307" s="617"/>
      <c r="K307" s="1692">
        <f>SUM(E307,H307)</f>
        <v>0</v>
      </c>
      <c r="L307" s="466">
        <v>0</v>
      </c>
    </row>
    <row r="308" spans="1:14" x14ac:dyDescent="0.2">
      <c r="A308" s="1525" t="s">
        <v>721</v>
      </c>
      <c r="B308" s="615">
        <v>4140</v>
      </c>
      <c r="C308" s="617"/>
      <c r="D308" s="617"/>
      <c r="E308" s="467"/>
      <c r="F308" s="617"/>
      <c r="G308" s="617"/>
      <c r="H308" s="467"/>
      <c r="I308" s="477"/>
      <c r="J308" s="617"/>
      <c r="K308" s="1692">
        <f>SUM(E308,H308)</f>
        <v>0</v>
      </c>
      <c r="L308" s="466">
        <v>0</v>
      </c>
    </row>
    <row r="309" spans="1:14" ht="12.75" customHeight="1" x14ac:dyDescent="0.2">
      <c r="A309" s="1529"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91" t="s">
        <v>295</v>
      </c>
      <c r="B312" s="2192"/>
      <c r="C312" s="1691">
        <f>SUM(C303)</f>
        <v>0</v>
      </c>
      <c r="D312" s="1691">
        <f>SUM(D303)</f>
        <v>0</v>
      </c>
      <c r="E312" s="1691">
        <f>SUM(E303,E310)</f>
        <v>0</v>
      </c>
      <c r="F312" s="1691">
        <f>SUM(F303)</f>
        <v>0</v>
      </c>
      <c r="G312" s="1691">
        <f>SUM(G303)</f>
        <v>1898379</v>
      </c>
      <c r="H312" s="1691">
        <f>SUM(H303,H310)</f>
        <v>0</v>
      </c>
      <c r="I312" s="1691">
        <f>SUM(I303)</f>
        <v>0</v>
      </c>
      <c r="J312" s="1691">
        <f>SUM(J303)</f>
        <v>0</v>
      </c>
      <c r="K312" s="1691">
        <f>SUM(K303,K310,K311)</f>
        <v>1898379</v>
      </c>
      <c r="L312" s="1691">
        <f>SUM(L303,L310,L311)</f>
        <v>1250000</v>
      </c>
      <c r="M312" s="666"/>
      <c r="N312" s="666"/>
    </row>
    <row r="313" spans="1:14" ht="13.5" thickTop="1" x14ac:dyDescent="0.2">
      <c r="A313" s="2187" t="s">
        <v>1053</v>
      </c>
      <c r="B313" s="2188"/>
      <c r="C313" s="627"/>
      <c r="D313" s="627"/>
      <c r="E313" s="627"/>
      <c r="F313" s="627"/>
      <c r="G313" s="627"/>
      <c r="H313" s="627"/>
      <c r="I313" s="627"/>
      <c r="J313" s="627"/>
      <c r="K313" s="1706">
        <f>'Revenues 9-14'!H275-'Expenditures 15-22'!K312</f>
        <v>115891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4" t="s">
        <v>1908</v>
      </c>
      <c r="B320" s="699" t="s">
        <v>300</v>
      </c>
      <c r="C320" s="467"/>
      <c r="D320" s="467"/>
      <c r="E320" s="467"/>
      <c r="F320" s="467"/>
      <c r="G320" s="467"/>
      <c r="H320" s="467"/>
      <c r="I320" s="467"/>
      <c r="J320" s="467"/>
      <c r="K320" s="1692">
        <f t="shared" ref="K320:K327" si="24">SUM(C320:J320)</f>
        <v>0</v>
      </c>
      <c r="L320" s="467">
        <v>0</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v>0</v>
      </c>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v>0</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v>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v>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v>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v>0</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v>0</v>
      </c>
    </row>
    <row r="338" spans="1:14" ht="12.75" customHeight="1" x14ac:dyDescent="0.2">
      <c r="A338" s="1539" t="s">
        <v>1232</v>
      </c>
      <c r="B338" s="691" t="s">
        <v>638</v>
      </c>
      <c r="C338" s="639"/>
      <c r="D338" s="639"/>
      <c r="E338" s="639"/>
      <c r="F338" s="639"/>
      <c r="G338" s="639"/>
      <c r="H338" s="478"/>
      <c r="I338" s="639"/>
      <c r="J338" s="639"/>
      <c r="K338" s="1692">
        <f>H338</f>
        <v>0</v>
      </c>
      <c r="L338" s="478">
        <v>0</v>
      </c>
    </row>
    <row r="339" spans="1:14" x14ac:dyDescent="0.2">
      <c r="A339" s="1525"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89" t="s">
        <v>1053</v>
      </c>
      <c r="B343" s="2190"/>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v>1108382</v>
      </c>
      <c r="H348" s="466"/>
      <c r="I348" s="467"/>
      <c r="J348" s="467"/>
      <c r="K348" s="1692">
        <f>SUM(C348:J348)</f>
        <v>1108382</v>
      </c>
      <c r="L348" s="466">
        <v>1109000</v>
      </c>
    </row>
    <row r="349" spans="1:14" x14ac:dyDescent="0.2">
      <c r="A349" s="1525" t="s">
        <v>206</v>
      </c>
      <c r="B349" s="615">
        <v>2540</v>
      </c>
      <c r="C349" s="466"/>
      <c r="D349" s="466"/>
      <c r="E349" s="466"/>
      <c r="F349" s="466"/>
      <c r="G349" s="466"/>
      <c r="H349" s="466"/>
      <c r="I349" s="467"/>
      <c r="J349" s="467"/>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1108382</v>
      </c>
      <c r="H350" s="1691">
        <f t="shared" si="26"/>
        <v>0</v>
      </c>
      <c r="I350" s="1691">
        <f t="shared" si="26"/>
        <v>0</v>
      </c>
      <c r="J350" s="1691">
        <f t="shared" si="26"/>
        <v>0</v>
      </c>
      <c r="K350" s="1691">
        <f t="shared" si="26"/>
        <v>1108382</v>
      </c>
      <c r="L350" s="1691">
        <f t="shared" si="26"/>
        <v>1109000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1108382</v>
      </c>
      <c r="H352" s="1691">
        <f t="shared" si="27"/>
        <v>0</v>
      </c>
      <c r="I352" s="1691">
        <f t="shared" si="27"/>
        <v>0</v>
      </c>
      <c r="J352" s="1691">
        <f t="shared" si="27"/>
        <v>0</v>
      </c>
      <c r="K352" s="1691">
        <f t="shared" si="27"/>
        <v>1108382</v>
      </c>
      <c r="L352" s="1691">
        <f t="shared" si="27"/>
        <v>1109000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v>0</v>
      </c>
    </row>
    <row r="355" spans="1:14" ht="12.75" customHeight="1" x14ac:dyDescent="0.2">
      <c r="A355" s="1534" t="s">
        <v>1966</v>
      </c>
      <c r="B355" s="691" t="s">
        <v>1959</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v>0</v>
      </c>
    </row>
    <row r="361" spans="1:14" ht="12.75" customHeight="1" x14ac:dyDescent="0.2">
      <c r="A361" s="1526"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1108382</v>
      </c>
      <c r="H367" s="1691">
        <f t="shared" si="28"/>
        <v>0</v>
      </c>
      <c r="I367" s="1691">
        <f t="shared" si="28"/>
        <v>0</v>
      </c>
      <c r="J367" s="1691">
        <f t="shared" si="28"/>
        <v>0</v>
      </c>
      <c r="K367" s="1691">
        <f t="shared" si="28"/>
        <v>1108382</v>
      </c>
      <c r="L367" s="1691">
        <f t="shared" si="28"/>
        <v>1109000</v>
      </c>
    </row>
    <row r="368" spans="1:14" ht="13.5" thickTop="1" x14ac:dyDescent="0.2">
      <c r="A368" s="2176" t="s">
        <v>1053</v>
      </c>
      <c r="B368" s="2177"/>
      <c r="C368" s="655"/>
      <c r="D368" s="655"/>
      <c r="E368" s="627"/>
      <c r="F368" s="627"/>
      <c r="G368" s="627"/>
      <c r="H368" s="627"/>
      <c r="I368" s="627"/>
      <c r="J368" s="624"/>
      <c r="K368" s="1692">
        <f>'Revenues 9-14'!K275-'Expenditures 15-22'!K367</f>
        <v>-1068357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elements/1.1/"/>
    <ds:schemaRef ds:uri="http://schemas.openxmlformats.org/package/2006/metadata/core-properties"/>
    <ds:schemaRef ds:uri="http://schemas.microsoft.com/office/2006/documentManagement/types"/>
    <ds:schemaRef ds:uri="http://www.w3.org/XML/1998/namespace"/>
    <ds:schemaRef ds:uri="http://purl.org/dc/dcmitype/"/>
    <ds:schemaRef ds:uri="4d435f69-8686-490b-bd6d-b153bf22ab50"/>
    <ds:schemaRef ds:uri="http://purl.org/dc/terms/"/>
    <ds:schemaRef ds:uri="http://schemas.microsoft.com/office/infopath/2007/PartnerControls"/>
    <ds:schemaRef ds:uri="http://schemas.microsoft.com/sharepoint/v3"/>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2018-10-16T19:19:03Z</cp:lastPrinted>
  <dcterms:created xsi:type="dcterms:W3CDTF">2003-10-29T19:06:34Z</dcterms:created>
  <dcterms:modified xsi:type="dcterms:W3CDTF">2018-11-15T16:31:07Z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