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60" windowWidth="2050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F17" i="181" s="1"/>
  <c r="E16" i="181"/>
  <c r="F16" i="181" s="1"/>
  <c r="G16" i="181" s="1"/>
  <c r="G17" i="181" l="1"/>
  <c r="G141" i="181" s="1"/>
  <c r="G40" i="108" l="1"/>
  <c r="B7799" i="106"/>
  <c r="F141" i="181"/>
  <c r="B7798" i="106" s="1"/>
  <c r="E40" i="108"/>
  <c r="B4" i="179" l="1"/>
  <c r="D17" i="171" l="1"/>
  <c r="E137" i="29" l="1"/>
  <c r="E139" i="29" s="1"/>
  <c r="L285" i="29"/>
  <c r="D285" i="29"/>
  <c r="K356" i="29"/>
  <c r="K357" i="29" s="1"/>
  <c r="K15" i="4" s="1"/>
  <c r="H357" i="29"/>
  <c r="H137" i="29"/>
  <c r="L137" i="29"/>
  <c r="L357" i="29"/>
  <c r="L27" i="179"/>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1744" i="106"/>
  <c r="D1744" i="106" s="1"/>
  <c r="B1745" i="106"/>
  <c r="D1745" i="106" s="1"/>
  <c r="B6" i="7"/>
  <c r="D6" i="7" s="1"/>
  <c r="B1762" i="106" s="1"/>
  <c r="D1762" i="106" s="1"/>
  <c r="B1747" i="106"/>
  <c r="D1747" i="106" s="1"/>
  <c r="B1748" i="106"/>
  <c r="D1748" i="106" s="1"/>
  <c r="B9" i="7"/>
  <c r="B1751" i="106" s="1"/>
  <c r="D1751" i="106" s="1"/>
  <c r="B1749" i="106"/>
  <c r="D1749" i="106" s="1"/>
  <c r="B11" i="7"/>
  <c r="B1752" i="106" s="1"/>
  <c r="D1752" i="106" s="1"/>
  <c r="B12" i="7"/>
  <c r="B1753" i="106" s="1"/>
  <c r="D1753" i="106" s="1"/>
  <c r="B13" i="7"/>
  <c r="B3725" i="106" s="1"/>
  <c r="D3725" i="106" s="1"/>
  <c r="B14" i="7"/>
  <c r="B1754" i="106" s="1"/>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G14" i="4" l="1"/>
  <c r="B2609" i="106" s="1"/>
  <c r="D2609" i="106" s="1"/>
  <c r="G33" i="108"/>
  <c r="F27" i="108"/>
  <c r="B6995" i="106"/>
  <c r="D6995" i="106" s="1"/>
  <c r="B7047" i="106"/>
  <c r="D7047" i="106" s="1"/>
  <c r="G35" i="108"/>
  <c r="B2836" i="106"/>
  <c r="D2836" i="106" s="1"/>
  <c r="L22" i="37"/>
  <c r="D31" i="36"/>
  <c r="G30" i="108"/>
  <c r="E30" i="108"/>
  <c r="B1746" i="106"/>
  <c r="D1746" i="106" s="1"/>
  <c r="F64" i="34"/>
  <c r="D5" i="4"/>
  <c r="B3406" i="106" s="1"/>
  <c r="D3406" i="106" s="1"/>
  <c r="F69" i="34"/>
  <c r="D36" i="108"/>
  <c r="H342" i="29"/>
  <c r="B7221" i="106" s="1"/>
  <c r="D7221" i="106" s="1"/>
  <c r="B2026" i="106"/>
  <c r="D2026" i="106" s="1"/>
  <c r="B2029" i="106"/>
  <c r="D2029" i="106" s="1"/>
  <c r="B276" i="106"/>
  <c r="D276" i="106" s="1"/>
  <c r="B2028" i="106"/>
  <c r="D2028" i="106" s="1"/>
  <c r="B275" i="106"/>
  <c r="D275" i="106" s="1"/>
  <c r="B3454" i="106"/>
  <c r="D3454" i="106" s="1"/>
  <c r="B2864" i="106"/>
  <c r="D2864" i="106" s="1"/>
  <c r="B2027" i="106"/>
  <c r="D2027" i="106" s="1"/>
  <c r="B274" i="106"/>
  <c r="D274" i="106" s="1"/>
  <c r="E35" i="108"/>
  <c r="L5" i="11"/>
  <c r="B2056" i="106" s="1"/>
  <c r="D2056" i="106" s="1"/>
  <c r="F41" i="34"/>
  <c r="L13" i="11"/>
  <c r="B2060" i="106" s="1"/>
  <c r="D2060" i="106" s="1"/>
  <c r="F49" i="34"/>
  <c r="F45" i="34"/>
  <c r="D6103" i="106"/>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7235" i="106" l="1"/>
  <c r="D7235" i="106" s="1"/>
  <c r="B5770" i="106"/>
  <c r="D5770" i="106" s="1"/>
  <c r="G6" i="4"/>
  <c r="B2604" i="106" s="1"/>
  <c r="D2604" i="106" s="1"/>
  <c r="D41" i="108"/>
  <c r="E43" i="108" s="1"/>
  <c r="B1328" i="106"/>
  <c r="D1328" i="106" s="1"/>
  <c r="H77" i="4"/>
  <c r="B3299" i="106" s="1"/>
  <c r="D3299" i="106" s="1"/>
  <c r="M23" i="3"/>
  <c r="B273" i="106"/>
  <c r="D273" i="106" s="1"/>
  <c r="F41" i="108"/>
  <c r="G43" i="108" s="1"/>
  <c r="B1266" i="106"/>
  <c r="D1266" i="106" s="1"/>
  <c r="C4" i="4"/>
  <c r="B2551" i="106" s="1"/>
  <c r="D2551" i="106" s="1"/>
  <c r="F66" i="34"/>
  <c r="D7253" i="106"/>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16" i="4"/>
  <c r="B279" i="106"/>
  <c r="D279" i="106" s="1"/>
  <c r="F24" i="37"/>
  <c r="J17" i="4"/>
  <c r="J19" i="4" s="1"/>
  <c r="B6229" i="106" s="1"/>
  <c r="D6229"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J20" i="4"/>
  <c r="B6230" i="106" s="1"/>
  <c r="D6230" i="106" s="1"/>
  <c r="B280" i="106"/>
  <c r="D280" i="106" s="1"/>
  <c r="M41" i="3"/>
  <c r="F8" i="4"/>
  <c r="D8" i="146" s="1"/>
  <c r="D8" i="4"/>
  <c r="C8" i="146" s="1"/>
  <c r="B6223" i="106"/>
  <c r="D6223" i="106" s="1"/>
  <c r="K17" i="4"/>
  <c r="K19" i="4" s="1"/>
  <c r="B4144" i="106" s="1"/>
  <c r="D4144"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3575" i="106"/>
  <c r="D3575" i="106" s="1"/>
  <c r="D54" i="36"/>
  <c r="B281" i="106"/>
  <c r="D281" i="106" s="1"/>
  <c r="B2568" i="106"/>
  <c r="D2568" i="106" s="1"/>
  <c r="F10" i="4"/>
  <c r="B4125" i="106" s="1"/>
  <c r="D4125" i="106" s="1"/>
  <c r="D10" i="4"/>
  <c r="B4123" i="106" s="1"/>
  <c r="D4123" i="106" s="1"/>
  <c r="B2595" i="106"/>
  <c r="D2595" i="106" s="1"/>
  <c r="D20" i="4"/>
  <c r="D78" i="4" s="1"/>
  <c r="H13" i="118"/>
  <c r="K20" i="4"/>
  <c r="B3576" i="106" s="1"/>
  <c r="D3576"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6263" i="106" l="1"/>
  <c r="D6263" i="106" s="1"/>
  <c r="K78" i="4"/>
  <c r="B3588" i="106" s="1"/>
  <c r="D3588" i="106" s="1"/>
  <c r="B2574" i="106"/>
  <c r="D2574" i="106" s="1"/>
  <c r="F179" i="34"/>
  <c r="F79" i="34"/>
  <c r="J41" i="3"/>
  <c r="B6215" i="106"/>
  <c r="D6215" i="106"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K81" i="4" l="1"/>
  <c r="B3567" i="106" s="1"/>
  <c r="D3567" i="106" s="1"/>
  <c r="F181" i="34"/>
  <c r="F183" i="34" s="1"/>
  <c r="D51" i="36"/>
  <c r="B6216" i="106"/>
  <c r="D6216" i="106" s="1"/>
  <c r="B123" i="106"/>
  <c r="D123" i="106" s="1"/>
  <c r="D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K82" i="4" l="1"/>
  <c r="B6275" i="106" s="1"/>
  <c r="D6275" i="106" s="1"/>
  <c r="D65" i="36"/>
  <c r="B3591" i="106"/>
  <c r="D3591" i="106" s="1"/>
  <c r="K41" i="3"/>
  <c r="B3568" i="106" s="1"/>
  <c r="D3568" i="106" s="1"/>
  <c r="B189" i="106"/>
  <c r="D189" i="106" s="1"/>
  <c r="G41" i="3"/>
  <c r="B140" i="106"/>
  <c r="D140" i="106" s="1"/>
  <c r="E41" i="3"/>
  <c r="B170" i="106"/>
  <c r="D170" i="106" s="1"/>
  <c r="F41" i="3"/>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K83" i="4" l="1"/>
  <c r="B6284" i="106" s="1"/>
  <c r="D6284" i="106" s="1"/>
  <c r="D52" i="36"/>
  <c r="B171" i="106"/>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<sst xmlns="http://schemas.openxmlformats.org/spreadsheetml/2006/main" count="5057" uniqueCount="2121">
  <si>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</si>
  <si>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</si>
  <si>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</si>
  <si>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</si>
  <si>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</si>
  <si>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</si>
  <si>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</si>
  <si>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</si>
  <si>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</si>
  <si>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</si>
  <si>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</si>
  <si>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</si>
  <si>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</si>
  <si>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</si>
  <si>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</si>
  <si>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</si>
  <si>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</si>
  <si>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</si>
  <si>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</si>
  <si>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</si>
  <si>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</si>
  <si>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</si>
  <si>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</si>
  <si>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</si>
  <si>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</si>
  <si>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</si>
  <si>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</si>
  <si>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</si>
  <si>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</si>
  <si>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</si>
  <si>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</si>
  <si>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</si>
  <si>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</si>
  <si>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</si>
  <si>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</si>
  <si>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</si>
  <si>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</si>
  <si>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</si>
  <si>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</si>
  <si>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</si>
  <si>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</si>
  <si>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</si>
  <si>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</si>
  <si>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</si>
  <si>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</si>
  <si>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</si>
  <si>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</si>
  <si>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</si>
  <si>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</si>
  <si>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</si>
  <si>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</si>
  <si>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</si>
  <si>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</si>
  <si>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</si>
  <si>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</si>
  <si>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</si>
  <si>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</si>
  <si>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</si>
  <si>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</si>
  <si>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</si>
  <si>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</si>
  <si>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</si>
  <si>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</si>
  <si>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</si>
  <si>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</si>
  <si>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</si>
  <si>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</si>
  <si>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</si>
  <si>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</si>
  <si>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</si>
  <si>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</si>
  <si>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</si>
  <si>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</si>
  <si>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</si>
  <si>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</si>
  <si>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</si>
  <si>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</si>
  <si>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</si>
  <si>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</si>
  <si>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</si>
  <si>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</si>
  <si>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</si>
  <si>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</si>
  <si>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</si>
  <si>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</si>
  <si>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</si>
  <si>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</si>
  <si>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</si>
  <si>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</si>
  <si>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</si>
  <si>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</si>
  <si>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</si>
  <si>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</si>
  <si>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</si>
  <si>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</si>
  <si>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</si>
  <si>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</si>
  <si>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</si>
  <si>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</si>
  <si>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</si>
  <si>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</si>
  <si>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</si>
  <si>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</si>
  <si>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</si>
  <si>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</si>
  <si>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</si>
  <si>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</si>
  <si>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</si>
  <si>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</si>
  <si>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</si>
  <si>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</si>
  <si>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</si>
  <si>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</si>
  <si>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</si>
  <si>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</si>
  <si>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</si>
  <si>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</si>
  <si>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</si>
  <si>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</si>
  <si>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</si>
  <si>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</si>
  <si>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</si>
  <si>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</si>
  <si>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</si>
  <si>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</si>
  <si>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</si>
  <si>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</si>
  <si>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</si>
  <si>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</si>
  <si>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</si>
  <si>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</si>
  <si>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</si>
  <si>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</si>
  <si>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</si>
  <si>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</si>
  <si>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</si>
  <si>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</si>
  <si>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</si>
  <si>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</si>
  <si>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</si>
  <si>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</si>
  <si>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</si>
  <si>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</si>
  <si>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</si>
  <si>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</si>
  <si>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</si>
  <si>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</si>
  <si>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</si>
  <si>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</si>
  <si>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</si>
  <si>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</si>
  <si>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</si>
  <si>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</si>
  <si>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</si>
  <si>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</si>
  <si>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</si>
  <si>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</si>
  <si>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</si>
  <si>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</si>
  <si>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</si>
  <si>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</si>
  <si>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</si>
  <si>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</si>
  <si>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</si>
  <si>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</si>
  <si>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</si>
  <si>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</si>
  <si>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</si>
  <si>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</si>
  <si>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</si>
  <si>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</si>
  <si>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</si>
  <si>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</si>
  <si>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</si>
  <si>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</si>
  <si>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</si>
  <si>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</si>
  <si>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</si>
  <si>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</si>
  <si>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</si>
  <si>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</si>
  <si>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</si>
  <si>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</si>
  <si>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</si>
  <si>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</si>
  <si>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</si>
  <si>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</si>
  <si>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</si>
  <si>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</si>
  <si>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</si>
  <si>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</si>
  <si>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</si>
  <si>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</si>
  <si>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</si>
  <si>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</si>
  <si>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</si>
  <si>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</si>
  <si>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</si>
  <si>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</si>
  <si>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</si>
  <si>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</si>
  <si>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</si>
  <si>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</si>
  <si>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</si>
  <si>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</si>
  <si>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</si>
  <si>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</si>
  <si>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</si>
  <si>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</si>
  <si>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</si>
  <si>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</si>
  <si>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</si>
  <si>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</si>
  <si>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</si>
  <si>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</si>
  <si>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</si>
  <si>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</si>
  <si>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</si>
  <si>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</si>
  <si>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</si>
  <si>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</si>
  <si>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</si>
  <si>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</si>
  <si>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</si>
  <si>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</si>
  <si>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</si>
  <si>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</si>
  <si>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</si>
  <si>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</si>
  <si>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</si>
  <si>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</si>
  <si>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</si>
  <si>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</si>
  <si>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</si>
  <si>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</si>
  <si>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</si>
  <si>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</si>
  <si>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</si>
  <si>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</si>
  <si>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</si>
  <si>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</si>
  <si>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</si>
  <si>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</si>
  <si>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</si>
  <si>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</si>
  <si>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</si>
  <si>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</si>
  <si>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</si>
  <si>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</si>
  <si>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</si>
  <si>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</si>
  <si>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</si>
  <si>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</si>
  <si>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</si>
  <si>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</si>
  <si>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</si>
  <si>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</si>
  <si>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</si>
  <si>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</si>
  <si>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</si>
  <si>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</si>
  <si>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</si>
  <si>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</si>
  <si>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</si>
  <si>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</si>
  <si>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</si>
  <si>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</si>
  <si>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</si>
  <si>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</si>
  <si>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</si>
  <si>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</si>
  <si>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</si>
  <si>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</si>
  <si>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</si>
  <si>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</si>
  <si>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</si>
  <si>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</si>
  <si>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</si>
  <si>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</si>
  <si>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</si>
  <si>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</si>
  <si>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</si>
  <si>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</si>
  <si>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</si>
  <si>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</si>
  <si>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</si>
  <si>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</si>
  <si>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</si>
  <si>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</si>
  <si>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</si>
  <si>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</si>
  <si>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</si>
  <si>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</si>
  <si>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</si>
  <si>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</si>
  <si>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</si>
  <si>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</si>
  <si>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</si>
  <si>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</si>
  <si>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</si>
  <si>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</si>
  <si>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</si>
  <si>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</si>
  <si>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</si>
  <si>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</si>
  <si>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</si>
  <si>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</si>
  <si>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</si>
  <si>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</si>
  <si>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</si>
  <si>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</si>
  <si>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</si>
  <si>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</si>
  <si>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</si>
  <si>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</si>
  <si>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</si>
  <si>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</si>
  <si>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</si>
  <si>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</si>
  <si>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</si>
  <si>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</si>
  <si>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</si>
  <si>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</si>
  <si>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</si>
  <si>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</si>
  <si>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</si>
  <si>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</si>
  <si>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</si>
  <si>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</si>
  <si>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</si>
  <si>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</si>
  <si>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</si>
  <si>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</si>
  <si>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</si>
  <si>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</si>
  <si>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</si>
  <si>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</si>
  <si>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</si>
  <si>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</si>
  <si>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</si>
  <si>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</si>
  <si>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</si>
  <si>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</si>
  <si>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</si>
  <si>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</si>
  <si>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</si>
  <si>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</si>
  <si>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</si>
  <si>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</si>
  <si>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</si>
  <si>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</si>
  <si>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</si>
  <si>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</si>
  <si>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</si>
  <si>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</si>
  <si>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</si>
  <si>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</si>
  <si>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</si>
  <si>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</si>
  <si>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</si>
  <si>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</si>
  <si>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</si>
  <si>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</si>
  <si>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</si>
  <si>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</si>
  <si>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</si>
  <si>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</si>
  <si>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</si>
  <si>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</si>
  <si>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</si>
  <si>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</si>
  <si>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</si>
  <si>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</si>
  <si>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</si>
  <si>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</si>
  <si>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</si>
  <si>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</si>
  <si>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</si>
  <si>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</si>
  <si>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</si>
  <si>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</si>
  <si>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</si>
  <si>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</si>
  <si>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</si>
  <si>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</si>
  <si>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</si>
  <si>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</si>
  <si>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</si>
  <si>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</si>
  <si>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</si>
  <si>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</si>
  <si>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</si>
  <si>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</si>
  <si>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</si>
  <si>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</si>
  <si>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</si>
  <si>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</si>
  <si>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</si>
  <si>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</si>
  <si>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</si>
  <si>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</si>
  <si>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</si>
  <si>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</si>
  <si>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</si>
  <si>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</si>
  <si>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</si>
  <si>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</si>
  <si>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</si>
  <si>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</si>
  <si>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</si>
  <si>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</si>
  <si>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</si>
  <si>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</si>
  <si>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</si>
  <si>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</si>
  <si>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</si>
  <si>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</si>
  <si>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</si>
  <si>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</si>
  <si>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</si>
  <si>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</si>
  <si>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</si>
  <si>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</si>
  <si>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</si>
  <si>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</si>
  <si>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</si>
  <si>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</si>
  <si>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</si>
  <si>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</si>
  <si>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</si>
  <si>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</si>
  <si>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</si>
  <si>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</si>
  <si>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</si>
  <si>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</si>
  <si>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</si>
  <si>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</si>
  <si>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</si>
  <si>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</si>
  <si>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</si>
  <si>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</si>
  <si>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</si>
  <si>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</si>
  <si>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</si>
  <si>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</si>
  <si>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</si>
  <si>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</si>
  <si>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</si>
  <si>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</si>
  <si>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</si>
  <si>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</si>
  <si>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</si>
  <si>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</si>
  <si>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</si>
  <si>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</si>
  <si>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</si>
  <si>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</si>
  <si>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</si>
  <si>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</si>
  <si>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</si>
  <si>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</si>
  <si>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</si>
  <si>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</si>
  <si>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</si>
  <si>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</si>
  <si>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</si>
  <si>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</si>
  <si>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</si>
  <si>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</si>
  <si>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</si>
  <si>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</si>
  <si>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</si>
  <si>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</si>
  <si>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</si>
  <si>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</si>
  <si>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</si>
  <si>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</si>
  <si>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</si>
  <si>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</si>
  <si>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</si>
  <si>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</si>
  <si>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</si>
  <si>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</si>
  <si>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</si>
  <si>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</si>
  <si>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</si>
  <si>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</si>
  <si>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</si>
  <si>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</si>
  <si>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</si>
  <si>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</si>
  <si>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</si>
  <si>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</si>
  <si>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</si>
  <si>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</si>
  <si>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</si>
  <si>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</si>
  <si>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</si>
  <si>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</si>
  <si>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</si>
  <si>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</si>
  <si>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</si>
  <si>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</si>
  <si>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</si>
  <si>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</si>
  <si>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</si>
  <si>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</si>
  <si>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</si>
  <si>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</si>
  <si>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</si>
  <si>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</si>
  <si>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</si>
  <si>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</si>
  <si>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</si>
  <si>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</si>
  <si>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</si>
  <si>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</si>
  <si>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</si>
  <si>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</si>
  <si>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</si>
  <si>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</si>
  <si>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</si>
  <si>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</si>
  <si>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</si>
  <si>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</si>
  <si>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</si>
  <si>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</si>
  <si>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</si>
  <si>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</si>
  <si>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</si>
  <si>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</si>
  <si>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</si>
  <si>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</si>
  <si>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</si>
  <si>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</si>
  <si>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</si>
  <si>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</si>
  <si>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</si>
  <si>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</si>
  <si>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</si>
  <si>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</si>
  <si>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</si>
  <si>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</si>
  <si>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</si>
  <si>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</si>
  <si>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</si>
  <si>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</si>
  <si>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</si>
  <si>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</si>
  <si>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</si>
  <si>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</si>
  <si>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</si>
  <si>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</si>
  <si>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</si>
  <si>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</si>
  <si>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</si>
  <si>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</si>
  <si>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</si>
  <si>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</si>
  <si>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</si>
  <si>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</si>
  <si>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</si>
  <si>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</si>
  <si>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</si>
  <si>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</si>
  <si>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</si>
  <si>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</si>
  <si>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</si>
  <si>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</si>
  <si>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</si>
  <si>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</si>
  <si>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</si>
  <si>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</si>
  <si>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</si>
  <si>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</si>
  <si>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</si>
  <si>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</si>
  <si>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</si>
  <si>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</si>
  <si>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</si>
  <si>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</si>
  <si>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</si>
  <si>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</si>
  <si>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</si>
  <si>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</si>
  <si>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</si>
  <si>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</si>
  <si>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</si>
  <si>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</si>
  <si>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</si>
  <si>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</si>
  <si>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</si>
  <si>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</si>
  <si>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</si>
  <si>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</si>
  <si>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</si>
  <si>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</si>
  <si>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</si>
  <si>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</si>
  <si>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</si>
  <si>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</si>
  <si>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</si>
  <si>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</si>
  <si>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</si>
  <si>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</si>
  <si>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</si>
  <si>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</si>
  <si>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</si>
  <si>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</si>
  <si>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</si>
  <si>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</si>
  <si>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</si>
  <si>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</si>
  <si>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</si>
  <si>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</si>
  <si>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</si>
  <si>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</si>
  <si>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</si>
  <si>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</si>
  <si>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</si>
  <si>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</si>
  <si>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</si>
  <si>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</si>
  <si>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</si>
  <si>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</si>
  <si>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</si>
  <si>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</si>
  <si>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</si>
  <si>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</si>
  <si>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</si>
  <si>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</si>
  <si>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</si>
  <si>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</si>
  <si>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</si>
  <si>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</si>
  <si>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</si>
  <si>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</si>
  <si>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</si>
  <si>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</si>
  <si>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</si>
  <si>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</si>
  <si>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</si>
  <si>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</si>
  <si>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</si>
  <si>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</si>
  <si>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</si>
  <si>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</si>
  <si>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</si>
  <si>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</si>
  <si>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</si>
  <si>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</si>
  <si>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</si>
  <si>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</si>
  <si>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</si>
  <si>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</si>
  <si>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</si>
  <si>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</si>
  <si>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</si>
  <si>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</si>
  <si>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</si>
  <si>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</si>
  <si>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</si>
  <si>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</si>
  <si>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</si>
  <si>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</si>
  <si>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</si>
  <si>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</si>
  <si>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</si>
  <si>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</si>
  <si>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</si>
  <si>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</si>
  <si>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</si>
  <si>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</si>
  <si>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</si>
  <si>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</si>
  <si>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</si>
  <si>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</si>
  <si>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</si>
  <si>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</si>
  <si>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</si>
  <si>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</si>
  <si>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</si>
  <si>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</si>
  <si>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</si>
  <si>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</si>
  <si>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</si>
  <si>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</si>
  <si>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</si>
  <si>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</si>
  <si>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</si>
  <si>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</si>
  <si>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</si>
  <si>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</si>
  <si>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</si>
  <si>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</si>
  <si>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</si>
  <si>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</si>
  <si>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</si>
  <si>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</si>
  <si>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</si>
  <si>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</si>
  <si>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</si>
  <si>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</si>
  <si>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</si>
  <si>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</si>
  <si>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</si>
  <si>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</si>
  <si>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</si>
  <si>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</si>
  <si>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</si>
  <si>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</si>
  <si>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</si>
  <si>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</si>
  <si>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</si>
  <si>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</si>
  <si>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</si>
  <si>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</si>
  <si>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</si>
  <si>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</si>
  <si>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</si>
  <si>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</si>
  <si>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</si>
  <si>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</si>
  <si>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</si>
  <si>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</si>
  <si>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</si>
  <si>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</si>
  <si>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</si>
  <si>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</si>
  <si>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</si>
  <si>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</si>
  <si>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</si>
  <si>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</si>
  <si>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</si>
  <si>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</si>
  <si>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</si>
  <si>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</si>
  <si>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</si>
  <si>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</si>
  <si>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</si>
  <si>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</si>
  <si>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</si>
  <si>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</si>
  <si>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</si>
  <si>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</si>
  <si>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</si>
  <si>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</si>
  <si>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</si>
  <si>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</si>
  <si>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</si>
  <si>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</si>
  <si>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</si>
  <si>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</si>
  <si>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</si>
  <si>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</si>
  <si>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</si>
  <si>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</si>
  <si>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</si>
  <si>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</si>
  <si>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</si>
  <si>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</si>
  <si>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</si>
  <si>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</si>
  <si>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</si>
  <si>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</si>
  <si>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</si>
  <si>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</si>
  <si>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</si>
  <si>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</si>
  <si>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</si>
  <si>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</si>
  <si>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</si>
  <si>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</si>
  <si>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</si>
  <si>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</si>
  <si>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</si>
  <si>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</si>
  <si>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</si>
  <si>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</si>
  <si>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</si>
  <si>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</si>
  <si>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</si>
  <si>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</si>
  <si>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</si>
  <si>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</si>
  <si>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</si>
  <si>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</si>
  <si>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</si>
  <si>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</si>
  <si>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</si>
  <si>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</si>
  <si>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</si>
  <si>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</si>
  <si>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</si>
  <si>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</si>
  <si>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</si>
  <si>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</si>
  <si>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</si>
  <si>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</si>
  <si>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</si>
  <si>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</si>
  <si>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</si>
  <si>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</si>
  <si>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</si>
  <si>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</si>
  <si>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</si>
  <si>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</si>
  <si>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</si>
  <si>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</si>
  <si>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</si>
  <si>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</si>
  <si>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</si>
  <si>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</si>
  <si>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</si>
  <si>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</si>
  <si>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</si>
  <si>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</si>
  <si>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</si>
  <si>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</si>
  <si>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</si>
  <si>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</si>
  <si>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</si>
  <si>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</si>
  <si>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</si>
  <si>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</si>
  <si>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</si>
  <si>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</si>
  <si>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</si>
  <si>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</si>
  <si>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</si>
  <si>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</si>
  <si>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</si>
  <si>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</si>
  <si>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</si>
  <si>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</si>
  <si>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</si>
  <si>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</si>
  <si>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</si>
  <si>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</si>
  <si>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</si>
  <si>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</si>
  <si>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</si>
  <si>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</si>
  <si>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</si>
  <si>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</si>
  <si>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</si>
  <si>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</si>
  <si>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</si>
  <si>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</si>
  <si>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</si>
  <si>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</si>
  <si>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</si>
  <si>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</si>
  <si>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</si>
  <si>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</si>
  <si>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</si>
  <si>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</si>
  <si>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</si>
  <si>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</si>
  <si>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</si>
  <si>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</si>
  <si>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</si>
  <si>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</si>
  <si>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</si>
  <si>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</si>
  <si>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</si>
  <si>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</si>
  <si>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</si>
  <si>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</si>
  <si>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</si>
  <si>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</si>
  <si>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</si>
  <si>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</si>
  <si>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</si>
  <si>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</si>
  <si>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</si>
  <si>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</si>
  <si>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</si>
  <si>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</si>
  <si>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</si>
  <si>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</si>
  <si>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</si>
  <si>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</si>
  <si>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</si>
  <si>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</si>
  <si>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</si>
  <si>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</si>
  <si>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</si>
  <si>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</si>
  <si>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</si>
  <si>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</si>
  <si>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</si>
  <si>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</si>
  <si>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</si>
  <si>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</si>
  <si>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</si>
  <si>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</si>
  <si>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</si>
  <si>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</si>
  <si>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</si>
  <si>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</si>
  <si>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</si>
  <si>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</si>
  <si>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</si>
  <si>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</si>
  <si>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</si>
  <si>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</si>
  <si>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</si>
  <si>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</si>
  <si>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</si>
  <si>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</si>
  <si>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</si>
  <si>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</si>
  <si>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</si>
  <si>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</si>
  <si>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</si>
  <si>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</si>
  <si>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</si>
  <si>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</si>
  <si>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</si>
  <si>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</si>
  <si>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</si>
  <si>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</si>
  <si>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</si>
  <si>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</si>
  <si>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</si>
  <si>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</si>
  <si>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</si>
  <si>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</si>
  <si>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</si>
  <si>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</si>
  <si>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</si>
  <si>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</si>
  <si>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</si>
  <si>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</si>
  <si>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</si>
  <si>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</si>
  <si>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</si>
  <si>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</si>
  <si>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</si>
  <si>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</si>
  <si>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</si>
  <si>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</si>
  <si>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</si>
  <si>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</si>
  <si>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</si>
  <si>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</si>
  <si>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</si>
  <si>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</si>
  <si>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</si>
  <si>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</si>
  <si>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</si>
  <si>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</si>
  <si>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</si>
  <si>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</si>
  <si>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</si>
  <si>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</si>
  <si>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</si>
  <si>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</si>
  <si>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</si>
  <si>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</si>
  <si>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</si>
  <si>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</si>
  <si>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</si>
  <si>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</si>
  <si>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</si>
  <si>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</si>
  <si>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</si>
  <si>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</si>
  <si>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</si>
  <si>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</si>
  <si>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</si>
  <si>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</si>
  <si>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</si>
  <si>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</si>
  <si>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</si>
  <si>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</si>
  <si>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</si>
  <si>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</si>
  <si>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</si>
  <si>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</si>
  <si>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</si>
  <si>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</si>
  <si>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</si>
  <si>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</si>
  <si>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</si>
  <si>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</si>
  <si>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</si>
  <si>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</si>
  <si>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</si>
  <si>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</si>
  <si>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</si>
  <si>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</si>
  <si>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</si>
  <si>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</si>
  <si>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</si>
  <si>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</si>
  <si>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</si>
  <si>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</si>
  <si>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</si>
  <si>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</si>
  <si>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</si>
  <si>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</si>
  <si>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</si>
  <si>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</si>
  <si>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</si>
  <si>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</si>
  <si>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</si>
  <si>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</si>
  <si>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</si>
  <si>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</si>
  <si>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</si>
  <si>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</si>
  <si>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</si>
  <si>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</si>
  <si>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</si>
  <si>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</si>
  <si>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</si>
  <si>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</si>
  <si>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</si>
  <si>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</si>
  <si>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</si>
  <si>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</si>
  <si>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</si>
  <si>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</si>
  <si>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</si>
  <si>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</si>
  <si>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</si>
  <si>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</si>
  <si>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</si>
  <si>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</si>
  <si>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</si>
  <si>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</si>
  <si>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</si>
  <si>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</si>
  <si>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</si>
  <si>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</si>
  <si>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</si>
  <si>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</si>
  <si>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</si>
  <si>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</si>
  <si>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</si>
  <si>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</si>
  <si>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</si>
  <si>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</si>
  <si>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</si>
  <si>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</si>
  <si>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</si>
  <si>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</si>
  <si>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</si>
  <si>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</si>
  <si>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</si>
  <si>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</si>
  <si>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</si>
  <si>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</si>
  <si>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</si>
  <si>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</si>
  <si>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</si>
  <si>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</si>
  <si>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</si>
  <si>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</si>
  <si>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</si>
  <si>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</si>
  <si>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</si>
  <si>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</si>
  <si>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</si>
  <si>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</si>
  <si>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</si>
  <si>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</si>
  <si>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</si>
  <si>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</si>
  <si>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</si>
  <si>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</si>
  <si>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</si>
  <si>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</si>
  <si>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</si>
  <si>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</si>
  <si>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</si>
  <si>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</si>
  <si>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</si>
  <si>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</si>
  <si>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</si>
  <si>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</si>
  <si>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</si>
  <si>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</si>
  <si>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</si>
  <si>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</si>
  <si>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</si>
  <si>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</si>
  <si>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</si>
  <si>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</si>
  <si>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</si>
  <si>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</si>
  <si>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</si>
  <si>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</si>
  <si>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</si>
  <si>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</si>
  <si>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</si>
  <si>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</si>
  <si>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</si>
  <si>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</si>
  <si>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</si>
  <si>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</si>
  <si>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</si>
  <si>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</si>
  <si>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</si>
  <si>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</si>
  <si>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</si>
  <si>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</si>
  <si>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</si>
  <si>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</si>
  <si>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</si>
  <si>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</si>
  <si>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</si>
  <si>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</si>
  <si>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</si>
  <si>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</si>
  <si>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</si>
  <si>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</si>
  <si>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</si>
  <si>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</si>
  <si>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</si>
  <si>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</si>
  <si>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</si>
  <si>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</si>
  <si>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</si>
  <si>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</si>
  <si>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</si>
  <si>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</si>
  <si>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</si>
  <si>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</si>
  <si>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</si>
  <si>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</si>
  <si>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</si>
  <si>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</si>
  <si>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</si>
  <si>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</si>
  <si>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</si>
  <si>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</si>
  <si>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</si>
  <si>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</si>
  <si>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</si>
  <si>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</si>
  <si>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</si>
  <si>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</si>
  <si>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</si>
  <si>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</si>
  <si>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</si>
  <si>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</si>
  <si>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</si>
  <si>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</si>
  <si>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</si>
  <si>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</si>
  <si>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</si>
  <si>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</si>
  <si>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</si>
  <si>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</si>
  <si>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</si>
  <si>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</si>
  <si>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</si>
  <si>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</si>
  <si>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</si>
  <si>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</si>
  <si>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</si>
  <si>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</si>
  <si>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</si>
  <si>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</si>
  <si>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</si>
  <si>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</si>
  <si>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</si>
  <si>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</si>
  <si>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</si>
  <si>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</si>
  <si>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</si>
  <si>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</si>
  <si>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</si>
  <si>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</si>
  <si>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</si>
  <si>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</si>
  <si>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</si>
  <si>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</si>
  <si>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</si>
  <si>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</si>
  <si>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</si>
  <si>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</si>
  <si>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</si>
  <si>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</si>
  <si>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</si>
  <si>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</si>
  <si>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</si>
  <si>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</si>
  <si>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</si>
  <si>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</si>
  <si>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</si>
  <si>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</si>
  <si>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</si>
  <si>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</si>
  <si>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</si>
  <si>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</si>
  <si>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</si>
  <si>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</si>
  <si>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</si>
  <si>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</si>
  <si>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</si>
  <si>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</si>
  <si>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</si>
  <si>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</si>
  <si>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</si>
  <si>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</si>
  <si>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</si>
  <si>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</si>
  <si>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</si>
  <si>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</si>
  <si>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</si>
  <si>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</si>
  <si>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</si>
  <si>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</si>
  <si>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</si>
  <si>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</si>
  <si>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</si>
  <si>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</si>
  <si>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</si>
  <si>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</si>
  <si>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</si>
  <si>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</si>
  <si>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</si>
  <si>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</si>
  <si>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</si>
  <si>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</si>
  <si>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</si>
  <si>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</si>
  <si>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</si>
  <si>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</si>
  <si>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</si>
  <si>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</si>
  <si>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</si>
  <si>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</si>
  <si>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</si>
  <si>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</si>
  <si>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</si>
  <si>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</si>
  <si>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</si>
  <si>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</si>
  <si>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</si>
  <si>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</si>
  <si>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</si>
  <si>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</si>
  <si>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</si>
  <si>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</si>
  <si>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</si>
  <si>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</si>
  <si>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</si>
  <si>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</si>
  <si>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</si>
  <si>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</si>
  <si>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</si>
  <si>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</si>
  <si>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</si>
  <si>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</si>
  <si>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</si>
  <si>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</si>
  <si>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</si>
  <si>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</si>
  <si>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</si>
  <si>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</si>
  <si>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</si>
  <si>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</si>
  <si>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</si>
  <si>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</si>
  <si>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</si>
  <si>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</si>
  <si>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</si>
  <si>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</si>
  <si>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</si>
  <si>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</si>
  <si>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</si>
  <si>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</si>
  <si>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</si>
  <si>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</si>
  <si>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</si>
  <si>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</si>
  <si>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</si>
  <si>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</si>
  <si>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</si>
  <si>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</si>
  <si>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</si>
  <si>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</si>
  <si>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</si>
  <si>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</si>
  <si>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</si>
  <si>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</si>
  <si>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</si>
  <si>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</si>
  <si>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</si>
  <si>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</si>
  <si>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</si>
  <si>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</si>
  <si>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</si>
  <si>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</si>
  <si>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</si>
  <si>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</si>
  <si>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</si>
  <si>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</si>
  <si>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</si>
  <si>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</si>
  <si>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</si>
  <si>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</si>
  <si>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</si>
  <si>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</si>
  <si>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</si>
  <si>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</si>
  <si>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</si>
  <si>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</si>
  <si>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</si>
  <si>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</si>
  <si>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</si>
  <si>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</si>
  <si>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</si>
  <si>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</si>
  <si>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</si>
  <si>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</si>
  <si>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</si>
  <si>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</si>
  <si>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</si>
  <si>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</si>
  <si>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</si>
  <si>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</si>
  <si>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</si>
  <si>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</si>
  <si>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</si>
  <si>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</si>
  <si>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</si>
  <si>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</si>
  <si>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</si>
  <si>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</si>
  <si>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</si>
  <si>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</si>
  <si>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</si>
  <si>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</si>
  <si>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</si>
  <si>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</si>
  <si>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</si>
  <si>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</si>
  <si>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</si>
  <si>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</si>
  <si>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</si>
  <si>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</si>
  <si>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</si>
  <si>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</si>
  <si>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</si>
  <si>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</si>
  <si>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</si>
  <si>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</si>
  <si>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</si>
  <si>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</si>
  <si>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</si>
  <si>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</si>
  <si>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</si>
  <si>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</si>
  <si>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</si>
  <si>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</si>
  <si>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</si>
  <si>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</si>
  <si>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</si>
  <si>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</si>
  <si>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</si>
  <si>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</si>
  <si>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</si>
  <si>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</si>
  <si>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</si>
  <si>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</si>
  <si>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</si>
  <si>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</si>
  <si>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</si>
  <si>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</si>
  <si>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</si>
  <si>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</si>
  <si>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</si>
  <si>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</si>
  <si>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</si>
  <si>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</si>
  <si>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</si>
  <si>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</si>
  <si>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</si>
  <si>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</si>
  <si>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</si>
  <si>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</si>
  <si>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</si>
  <si>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</si>
  <si>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</si>
  <si>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</si>
  <si>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</si>
  <si>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</si>
  <si>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</si>
  <si>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</si>
  <si>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</si>
  <si>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</si>
  <si>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</si>
  <si>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</si>
  <si>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</si>
  <si>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</si>
  <si>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</si>
  <si>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</si>
  <si>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</si>
  <si>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</si>
  <si>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</si>
  <si>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</si>
  <si>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</si>
  <si>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</si>
  <si>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</si>
  <si>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</si>
  <si>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</si>
  <si>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</si>
  <si>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</si>
  <si>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</si>
  <si>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</si>
  <si>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</si>
  <si>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</si>
  <si>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</si>
  <si>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</si>
  <si>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</si>
  <si>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</si>
  <si>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</si>
  <si>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</si>
  <si>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</si>
  <si>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</si>
  <si>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</si>
  <si>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</si>
  <si>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</si>
  <si>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</si>
  <si>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</si>
  <si>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</si>
  <si>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</si>
  <si>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</si>
  <si>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</si>
  <si>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</si>
  <si>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</si>
  <si>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</si>
  <si>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</si>
  <si>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</si>
  <si>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</si>
  <si>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</si>
  <si>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</si>
  <si>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</si>
  <si>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</si>
  <si>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</si>
  <si>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</si>
  <si>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</si>
  <si>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</si>
  <si>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</si>
  <si>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</si>
  <si>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</si>
  <si>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</si>
  <si>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</si>
  <si>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</si>
  <si>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</si>
  <si>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</si>
  <si>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</si>
  <si>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</si>
  <si>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</si>
  <si>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</si>
  <si>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</si>
  <si>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</si>
  <si>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</si>
  <si>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</si>
  <si>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</si>
  <si>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</si>
  <si>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</si>
  <si>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</si>
  <si>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</si>
  <si>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</si>
  <si>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</si>
  <si>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</si>
  <si>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</si>
  <si>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</si>
  <si>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</si>
  <si>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</si>
  <si>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</si>
  <si>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</si>
  <si>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</si>
  <si>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</si>
  <si>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</si>
  <si>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</si>
  <si>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</si>
  <si>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</si>
  <si>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</si>
  <si>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</si>
  <si>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</si>
  <si>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</si>
  <si>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</si>
  <si>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</si>
  <si>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</si>
  <si>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</si>
  <si>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</si>
  <si>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</si>
  <si>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</si>
  <si>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</si>
  <si>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</si>
  <si>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</si>
  <si>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</si>
  <si>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</si>
  <si>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</si>
  <si>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</si>
  <si>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</si>
  <si>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</si>
  <si>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</si>
  <si>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</si>
  <si>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</si>
  <si>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</si>
  <si>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</si>
  <si>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</si>
  <si>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</si>
  <si>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</si>
  <si>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</si>
  <si>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</si>
  <si>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</si>
  <si>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</si>
  <si>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</si>
  <si>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</si>
  <si>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</si>
  <si>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</si>
  <si>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</si>
  <si>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</si>
  <si>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</si>
  <si>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</si>
  <si>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</si>
  <si>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</si>
  <si>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</si>
  <si>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</si>
  <si>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</si>
  <si>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</si>
  <si>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</si>
  <si>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</si>
  <si>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</si>
  <si>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</si>
  <si>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</si>
  <si>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</si>
  <si>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</si>
  <si>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</si>
  <si>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</si>
  <si>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</si>
  <si>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</si>
  <si>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</si>
  <si>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</si>
  <si>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</si>
  <si>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</si>
  <si>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</si>
  <si>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</si>
  <si>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</si>
  <si>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</si>
  <si>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</si>
  <si>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</si>
  <si>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</si>
  <si>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</si>
  <si>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</si>
  <si>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</si>
  <si>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</si>
  <si>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</si>
  <si>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</si>
  <si>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</si>
  <si>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</si>
  <si>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</si>
  <si>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</si>
  <si>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</si>
  <si>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</si>
  <si>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</si>
  <si>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</si>
  <si>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</si>
  <si>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</si>
  <si>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</si>
  <si>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</si>
  <si>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</si>
  <si>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</si>
  <si>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</si>
  <si>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</si>
  <si>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</si>
  <si>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</si>
  <si>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</si>
  <si>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</si>
  <si>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</si>
  <si>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</si>
  <si>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</si>
  <si>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</si>
  <si>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</si>
  <si>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</si>
  <si>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</si>
  <si>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</si>
  <si>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</si>
  <si>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</si>
  <si>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</si>
  <si>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</si>
  <si>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</si>
  <si>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</si>
  <si>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</si>
  <si>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</si>
  <si>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</si>
  <si>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</si>
  <si>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</si>
  <si>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</si>
  <si>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</si>
  <si>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</si>
  <si>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</si>
  <si>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</si>
  <si>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</si>
  <si>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</si>
  <si>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</si>
  <si>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</si>
  <si>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</si>
  <si>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</si>
  <si>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</si>
  <si>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</si>
  <si>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</si>
  <si>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</si>
  <si>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</si>
  <si>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</si>
  <si>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</si>
  <si>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</si>
  <si>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</si>
  <si>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</si>
  <si>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</si>
  <si>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</si>
  <si>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</si>
  <si>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</si>
  <si>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</si>
  <si>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</si>
  <si>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</si>
  <si>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</si>
  <si>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</si>
  <si>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</si>
  <si>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</si>
  <si>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</si>
  <si>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</si>
  <si>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</si>
  <si>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</si>
  <si>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</si>
  <si>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</si>
  <si>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</si>
  <si>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</si>
  <si>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</si>
  <si>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</si>
  <si>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</si>
  <si>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</si>
  <si>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</si>
  <si>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</si>
  <si>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</si>
  <si>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</si>
  <si>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</si>
  <si>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</si>
  <si>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</si>
  <si>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</si>
  <si>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</si>
  <si>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</si>
  <si>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</si>
  <si>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</si>
  <si>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</si>
  <si>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</si>
  <si>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</si>
  <si>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</si>
  <si>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</si>
  <si>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</si>
  <si>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</si>
  <si>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</si>
  <si>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</si>
  <si>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</si>
  <si>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</si>
  <si>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</si>
  <si>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</si>
  <si>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</si>
  <si>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</si>
  <si>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</si>
  <si>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</si>
  <si>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</si>
  <si>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</si>
  <si>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</si>
  <si>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</si>
  <si>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</si>
  <si>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</si>
  <si>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</si>
  <si>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</si>
  <si>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</si>
  <si>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</si>
  <si>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</si>
  <si>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</si>
  <si>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</si>
  <si>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</si>
  <si>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</si>
  <si>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</si>
  <si>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</si>
  <si>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</si>
  <si>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</si>
  <si>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</si>
  <si>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</si>
  <si>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</si>
  <si>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</si>
  <si>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</si>
  <si>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</si>
  <si>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</si>
  <si>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</si>
  <si>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</si>
  <si>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</si>
  <si>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</si>
  <si>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</si>
  <si>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</si>
  <si>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</si>
  <si>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</si>
  <si>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</si>
  <si>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</si>
  <si>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</si>
  <si>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</si>
  <si>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</si>
  <si>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</si>
  <si>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</si>
  <si>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</si>
  <si>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</si>
  <si>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</si>
  <si>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</si>
  <si>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</si>
  <si>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</si>
  <si>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</si>
  <si>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</si>
  <si>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</si>
  <si>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</si>
  <si>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</si>
  <si>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</si>
  <si>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</si>
  <si>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</si>
  <si>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</si>
  <si>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</si>
  <si>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</si>
  <si>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</si>
  <si>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</si>
  <si>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</si>
  <si>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</si>
  <si>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</si>
  <si>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</si>
  <si>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</si>
  <si>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</si>
  <si>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</si>
  <si>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</si>
  <si>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</si>
  <si>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</si>
  <si>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</si>
  <si>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</si>
  <si>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</si>
  <si>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</si>
  <si>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</si>
  <si>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</si>
  <si>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</si>
  <si>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</si>
  <si>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</si>
  <si>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</si>
  <si>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</si>
  <si>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</si>
  <si>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</si>
  <si>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</si>
  <si>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</si>
  <si>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</si>
  <si>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</si>
  <si>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</si>
  <si>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</si>
  <si>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</si>
  <si>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</si>
  <si>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</si>
  <si>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</si>
  <si>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</si>
  <si>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</si>
  <si>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</si>
  <si>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</si>
  <si>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</si>
  <si>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</si>
  <si>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</si>
  <si>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</si>
  <si>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</si>
  <si>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</si>
  <si>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</si>
  <si>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</si>
  <si>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</si>
  <si>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</si>
  <si>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</si>
  <si>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</si>
  <si>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</si>
  <si>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</si>
  <si>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</si>
  <si>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</si>
  <si>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</si>
  <si>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</si>
  <si>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</si>
  <si>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</si>
  <si>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</si>
  <si>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</si>
  <si>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</si>
  <si>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</si>
  <si>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</si>
  <si>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</si>
  <si>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</si>
  <si>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</si>
  <si>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</si>
  <si>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</si>
  <si>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</si>
  <si>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</si>
  <si>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</si>
  <si>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</si>
  <si>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</si>
  <si>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</si>
  <si>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</si>
  <si>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</si>
  <si>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</si>
  <si>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</si>
  <si>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</si>
  <si>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</si>
  <si>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</si>
  <si>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</si>
  <si>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</si>
  <si>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</si>
  <si>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</si>
  <si>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</si>
  <si>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</si>
  <si>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</si>
  <si>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</si>
  <si>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</si>
  <si>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</si>
  <si>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</si>
  <si>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</si>
  <si>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</si>
  <si>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</si>
  <si>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</si>
  <si>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</si>
  <si>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</si>
  <si>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</si>
  <si>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</si>
  <si>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</si>
  <si>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</si>
  <si>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</si>
  <si>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</si>
  <si>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</si>
  <si>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</si>
  <si>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</si>
  <si>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</si>
  <si>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</si>
  <si>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</si>
  <si>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</si>
  <si>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</si>
  <si>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</si>
  <si>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</si>
  <si>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</si>
  <si>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</si>
  <si>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</si>
  <si>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</si>
  <si>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</si>
  <si>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</si>
  <si>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</si>
  <si>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</si>
  <si>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</si>
  <si>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</si>
  <si>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</si>
  <si>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</si>
  <si>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</si>
  <si>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</si>
  <si>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</si>
  <si>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</si>
  <si>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</si>
  <si>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</si>
  <si>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</si>
  <si>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</si>
  <si>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</si>
  <si>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</si>
  <si>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</si>
  <si>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</si>
  <si>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</si>
  <si>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</si>
  <si>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</si>
  <si>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</si>
  <si>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</si>
  <si>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</si>
  <si>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</si>
  <si>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</si>
  <si>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</si>
  <si>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</si>
  <si>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</si>
  <si>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</si>
  <si>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</si>
  <si>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</si>
  <si>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</si>
  <si>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</si>
  <si>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</si>
  <si>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</si>
  <si>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</si>
  <si>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</si>
  <si>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</si>
  <si>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</si>
  <si>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</si>
  <si>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</si>
  <si>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</si>
  <si>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</si>
  <si>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</si>
  <si>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</si>
  <si>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</si>
  <si>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</si>
  <si>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</si>
  <si>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</si>
  <si>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</si>
  <si>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</si>
  <si>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</si>
  <si>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</si>
  <si>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</si>
  <si>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</si>
  <si>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</si>
  <si>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</si>
  <si>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</si>
  <si>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</si>
  <si>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</si>
  <si>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</si>
  <si>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</si>
  <si>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</si>
  <si>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</si>
  <si>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</si>
  <si>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</si>
  <si>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</si>
  <si>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</si>
  <si>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</si>
  <si>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</si>
  <si>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</si>
  <si>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</si>
  <si>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</si>
  <si>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</si>
  <si>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</si>
  <si>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</si>
  <si>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</si>
  <si>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</si>
  <si>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</si>
  <si>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</si>
  <si>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</si>
  <si>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</si>
  <si>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</si>
  <si>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</si>
  <si>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</si>
  <si>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</si>
  <si>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</si>
  <si>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</si>
  <si>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</si>
  <si>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</si>
  <si>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</si>
  <si>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</si>
  <si>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</si>
  <si>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</si>
  <si>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</si>
  <si>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</si>
  <si>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</si>
  <si>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</si>
  <si>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</si>
  <si>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</si>
  <si>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</si>
  <si>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</si>
  <si>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</si>
  <si>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</si>
  <si>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</si>
  <si>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</si>
  <si>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</si>
  <si>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</si>
  <si>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</si>
  <si>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</si>
  <si>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</si>
  <si>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</si>
  <si>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</si>
  <si>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</si>
  <si>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</si>
  <si>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</si>
  <si>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</si>
  <si>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</si>
  <si>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</si>
  <si>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</si>
  <si>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</si>
  <si>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</si>
  <si>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</si>
  <si>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</si>
  <si>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</si>
  <si>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</si>
  <si>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</si>
  <si>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</si>
  <si>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</si>
  <si>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</si>
  <si>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</si>
  <si>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</si>
  <si>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</si>
  <si>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</si>
  <si>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</si>
  <si>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</si>
  <si>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</si>
  <si>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</si>
  <si>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</si>
  <si>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</si>
  <si>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</si>
  <si>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</si>
  <si>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</si>
  <si>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</si>
  <si>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</si>
  <si>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</si>
  <si>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</si>
  <si>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</si>
  <si>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</si>
  <si>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</si>
  <si>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</si>
  <si>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</si>
  <si>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</si>
  <si>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</si>
  <si>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</si>
  <si>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</si>
  <si>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</si>
  <si>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</si>
  <si>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</si>
  <si>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</si>
  <si>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</si>
  <si>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</si>
  <si>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</si>
  <si>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</si>
  <si>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</si>
  <si>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</si>
  <si>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</si>
  <si>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</si>
  <si>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</si>
  <si>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</si>
  <si>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</si>
  <si>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</si>
  <si>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</si>
  <si>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</si>
  <si>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</si>
  <si>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</si>
  <si>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</si>
  <si>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</si>
  <si>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</si>
  <si>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</si>
  <si>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</si>
  <si>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</si>
  <si>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</si>
  <si>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</si>
  <si>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</si>
  <si>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</si>
  <si>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</si>
  <si>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</si>
  <si>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</si>
  <si>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</si>
  <si>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</si>
  <si>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</si>
  <si>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</si>
  <si>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</si>
  <si>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</si>
  <si>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</si>
  <si>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</si>
  <si>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</si>
  <si>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</si>
  <si>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</si>
  <si>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</si>
  <si>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</si>
  <si>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</si>
  <si>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</si>
  <si>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</si>
  <si>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</si>
  <si>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</si>
  <si>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</si>
  <si>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</si>
  <si>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</si>
  <si>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</si>
  <si>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</si>
  <si>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</si>
  <si>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</si>
  <si>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</si>
  <si>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</si>
  <si>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</si>
  <si>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</si>
  <si>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</si>
  <si>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</si>
  <si>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</si>
  <si>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</si>
  <si>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</si>
  <si>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</si>
  <si>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</si>
  <si>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</si>
  <si>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</si>
  <si>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IUPC</t>
  </si>
  <si>
    <t>Cooperative 90, CLIC</t>
  </si>
  <si>
    <t>Member of IIIT, ISDLAF</t>
  </si>
  <si>
    <t>Township District #113, Independent Stationers</t>
  </si>
  <si>
    <t>NSSED</t>
  </si>
  <si>
    <t>Township District #113</t>
  </si>
  <si>
    <t>LAKE</t>
  </si>
  <si>
    <t>2165 TELEGRAPH ROAD</t>
  </si>
  <si>
    <t>BANNOCKBURN</t>
  </si>
  <si>
    <t>EDER, CASELLA &amp; CO.</t>
  </si>
  <si>
    <t>CHERYDEN JUERGENSEN</t>
  </si>
  <si>
    <t>5400 WEST ELM STREET, SUITE 203</t>
  </si>
  <si>
    <t>MCHENRY</t>
  </si>
  <si>
    <t>IL</t>
  </si>
  <si>
    <t>815-344-1300</t>
  </si>
  <si>
    <t>815-344-1320</t>
  </si>
  <si>
    <t>60015-1593</t>
  </si>
  <si>
    <t>sherrmann@bannockburnschool.org</t>
  </si>
  <si>
    <t>DR. SCOTT HERRMANN</t>
  </si>
  <si>
    <t>847-945-5900</t>
  </si>
  <si>
    <t>847-945-5909</t>
  </si>
  <si>
    <t>066-005142</t>
  </si>
  <si>
    <t>cpas@edercasella.com</t>
  </si>
  <si>
    <t>Trans.-Pupil Transportation-Purchase Services</t>
  </si>
  <si>
    <t>40-2550-300</t>
  </si>
  <si>
    <t>Durham School Service</t>
  </si>
  <si>
    <t>OM-Plant Services-Purchase Services</t>
  </si>
  <si>
    <t>20-2540-300</t>
  </si>
  <si>
    <t>ED-Payment to Other Govt. Unit-Purchase Services</t>
  </si>
  <si>
    <t>10-4120-300</t>
  </si>
  <si>
    <t>GSF USA, Inc.</t>
  </si>
  <si>
    <t>ED-Regular Education-Purchase Services</t>
  </si>
  <si>
    <t>10-1110-300</t>
  </si>
  <si>
    <t>Xerox Financial Services</t>
  </si>
  <si>
    <t>Page 5, Line 12 - Other Current Assets</t>
  </si>
  <si>
    <t>- Accrued Interest Receivable, Other Receivables</t>
  </si>
  <si>
    <t>Page 10, Line 81 - Other District/School Activity Revenue</t>
  </si>
  <si>
    <t>- Kindergarten Enrichment and Activity Revenue</t>
  </si>
  <si>
    <t>Page 11, Line 107 - Other Local Revenues</t>
  </si>
  <si>
    <t>- Sales of Miscellaneous Small Equipment; Misc. Other Revenue</t>
  </si>
  <si>
    <t>Page 12, Line 171 - Other Restricted Revenue from State Sources</t>
  </si>
  <si>
    <t>- State Library Grant</t>
  </si>
  <si>
    <t>Bannockburn SD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</si>
</sst>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64" fontId="54" fillId="0" borderId="0" xfId="0" applyNumberFormat="1" applyFont="1"/>
    <xf numFmtId="0" fontId="54" fillId="0" borderId="0" xfId="0" quotePrefix="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1276350</xdr:colOff>
          <xdr:row>6</xdr:row>
          <xdr:rowOff>123825</xdr:rowOff>
        </xdr:from>
        <xdr:to>
          <xdr:col>1</xdr:col>
          <xdr:colOff>2181225</xdr:colOff>
          <xdr:row>10</xdr:row>
          <xdr:rowOff>161925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C36E1A0-8F62-431B-8F96-3D6C2CA664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37">
        <v>34049106002</v>
      </c>
      <c r="B13" s="2038"/>
      <c r="C13" s="2038"/>
      <c r="D13" s="2038"/>
      <c r="E13" s="2038"/>
      <c r="F13" s="2038"/>
      <c r="G13" s="2038"/>
      <c r="H13" s="2039"/>
      <c r="I13" s="31"/>
      <c r="J13" s="30"/>
      <c r="K13" s="28"/>
      <c r="L13" s="30"/>
      <c r="M13" s="30"/>
      <c r="N13" s="30"/>
      <c r="O13" s="30"/>
      <c r="P13" s="30"/>
      <c r="Q13" s="30"/>
      <c r="R13" s="30"/>
      <c r="S13" s="30"/>
      <c r="T13" s="2042" t="s">
        <v>2087</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2084</v>
      </c>
      <c r="B15" s="2040"/>
      <c r="C15" s="2040"/>
      <c r="D15" s="2040"/>
      <c r="E15" s="2040"/>
      <c r="F15" s="2040"/>
      <c r="G15" s="2040"/>
      <c r="H15" s="2041"/>
      <c r="T15" s="2046" t="s">
        <v>2088</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2120</v>
      </c>
      <c r="B17" s="1997"/>
      <c r="C17" s="1997"/>
      <c r="D17" s="1997"/>
      <c r="E17" s="1997"/>
      <c r="F17" s="1997"/>
      <c r="G17" s="1997"/>
      <c r="H17" s="2022"/>
      <c r="T17" s="2053" t="s">
        <v>2089</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2085</v>
      </c>
      <c r="B19" s="1982"/>
      <c r="C19" s="1982"/>
      <c r="D19" s="1982"/>
      <c r="E19" s="1982"/>
      <c r="F19" s="1982"/>
      <c r="G19" s="1982"/>
      <c r="H19" s="1962"/>
      <c r="I19" s="30"/>
      <c r="J19" s="99"/>
      <c r="K19" s="40"/>
      <c r="L19" s="38"/>
      <c r="M19" s="112" t="s">
        <v>333</v>
      </c>
      <c r="P19" s="27"/>
      <c r="Q19" s="27"/>
      <c r="R19" s="27"/>
      <c r="S19" s="31"/>
      <c r="T19" s="2036" t="s">
        <v>2090</v>
      </c>
      <c r="U19" s="1961"/>
      <c r="V19" s="1961"/>
      <c r="W19" s="1962"/>
      <c r="X19" s="2051" t="s">
        <v>2091</v>
      </c>
      <c r="Y19" s="2052"/>
      <c r="Z19" s="2049">
        <v>60050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2086</v>
      </c>
      <c r="B21" s="1961"/>
      <c r="C21" s="1961"/>
      <c r="D21" s="1961"/>
      <c r="E21" s="1961"/>
      <c r="F21" s="1961"/>
      <c r="G21" s="1961"/>
      <c r="H21" s="1962"/>
      <c r="I21" s="2016" t="s">
        <v>699</v>
      </c>
      <c r="J21" s="2011"/>
      <c r="K21" s="2011"/>
      <c r="L21" s="2011"/>
      <c r="M21" s="2011"/>
      <c r="N21" s="2011"/>
      <c r="O21" s="2011"/>
      <c r="P21" s="2011"/>
      <c r="Q21" s="2011"/>
      <c r="R21" s="2011"/>
      <c r="S21" s="2017"/>
      <c r="T21" s="2060" t="s">
        <v>2092</v>
      </c>
      <c r="U21" s="2061"/>
      <c r="V21" s="2061"/>
      <c r="W21" s="2061"/>
      <c r="X21" s="2066" t="s">
        <v>2093</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2095</v>
      </c>
      <c r="B23" s="2014"/>
      <c r="C23" s="2014"/>
      <c r="D23" s="2014"/>
      <c r="E23" s="2014"/>
      <c r="F23" s="2014"/>
      <c r="G23" s="2014"/>
      <c r="H23" s="2015"/>
      <c r="T23" s="1996" t="s">
        <v>2099</v>
      </c>
      <c r="U23" s="2059"/>
      <c r="V23" s="2059"/>
      <c r="W23" s="2059"/>
      <c r="X23" s="2063">
        <v>43434</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t="s">
        <v>2094</v>
      </c>
      <c r="B25" s="1961"/>
      <c r="C25" s="1961"/>
      <c r="D25" s="1961"/>
      <c r="E25" s="1961"/>
      <c r="F25" s="1961"/>
      <c r="G25" s="1961"/>
      <c r="H25" s="1962"/>
      <c r="I25" s="113"/>
      <c r="J25" s="1985"/>
      <c r="K25" s="1985"/>
      <c r="L25" s="1985"/>
      <c r="M25" s="1985"/>
      <c r="N25" s="1985"/>
      <c r="O25" s="1985"/>
      <c r="P25" s="1985"/>
      <c r="Q25" s="1985"/>
      <c r="R25" s="1985"/>
      <c r="S25" s="1986"/>
      <c r="T25" s="2056" t="s">
        <v>2100</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2096</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2095</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2097</v>
      </c>
      <c r="B42" s="1980"/>
      <c r="C42" s="1981"/>
      <c r="D42" s="1979" t="s">
        <v>2098</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X26" sqref="X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95" colorId="8" zoomScale="110" zoomScaleNormal="110" workbookViewId="0">
      <selection activeCell="X26" sqref="X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X6" sqref="X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213618793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1.9671750000000002E-2</v>
      </c>
      <c r="E10" s="356" t="s">
        <v>1062</v>
      </c>
      <c r="F10" s="355">
        <v>4.7566700000000002E-3</v>
      </c>
      <c r="G10" s="356" t="s">
        <v>1062</v>
      </c>
      <c r="H10" s="355">
        <v>4.6813999999999997E-4</v>
      </c>
      <c r="I10" s="356" t="s">
        <v>1063</v>
      </c>
      <c r="J10" s="1753">
        <f>ROUND(D10+F10+H10,5)</f>
        <v>2.4899999999999999E-2</v>
      </c>
      <c r="K10" s="222"/>
      <c r="L10" s="355">
        <v>2.2844E-4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6118123</v>
      </c>
      <c r="E16" s="356"/>
      <c r="F16" s="1754">
        <f>SUM('Acct Summary 7-8'!C17,'Acct Summary 7-8'!D17,'Acct Summary 7-8'!F17)</f>
        <v>4650653</v>
      </c>
      <c r="G16" s="356"/>
      <c r="H16" s="1754">
        <f>SUM(D16-F16)</f>
        <v>1467470</v>
      </c>
      <c r="I16" s="222"/>
      <c r="J16" s="1754">
        <f>SUM('Acct Summary 7-8'!C81,'Acct Summary 7-8'!D81,'Acct Summary 7-8'!F81,'Acct Summary 7-8'!I81)</f>
        <v>12286600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6">
        <f>IF(B31="X",(J7*0.069),IF(B32="X",(J7*0.138),"Enter x in a.or b."))</f>
        <v>14739696.717000002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X26" sqref="X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Bannockburn SD 106</v>
      </c>
      <c r="E7" s="391"/>
      <c r="G7" s="252"/>
      <c r="H7" s="387"/>
      <c r="I7" s="387"/>
      <c r="J7" s="387"/>
      <c r="K7" s="387"/>
      <c r="L7" s="329"/>
      <c r="M7" s="329"/>
      <c r="N7" s="329"/>
      <c r="O7" s="329"/>
      <c r="P7" s="329"/>
    </row>
    <row r="8" spans="1:18" ht="12.75" x14ac:dyDescent="0.2">
      <c r="A8" s="329"/>
      <c r="B8" s="329"/>
      <c r="C8" s="389" t="s">
        <v>1187</v>
      </c>
      <c r="D8" s="392">
        <f>COVER!A13</f>
        <v>34049106002</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12286600</v>
      </c>
      <c r="I12" s="404"/>
      <c r="J12" s="404"/>
      <c r="K12" s="405">
        <f>TRUNC((H12/H13*100000),5)/100000</f>
        <v>2.2265904547000002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5518123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-600000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4650653</v>
      </c>
      <c r="I17" s="404"/>
      <c r="J17" s="416"/>
      <c r="K17" s="405">
        <f>TRUNC((H17/H18*100000),5)/100000</f>
        <v>0.8427961826</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5518123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-600000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15639245</v>
      </c>
      <c r="I24" s="422"/>
      <c r="J24" s="422"/>
      <c r="K24" s="423">
        <f>TRUNC(((H24/H25*100000)/100000),2)</f>
        <v>1210.6099999999999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12918.48056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4521241.75385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14739696.717000002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topLeftCell="B1" colorId="8" zoomScale="110" zoomScaleNormal="110" workbookViewId="0">
      <pane ySplit="2" topLeftCell="A3" activePane="bottomLeft" state="frozen"/>
      <selection activeCell="X26" sqref="X26"/>
      <selection pane="bottomLeft" activeCell="X26" sqref="X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0"/>
      <c r="D3" s="1581"/>
      <c r="E3" s="1581"/>
      <c r="F3" s="1581"/>
      <c r="G3" s="1581"/>
      <c r="H3" s="1581"/>
      <c r="I3" s="1581"/>
      <c r="J3" s="1581"/>
      <c r="K3" s="1581"/>
      <c r="L3" s="1581"/>
      <c r="M3" s="1582"/>
      <c r="N3" s="1583"/>
    </row>
    <row r="4" spans="1:14" ht="13.5" customHeight="1" x14ac:dyDescent="0.2">
      <c r="A4" s="463" t="s">
        <v>1750</v>
      </c>
      <c r="B4" s="464"/>
      <c r="C4" s="465">
        <v>2075797</v>
      </c>
      <c r="D4" s="466">
        <v>249526</v>
      </c>
      <c r="E4" s="466">
        <v>0</v>
      </c>
      <c r="F4" s="466">
        <v>53324</v>
      </c>
      <c r="G4" s="466">
        <v>52884</v>
      </c>
      <c r="H4" s="466">
        <v>68138</v>
      </c>
      <c r="I4" s="466">
        <v>378057</v>
      </c>
      <c r="J4" s="467">
        <v>0</v>
      </c>
      <c r="K4" s="466">
        <v>0</v>
      </c>
      <c r="L4" s="466">
        <v>2520</v>
      </c>
      <c r="M4" s="468"/>
      <c r="N4" s="469"/>
    </row>
    <row r="5" spans="1:14" x14ac:dyDescent="0.2">
      <c r="A5" s="463" t="s">
        <v>1049</v>
      </c>
      <c r="B5" s="470">
        <v>120</v>
      </c>
      <c r="C5" s="465">
        <v>9700547</v>
      </c>
      <c r="D5" s="466">
        <v>1166078</v>
      </c>
      <c r="E5" s="466">
        <v>0</v>
      </c>
      <c r="F5" s="466">
        <v>249192</v>
      </c>
      <c r="G5" s="466">
        <v>247138</v>
      </c>
      <c r="H5" s="466">
        <v>318421</v>
      </c>
      <c r="I5" s="466">
        <v>1766724</v>
      </c>
      <c r="J5" s="467">
        <v>0</v>
      </c>
      <c r="K5" s="471">
        <v>0</v>
      </c>
      <c r="L5" s="472"/>
      <c r="M5" s="468"/>
      <c r="N5" s="469"/>
    </row>
    <row r="6" spans="1:14" ht="13.5" customHeight="1" x14ac:dyDescent="0.2">
      <c r="A6" s="473" t="s">
        <v>437</v>
      </c>
      <c r="B6" s="470">
        <v>130</v>
      </c>
      <c r="C6" s="465">
        <v>1718430</v>
      </c>
      <c r="D6" s="466">
        <v>415520</v>
      </c>
      <c r="E6" s="466">
        <v>0</v>
      </c>
      <c r="F6" s="466">
        <v>40894</v>
      </c>
      <c r="G6" s="471">
        <v>52778</v>
      </c>
      <c r="H6" s="471">
        <v>0</v>
      </c>
      <c r="I6" s="466">
        <v>19955</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22086</v>
      </c>
      <c r="D8" s="467">
        <v>0</v>
      </c>
      <c r="E8" s="467">
        <v>0</v>
      </c>
      <c r="F8" s="467">
        <v>14586</v>
      </c>
      <c r="G8" s="478">
        <v>0</v>
      </c>
      <c r="H8" s="467">
        <v>0</v>
      </c>
      <c r="I8" s="474">
        <v>0</v>
      </c>
      <c r="J8" s="474">
        <v>0</v>
      </c>
      <c r="K8" s="479">
        <v>0</v>
      </c>
      <c r="L8" s="480"/>
      <c r="M8" s="468"/>
      <c r="N8" s="469"/>
    </row>
    <row r="9" spans="1:14" ht="13.5" customHeight="1" x14ac:dyDescent="0.2">
      <c r="A9" s="473" t="s">
        <v>288</v>
      </c>
      <c r="B9" s="470">
        <v>160</v>
      </c>
      <c r="C9" s="476">
        <v>1500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34887</v>
      </c>
      <c r="D11" s="467">
        <v>26709</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91702</v>
      </c>
      <c r="D12" s="466">
        <v>11023</v>
      </c>
      <c r="E12" s="466">
        <v>0</v>
      </c>
      <c r="F12" s="466">
        <v>2356</v>
      </c>
      <c r="G12" s="466">
        <v>2336</v>
      </c>
      <c r="H12" s="466">
        <v>3010</v>
      </c>
      <c r="I12" s="466">
        <v>16701</v>
      </c>
      <c r="J12" s="467">
        <v>0</v>
      </c>
      <c r="K12" s="466">
        <v>0</v>
      </c>
      <c r="L12" s="466"/>
      <c r="M12" s="469"/>
      <c r="N12" s="469"/>
    </row>
    <row r="13" spans="1:14" ht="13.5" customHeight="1" thickBot="1" x14ac:dyDescent="0.25">
      <c r="A13" s="1757" t="s">
        <v>665</v>
      </c>
      <c r="B13" s="1730"/>
      <c r="C13" s="1758">
        <f>SUM(C4:C12)</f>
        <v>13644949</v>
      </c>
      <c r="D13" s="1758">
        <f t="shared" ref="D13:L13" si="0">SUM(D4:D12)</f>
        <v>1868856</v>
      </c>
      <c r="E13" s="1758">
        <f t="shared" si="0"/>
        <v>0</v>
      </c>
      <c r="F13" s="1758">
        <f t="shared" si="0"/>
        <v>360352</v>
      </c>
      <c r="G13" s="1758">
        <f t="shared" si="0"/>
        <v>355136</v>
      </c>
      <c r="H13" s="1758">
        <f t="shared" si="0"/>
        <v>389569</v>
      </c>
      <c r="I13" s="1758">
        <f t="shared" si="0"/>
        <v>2181437</v>
      </c>
      <c r="J13" s="1758">
        <f t="shared" si="0"/>
        <v>0</v>
      </c>
      <c r="K13" s="1758">
        <f t="shared" si="0"/>
        <v>0</v>
      </c>
      <c r="L13" s="1758">
        <f t="shared" si="0"/>
        <v>2520</v>
      </c>
      <c r="M13" s="468"/>
      <c r="N13" s="469"/>
    </row>
    <row r="14" spans="1:14" ht="18" customHeight="1" thickTop="1" x14ac:dyDescent="0.2">
      <c r="A14" s="2129" t="s">
        <v>149</v>
      </c>
      <c r="B14" s="2130"/>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382477</v>
      </c>
      <c r="N16" s="484"/>
    </row>
    <row r="17" spans="1:14" s="485" customFormat="1" ht="12.75" customHeight="1" x14ac:dyDescent="0.2">
      <c r="A17" s="482" t="s">
        <v>1470</v>
      </c>
      <c r="B17" s="483">
        <v>230</v>
      </c>
      <c r="C17" s="477"/>
      <c r="D17" s="477"/>
      <c r="E17" s="477"/>
      <c r="F17" s="477"/>
      <c r="G17" s="477"/>
      <c r="H17" s="477"/>
      <c r="I17" s="477"/>
      <c r="J17" s="477"/>
      <c r="K17" s="477"/>
      <c r="L17" s="477"/>
      <c r="M17" s="467">
        <v>12589537</v>
      </c>
      <c r="N17" s="484"/>
    </row>
    <row r="18" spans="1:14" s="485" customFormat="1" ht="12.75" customHeight="1" x14ac:dyDescent="0.2">
      <c r="A18" s="482" t="s">
        <v>1471</v>
      </c>
      <c r="B18" s="483">
        <v>240</v>
      </c>
      <c r="C18" s="477"/>
      <c r="D18" s="477"/>
      <c r="E18" s="477"/>
      <c r="F18" s="477"/>
      <c r="G18" s="477"/>
      <c r="H18" s="477"/>
      <c r="I18" s="477"/>
      <c r="J18" s="477"/>
      <c r="K18" s="477"/>
      <c r="L18" s="477"/>
      <c r="M18" s="467">
        <v>1320054</v>
      </c>
      <c r="N18" s="484"/>
    </row>
    <row r="19" spans="1:14" s="485" customFormat="1" ht="12.75" customHeight="1" x14ac:dyDescent="0.2">
      <c r="A19" s="482" t="s">
        <v>1472</v>
      </c>
      <c r="B19" s="483">
        <v>250</v>
      </c>
      <c r="C19" s="477"/>
      <c r="D19" s="477"/>
      <c r="E19" s="477"/>
      <c r="F19" s="477"/>
      <c r="G19" s="477"/>
      <c r="H19" s="477"/>
      <c r="I19" s="477"/>
      <c r="J19" s="477"/>
      <c r="K19" s="477"/>
      <c r="L19" s="477"/>
      <c r="M19" s="467">
        <v>1221605</v>
      </c>
      <c r="N19" s="484"/>
    </row>
    <row r="20" spans="1:14" s="485" customFormat="1" ht="12.75" customHeight="1" x14ac:dyDescent="0.2">
      <c r="A20" s="482" t="s">
        <v>1473</v>
      </c>
      <c r="B20" s="483">
        <v>260</v>
      </c>
      <c r="C20" s="477"/>
      <c r="D20" s="477"/>
      <c r="E20" s="477"/>
      <c r="F20" s="477"/>
      <c r="G20" s="477"/>
      <c r="H20" s="477"/>
      <c r="I20" s="477"/>
      <c r="J20" s="477"/>
      <c r="K20" s="477"/>
      <c r="L20" s="477"/>
      <c r="M20" s="467">
        <v>4987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15518660</v>
      </c>
      <c r="N23" s="1709">
        <f>SUM(N21:N22)</f>
        <v>0</v>
      </c>
    </row>
    <row r="24" spans="1:14" ht="18" customHeight="1" thickTop="1" x14ac:dyDescent="0.2">
      <c r="A24" s="2131" t="s">
        <v>619</v>
      </c>
      <c r="B24" s="2132"/>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347812</v>
      </c>
      <c r="D27" s="467">
        <v>46456</v>
      </c>
      <c r="E27" s="467">
        <v>0</v>
      </c>
      <c r="F27" s="467">
        <v>7519</v>
      </c>
      <c r="G27" s="467">
        <v>0</v>
      </c>
      <c r="H27" s="467">
        <v>13590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34</v>
      </c>
      <c r="D30" s="474">
        <v>0</v>
      </c>
      <c r="E30" s="467">
        <v>0</v>
      </c>
      <c r="F30" s="467">
        <v>0</v>
      </c>
      <c r="G30" s="467">
        <v>4218</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4202256</v>
      </c>
      <c r="D32" s="492">
        <v>1016114</v>
      </c>
      <c r="E32" s="474">
        <v>0</v>
      </c>
      <c r="F32" s="474">
        <v>100004</v>
      </c>
      <c r="G32" s="474">
        <v>129065</v>
      </c>
      <c r="H32" s="474">
        <v>0</v>
      </c>
      <c r="I32" s="474">
        <v>48799</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2520</v>
      </c>
      <c r="M33" s="468"/>
      <c r="N33" s="469"/>
    </row>
    <row r="34" spans="1:14" ht="13.5" customHeight="1" thickBot="1" x14ac:dyDescent="0.25">
      <c r="A34" s="1759" t="s">
        <v>675</v>
      </c>
      <c r="B34" s="1760"/>
      <c r="C34" s="1761">
        <f>SUM(C25:C33)</f>
        <v>4550102</v>
      </c>
      <c r="D34" s="1761">
        <f t="shared" ref="D34:K34" si="1">SUM(D25:D33)</f>
        <v>1062570</v>
      </c>
      <c r="E34" s="1761">
        <f t="shared" si="1"/>
        <v>0</v>
      </c>
      <c r="F34" s="1761">
        <f t="shared" si="1"/>
        <v>107523</v>
      </c>
      <c r="G34" s="1761">
        <f t="shared" si="1"/>
        <v>133283</v>
      </c>
      <c r="H34" s="1761">
        <f t="shared" si="1"/>
        <v>13590</v>
      </c>
      <c r="I34" s="1761">
        <f t="shared" si="1"/>
        <v>48799</v>
      </c>
      <c r="J34" s="1761">
        <f t="shared" si="1"/>
        <v>0</v>
      </c>
      <c r="K34" s="1761">
        <f t="shared" si="1"/>
        <v>0</v>
      </c>
      <c r="L34" s="1742">
        <f>SUM(L33)</f>
        <v>2520</v>
      </c>
      <c r="M34" s="468"/>
      <c r="N34" s="480"/>
    </row>
    <row r="35" spans="1:14" ht="18" customHeight="1" thickTop="1" x14ac:dyDescent="0.2">
      <c r="A35" s="2133" t="s">
        <v>550</v>
      </c>
      <c r="B35" s="2134"/>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9094847</v>
      </c>
      <c r="D39" s="466">
        <v>806286</v>
      </c>
      <c r="E39" s="466">
        <v>0</v>
      </c>
      <c r="F39" s="466">
        <v>252829</v>
      </c>
      <c r="G39" s="466">
        <v>221853</v>
      </c>
      <c r="H39" s="466">
        <v>375979</v>
      </c>
      <c r="I39" s="466">
        <v>2132638</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15518660</v>
      </c>
      <c r="N40" s="497"/>
    </row>
    <row r="41" spans="1:14" ht="13.5" customHeight="1" thickBot="1" x14ac:dyDescent="0.25">
      <c r="A41" s="1757" t="s">
        <v>676</v>
      </c>
      <c r="B41" s="1727"/>
      <c r="C41" s="1709">
        <f>(SUM(C34,C37,C38,C39))</f>
        <v>13644949</v>
      </c>
      <c r="D41" s="1709">
        <f t="shared" ref="D41:L41" si="2">SUM(D34,D37,D38:D39)</f>
        <v>1868856</v>
      </c>
      <c r="E41" s="1709">
        <f t="shared" si="2"/>
        <v>0</v>
      </c>
      <c r="F41" s="1709">
        <f t="shared" si="2"/>
        <v>360352</v>
      </c>
      <c r="G41" s="1709">
        <f t="shared" si="2"/>
        <v>355136</v>
      </c>
      <c r="H41" s="1709">
        <f t="shared" si="2"/>
        <v>389569</v>
      </c>
      <c r="I41" s="1709">
        <f t="shared" si="2"/>
        <v>2181437</v>
      </c>
      <c r="J41" s="1709">
        <f t="shared" si="2"/>
        <v>0</v>
      </c>
      <c r="K41" s="1709">
        <f t="shared" si="2"/>
        <v>0</v>
      </c>
      <c r="L41" s="1709">
        <f t="shared" si="2"/>
        <v>2520</v>
      </c>
      <c r="M41" s="1709">
        <f>SUM(M40)</f>
        <v>15518660</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topLeftCell="B1" colorId="8" zoomScale="110" zoomScaleNormal="110" zoomScaleSheetLayoutView="100" workbookViewId="0">
      <pane ySplit="2" topLeftCell="A60" activePane="bottomLeft" state="frozenSplit"/>
      <selection activeCell="X26" sqref="X26"/>
      <selection pane="bottomLeft" activeCell="X26" sqref="X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4"/>
      <c r="D3" s="1595"/>
      <c r="E3" s="1595"/>
      <c r="F3" s="1595"/>
      <c r="G3" s="1595"/>
      <c r="H3" s="1595"/>
      <c r="I3" s="1595"/>
      <c r="J3" s="1595"/>
      <c r="K3" s="1596"/>
      <c r="L3" s="506"/>
    </row>
    <row r="4" spans="1:13" ht="15.75" customHeight="1" x14ac:dyDescent="0.2">
      <c r="A4" s="1953" t="s">
        <v>1579</v>
      </c>
      <c r="B4" s="1954">
        <v>1000</v>
      </c>
      <c r="C4" s="1763">
        <f>'Revenues 9-14'!C109</f>
        <v>4596476</v>
      </c>
      <c r="D4" s="1763">
        <f>'Revenues 9-14'!D109</f>
        <v>1056634</v>
      </c>
      <c r="E4" s="1763">
        <f>'Revenues 9-14'!E109</f>
        <v>0</v>
      </c>
      <c r="F4" s="1763">
        <f>'Revenues 9-14'!F109</f>
        <v>104164</v>
      </c>
      <c r="G4" s="1763">
        <f>'Revenues 9-14'!G109</f>
        <v>132644</v>
      </c>
      <c r="H4" s="1763">
        <f>'Revenues 9-14'!H109</f>
        <v>5243</v>
      </c>
      <c r="I4" s="1763">
        <f>'Revenues 9-14'!I109</f>
        <v>76596</v>
      </c>
      <c r="J4" s="1763">
        <f>'Revenues 9-14'!J109</f>
        <v>0</v>
      </c>
      <c r="K4" s="1763">
        <f>'Revenues 9-14'!K109</f>
        <v>0</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141711</v>
      </c>
      <c r="D6" s="1764">
        <f>'Revenues 9-14'!D173</f>
        <v>0</v>
      </c>
      <c r="E6" s="1764">
        <f>'Revenues 9-14'!E173</f>
        <v>0</v>
      </c>
      <c r="F6" s="1764">
        <f>'Revenues 9-14'!F173</f>
        <v>58275</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84267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4822454</v>
      </c>
      <c r="D8" s="1709">
        <f t="shared" ref="D8:K8" si="0">SUM(D4:D7)</f>
        <v>1056634</v>
      </c>
      <c r="E8" s="1709">
        <f t="shared" si="0"/>
        <v>0</v>
      </c>
      <c r="F8" s="1709">
        <f t="shared" si="0"/>
        <v>162439</v>
      </c>
      <c r="G8" s="1709">
        <f t="shared" si="0"/>
        <v>132644</v>
      </c>
      <c r="H8" s="1709">
        <f t="shared" si="0"/>
        <v>5243</v>
      </c>
      <c r="I8" s="1709">
        <f t="shared" si="0"/>
        <v>76596</v>
      </c>
      <c r="J8" s="1709">
        <f t="shared" si="0"/>
        <v>0</v>
      </c>
      <c r="K8" s="1709">
        <f t="shared" si="0"/>
        <v>0</v>
      </c>
      <c r="L8" s="347"/>
    </row>
    <row r="9" spans="1:13" ht="15.75" thickTop="1" x14ac:dyDescent="0.2">
      <c r="A9" s="514" t="s">
        <v>1752</v>
      </c>
      <c r="B9" s="515">
        <v>3998</v>
      </c>
      <c r="C9" s="481">
        <v>1394357</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6216811</v>
      </c>
      <c r="D10" s="1709">
        <f t="shared" ref="D10:K10" si="1">SUM(D8:D9)</f>
        <v>1056634</v>
      </c>
      <c r="E10" s="1709">
        <f t="shared" si="1"/>
        <v>0</v>
      </c>
      <c r="F10" s="1709">
        <f t="shared" si="1"/>
        <v>162439</v>
      </c>
      <c r="G10" s="1709">
        <f t="shared" si="1"/>
        <v>132644</v>
      </c>
      <c r="H10" s="1709">
        <f t="shared" si="1"/>
        <v>5243</v>
      </c>
      <c r="I10" s="1709">
        <f t="shared" si="1"/>
        <v>76596</v>
      </c>
      <c r="J10" s="1709">
        <f t="shared" si="1"/>
        <v>0</v>
      </c>
      <c r="K10" s="1709">
        <f t="shared" si="1"/>
        <v>0</v>
      </c>
      <c r="L10" s="518"/>
    </row>
    <row r="11" spans="1:13" s="519" customFormat="1" ht="16.7" customHeight="1" thickTop="1" x14ac:dyDescent="0.2">
      <c r="A11" s="2129" t="s">
        <v>1238</v>
      </c>
      <c r="B11" s="2130"/>
      <c r="C11" s="1591"/>
      <c r="D11" s="1592"/>
      <c r="E11" s="1592"/>
      <c r="F11" s="1592"/>
      <c r="G11" s="1592"/>
      <c r="H11" s="1592"/>
      <c r="I11" s="1592"/>
      <c r="J11" s="1592"/>
      <c r="K11" s="1593"/>
      <c r="L11" s="518"/>
    </row>
    <row r="12" spans="1:13" ht="15.75" customHeight="1" x14ac:dyDescent="0.2">
      <c r="A12" s="1597" t="s">
        <v>476</v>
      </c>
      <c r="B12" s="1599">
        <v>1000</v>
      </c>
      <c r="C12" s="1763">
        <f>'Expenditures 15-22'!K33</f>
        <v>2269633</v>
      </c>
      <c r="D12" s="520" t="s">
        <v>1231</v>
      </c>
      <c r="E12" s="468" t="s">
        <v>1231</v>
      </c>
      <c r="F12" s="468" t="s">
        <v>1231</v>
      </c>
      <c r="G12" s="1763">
        <f>'Expenditures 15-22'!K229</f>
        <v>34043</v>
      </c>
      <c r="H12" s="521"/>
      <c r="I12" s="468" t="s">
        <v>1231</v>
      </c>
      <c r="J12" s="468" t="s">
        <v>1231</v>
      </c>
      <c r="K12" s="521" t="s">
        <v>1231</v>
      </c>
      <c r="L12" s="347"/>
    </row>
    <row r="13" spans="1:13" ht="15.75" customHeight="1" x14ac:dyDescent="0.2">
      <c r="A13" s="1597" t="s">
        <v>477</v>
      </c>
      <c r="B13" s="1599">
        <v>2000</v>
      </c>
      <c r="C13" s="1764">
        <f>'Expenditures 15-22'!K74</f>
        <v>1245293</v>
      </c>
      <c r="D13" s="1764">
        <f>'Expenditures 15-22'!K129</f>
        <v>550739</v>
      </c>
      <c r="E13" s="469" t="s">
        <v>1231</v>
      </c>
      <c r="F13" s="1764">
        <f>'Expenditures 15-22'!K184</f>
        <v>108054</v>
      </c>
      <c r="G13" s="1764">
        <f>'Expenditures 15-22'!K279</f>
        <v>82008</v>
      </c>
      <c r="H13" s="1764">
        <f>'Expenditures 15-22'!K303</f>
        <v>1201411</v>
      </c>
      <c r="I13" s="468" t="s">
        <v>1231</v>
      </c>
      <c r="J13" s="1764">
        <f>'Expenditures 15-22'!K330</f>
        <v>0</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451785</v>
      </c>
      <c r="D15" s="1764">
        <f>'Expenditures 15-22'!K139</f>
        <v>0</v>
      </c>
      <c r="E15" s="1764">
        <f>'Expenditures 15-22'!K160</f>
        <v>0</v>
      </c>
      <c r="F15" s="1764">
        <f>'Expenditures 15-22'!K196</f>
        <v>25149</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3966711</v>
      </c>
      <c r="D17" s="1709">
        <f t="shared" si="2"/>
        <v>550739</v>
      </c>
      <c r="E17" s="1709">
        <f t="shared" si="2"/>
        <v>0</v>
      </c>
      <c r="F17" s="1709">
        <f t="shared" si="2"/>
        <v>133203</v>
      </c>
      <c r="G17" s="1709">
        <f t="shared" si="2"/>
        <v>116051</v>
      </c>
      <c r="H17" s="1709">
        <f t="shared" si="2"/>
        <v>1201411</v>
      </c>
      <c r="I17" s="468"/>
      <c r="J17" s="1709">
        <f>SUM(J12:J16)</f>
        <v>0</v>
      </c>
      <c r="K17" s="1709">
        <f>SUM(K12:K16)</f>
        <v>0</v>
      </c>
      <c r="L17" s="347"/>
    </row>
    <row r="18" spans="1:12" ht="15" customHeight="1" thickTop="1" x14ac:dyDescent="0.2">
      <c r="A18" s="1765" t="s">
        <v>1753</v>
      </c>
      <c r="B18" s="1766">
        <v>4180</v>
      </c>
      <c r="C18" s="1763">
        <f t="shared" ref="C18:H18" si="3">C9</f>
        <v>1394357</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5361068</v>
      </c>
      <c r="D19" s="1709">
        <f t="shared" si="4"/>
        <v>550739</v>
      </c>
      <c r="E19" s="1709">
        <f t="shared" si="4"/>
        <v>0</v>
      </c>
      <c r="F19" s="1709">
        <f t="shared" si="4"/>
        <v>133203</v>
      </c>
      <c r="G19" s="1709">
        <f t="shared" si="4"/>
        <v>116051</v>
      </c>
      <c r="H19" s="1709">
        <f t="shared" si="4"/>
        <v>1201411</v>
      </c>
      <c r="I19" s="468"/>
      <c r="J19" s="1709">
        <f>SUM(J17:J18)</f>
        <v>0</v>
      </c>
      <c r="K19" s="1709">
        <f>SUM(K17:K18)</f>
        <v>0</v>
      </c>
      <c r="L19" s="347"/>
    </row>
    <row r="20" spans="1:12" ht="16.5" thickTop="1" thickBot="1" x14ac:dyDescent="0.25">
      <c r="A20" s="2145" t="s">
        <v>1754</v>
      </c>
      <c r="B20" s="2146"/>
      <c r="C20" s="1767">
        <f>C8-C17</f>
        <v>855743</v>
      </c>
      <c r="D20" s="1767">
        <f t="shared" ref="D20:K20" si="5">D8-D17</f>
        <v>505895</v>
      </c>
      <c r="E20" s="1767">
        <f t="shared" si="5"/>
        <v>0</v>
      </c>
      <c r="F20" s="1767">
        <f t="shared" si="5"/>
        <v>29236</v>
      </c>
      <c r="G20" s="1767">
        <f t="shared" si="5"/>
        <v>16593</v>
      </c>
      <c r="H20" s="1767">
        <f t="shared" si="5"/>
        <v>-1196168</v>
      </c>
      <c r="I20" s="1767">
        <f t="shared" si="5"/>
        <v>76596</v>
      </c>
      <c r="J20" s="1767">
        <f t="shared" si="5"/>
        <v>0</v>
      </c>
      <c r="K20" s="1767">
        <f t="shared" si="5"/>
        <v>0</v>
      </c>
      <c r="L20" s="347"/>
    </row>
    <row r="21" spans="1:12" ht="16.7" customHeight="1" thickTop="1" x14ac:dyDescent="0.2">
      <c r="A21" s="2157" t="s">
        <v>616</v>
      </c>
      <c r="B21" s="2158"/>
      <c r="C21" s="1591"/>
      <c r="D21" s="1592"/>
      <c r="E21" s="1592"/>
      <c r="F21" s="1592"/>
      <c r="G21" s="1592"/>
      <c r="H21" s="1592"/>
      <c r="I21" s="1592"/>
      <c r="J21" s="1592"/>
      <c r="K21" s="1593"/>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400000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1500000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9" t="s">
        <v>392</v>
      </c>
      <c r="B44" s="2160"/>
      <c r="C44" s="1724">
        <f>SUM(C24:C43)</f>
        <v>0</v>
      </c>
      <c r="D44" s="1724">
        <f t="shared" ref="D44:K44" si="6">SUM(D24:D43)</f>
        <v>400000</v>
      </c>
      <c r="E44" s="1724">
        <f t="shared" si="6"/>
        <v>0</v>
      </c>
      <c r="F44" s="1724">
        <f t="shared" si="6"/>
        <v>0</v>
      </c>
      <c r="G44" s="1724">
        <f t="shared" si="6"/>
        <v>0</v>
      </c>
      <c r="H44" s="1724">
        <f t="shared" si="6"/>
        <v>1500000</v>
      </c>
      <c r="I44" s="1724">
        <f t="shared" si="6"/>
        <v>0</v>
      </c>
      <c r="J44" s="1724">
        <f t="shared" si="6"/>
        <v>0</v>
      </c>
      <c r="K44" s="1724">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400000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600000</v>
      </c>
      <c r="E72" s="477"/>
      <c r="F72" s="477"/>
      <c r="G72" s="477"/>
      <c r="H72" s="477"/>
      <c r="I72" s="477"/>
      <c r="J72" s="477"/>
      <c r="K72" s="477"/>
      <c r="L72" s="524"/>
    </row>
    <row r="73" spans="1:12" s="485" customFormat="1" ht="14.25" thickTop="1" thickBot="1" x14ac:dyDescent="0.25">
      <c r="A73" s="1511" t="s">
        <v>776</v>
      </c>
      <c r="B73" s="483">
        <v>8840</v>
      </c>
      <c r="C73" s="531">
        <v>900000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5" t="s">
        <v>460</v>
      </c>
      <c r="B76" s="2136"/>
      <c r="C76" s="1724">
        <f t="shared" ref="C76:K76" si="7">SUM(C47:C75)</f>
        <v>900000</v>
      </c>
      <c r="D76" s="1724">
        <f t="shared" si="7"/>
        <v>600000</v>
      </c>
      <c r="E76" s="1724">
        <f t="shared" si="7"/>
        <v>0</v>
      </c>
      <c r="F76" s="1724">
        <f t="shared" si="7"/>
        <v>400000</v>
      </c>
      <c r="G76" s="1724">
        <f t="shared" si="7"/>
        <v>0</v>
      </c>
      <c r="H76" s="1724">
        <f t="shared" si="7"/>
        <v>0</v>
      </c>
      <c r="I76" s="1724">
        <f t="shared" si="7"/>
        <v>0</v>
      </c>
      <c r="J76" s="1724">
        <f t="shared" si="7"/>
        <v>0</v>
      </c>
      <c r="K76" s="1724">
        <f t="shared" si="7"/>
        <v>0</v>
      </c>
      <c r="L76" s="524"/>
    </row>
    <row r="77" spans="1:12" ht="14.25" thickTop="1" thickBot="1" x14ac:dyDescent="0.25">
      <c r="A77" s="2137" t="s">
        <v>1239</v>
      </c>
      <c r="B77" s="2138"/>
      <c r="C77" s="1724">
        <f t="shared" ref="C77:K77" si="8">C44-C76</f>
        <v>-900000</v>
      </c>
      <c r="D77" s="1724">
        <f t="shared" si="8"/>
        <v>-200000</v>
      </c>
      <c r="E77" s="1724">
        <f t="shared" si="8"/>
        <v>0</v>
      </c>
      <c r="F77" s="1724">
        <f t="shared" si="8"/>
        <v>-400000</v>
      </c>
      <c r="G77" s="1724">
        <f t="shared" si="8"/>
        <v>0</v>
      </c>
      <c r="H77" s="1724">
        <f t="shared" si="8"/>
        <v>1500000</v>
      </c>
      <c r="I77" s="1724">
        <f t="shared" si="8"/>
        <v>0</v>
      </c>
      <c r="J77" s="1724">
        <f t="shared" si="8"/>
        <v>0</v>
      </c>
      <c r="K77" s="1724">
        <f t="shared" si="8"/>
        <v>0</v>
      </c>
      <c r="L77" s="347"/>
    </row>
    <row r="78" spans="1:12" ht="21.75" customHeight="1" thickTop="1" thickBot="1" x14ac:dyDescent="0.25">
      <c r="A78" s="2141" t="s">
        <v>618</v>
      </c>
      <c r="B78" s="2142"/>
      <c r="C78" s="1723">
        <f t="shared" ref="C78:K78" si="9">C20+C77</f>
        <v>-44257</v>
      </c>
      <c r="D78" s="1723">
        <f t="shared" si="9"/>
        <v>305895</v>
      </c>
      <c r="E78" s="1723">
        <f t="shared" si="9"/>
        <v>0</v>
      </c>
      <c r="F78" s="1723">
        <f t="shared" si="9"/>
        <v>-370764</v>
      </c>
      <c r="G78" s="1723">
        <f t="shared" si="9"/>
        <v>16593</v>
      </c>
      <c r="H78" s="1723">
        <f t="shared" si="9"/>
        <v>303832</v>
      </c>
      <c r="I78" s="1723">
        <f t="shared" si="9"/>
        <v>76596</v>
      </c>
      <c r="J78" s="1723">
        <f t="shared" si="9"/>
        <v>0</v>
      </c>
      <c r="K78" s="1723">
        <f t="shared" si="9"/>
        <v>0</v>
      </c>
      <c r="L78" s="533"/>
    </row>
    <row r="79" spans="1:12" ht="13.5" thickTop="1" x14ac:dyDescent="0.2">
      <c r="A79" s="1515" t="s">
        <v>2073</v>
      </c>
      <c r="B79" s="534"/>
      <c r="C79" s="478">
        <v>9139104</v>
      </c>
      <c r="D79" s="535">
        <v>500391</v>
      </c>
      <c r="E79" s="535">
        <v>0</v>
      </c>
      <c r="F79" s="535">
        <v>623593</v>
      </c>
      <c r="G79" s="535">
        <v>205260</v>
      </c>
      <c r="H79" s="535">
        <v>72147</v>
      </c>
      <c r="I79" s="535">
        <v>2056042</v>
      </c>
      <c r="J79" s="535">
        <v>0</v>
      </c>
      <c r="K79" s="535">
        <v>0</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09">
        <f>(SUM(C78:C80))</f>
        <v>9094847</v>
      </c>
      <c r="D81" s="1709">
        <f>SUM(D78:D80)</f>
        <v>806286</v>
      </c>
      <c r="E81" s="1709">
        <f t="shared" ref="E81:K81" si="10">SUM(E78:E80)</f>
        <v>0</v>
      </c>
      <c r="F81" s="1709">
        <f t="shared" si="10"/>
        <v>252829</v>
      </c>
      <c r="G81" s="1709">
        <f t="shared" si="10"/>
        <v>221853</v>
      </c>
      <c r="H81" s="1709">
        <f t="shared" si="10"/>
        <v>375979</v>
      </c>
      <c r="I81" s="1709">
        <f t="shared" si="10"/>
        <v>2132638</v>
      </c>
      <c r="J81" s="1709">
        <f t="shared" si="10"/>
        <v>0</v>
      </c>
      <c r="K81" s="1709">
        <f t="shared" si="10"/>
        <v>0</v>
      </c>
      <c r="L81" s="347"/>
    </row>
    <row r="82" spans="1:12" ht="0.75" customHeight="1" thickTop="1" thickBot="1" x14ac:dyDescent="0.25">
      <c r="A82" s="536" t="s">
        <v>361</v>
      </c>
      <c r="B82" s="537"/>
      <c r="C82" s="538">
        <f>(C81-C79)</f>
        <v>-44257</v>
      </c>
      <c r="D82" s="538">
        <f t="shared" ref="D82:K82" si="11">(D81-D79)</f>
        <v>305895</v>
      </c>
      <c r="E82" s="538">
        <f t="shared" si="11"/>
        <v>0</v>
      </c>
      <c r="F82" s="538">
        <f t="shared" si="11"/>
        <v>-370764</v>
      </c>
      <c r="G82" s="538">
        <f t="shared" si="11"/>
        <v>16593</v>
      </c>
      <c r="H82" s="538">
        <f t="shared" si="11"/>
        <v>303832</v>
      </c>
      <c r="I82" s="538">
        <f t="shared" si="11"/>
        <v>76596</v>
      </c>
      <c r="J82" s="538">
        <f t="shared" si="11"/>
        <v>0</v>
      </c>
      <c r="K82" s="538">
        <f t="shared" si="11"/>
        <v>0</v>
      </c>
    </row>
    <row r="83" spans="1:12" ht="14.25" hidden="1" thickTop="1" thickBot="1" x14ac:dyDescent="0.25">
      <c r="A83" s="539" t="s">
        <v>362</v>
      </c>
      <c r="B83" s="464"/>
      <c r="C83" s="540">
        <f>C82/C81</f>
        <v>-4.8661621245525075E-3</v>
      </c>
      <c r="D83" s="540">
        <f t="shared" ref="D83:K83" si="12">D82/D81</f>
        <v>0.37938771106034336</v>
      </c>
      <c r="E83" s="540" t="e">
        <f t="shared" si="12"/>
        <v>#DIV/0!</v>
      </c>
      <c r="F83" s="540">
        <f t="shared" si="12"/>
        <v>-1.4664615214235708</v>
      </c>
      <c r="G83" s="540">
        <f t="shared" si="12"/>
        <v>7.4792768184338276E-2</v>
      </c>
      <c r="H83" s="540">
        <f t="shared" si="12"/>
        <v>0.80810896353253769</v>
      </c>
      <c r="I83" s="540">
        <f t="shared" si="12"/>
        <v>3.5916081397780589E-2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04" activePane="bottomLeft" state="frozen"/>
      <selection pane="bottomLeft" activeCell="C221" sqref="C22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4359913</v>
      </c>
      <c r="D5" s="481">
        <v>1042558</v>
      </c>
      <c r="E5" s="466">
        <v>0</v>
      </c>
      <c r="F5" s="548">
        <v>97937</v>
      </c>
      <c r="G5" s="466">
        <v>49355</v>
      </c>
      <c r="H5" s="466">
        <v>0</v>
      </c>
      <c r="I5" s="466">
        <v>47734</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77002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4359913</v>
      </c>
      <c r="D12" s="1728">
        <f t="shared" si="0"/>
        <v>1042558</v>
      </c>
      <c r="E12" s="1728">
        <f t="shared" si="0"/>
        <v>0</v>
      </c>
      <c r="F12" s="1728">
        <f t="shared" si="0"/>
        <v>97937</v>
      </c>
      <c r="G12" s="1728">
        <f t="shared" si="0"/>
        <v>126357</v>
      </c>
      <c r="H12" s="1728">
        <f t="shared" si="0"/>
        <v>0</v>
      </c>
      <c r="I12" s="1728">
        <f t="shared" si="0"/>
        <v>47734</v>
      </c>
      <c r="J12" s="1728">
        <f t="shared" si="0"/>
        <v>0</v>
      </c>
      <c r="K12" s="1709">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23374</v>
      </c>
      <c r="D16" s="466">
        <v>0</v>
      </c>
      <c r="E16" s="466">
        <v>0</v>
      </c>
      <c r="F16" s="466">
        <v>0</v>
      </c>
      <c r="G16" s="466">
        <v>2000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23374</v>
      </c>
      <c r="D18" s="1731">
        <f t="shared" ref="D18:K18" si="1">SUM(D14:D17)</f>
        <v>0</v>
      </c>
      <c r="E18" s="1731">
        <f t="shared" si="1"/>
        <v>0</v>
      </c>
      <c r="F18" s="1731">
        <f t="shared" si="1"/>
        <v>0</v>
      </c>
      <c r="G18" s="1731">
        <f t="shared" si="1"/>
        <v>2000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156081</v>
      </c>
      <c r="D65" s="466">
        <v>14076</v>
      </c>
      <c r="E65" s="466">
        <v>0</v>
      </c>
      <c r="F65" s="467">
        <v>6227</v>
      </c>
      <c r="G65" s="466">
        <v>4287</v>
      </c>
      <c r="H65" s="466">
        <v>5243</v>
      </c>
      <c r="I65" s="466">
        <v>28862</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156081</v>
      </c>
      <c r="D67" s="1709">
        <f t="shared" ref="D67:K67" si="2">SUM(D65:D66)</f>
        <v>14076</v>
      </c>
      <c r="E67" s="1709">
        <f t="shared" si="2"/>
        <v>0</v>
      </c>
      <c r="F67" s="1709">
        <f t="shared" si="2"/>
        <v>6227</v>
      </c>
      <c r="G67" s="1709">
        <f t="shared" si="2"/>
        <v>4287</v>
      </c>
      <c r="H67" s="1709">
        <f t="shared" si="2"/>
        <v>5243</v>
      </c>
      <c r="I67" s="1709">
        <f t="shared" si="2"/>
        <v>28862</v>
      </c>
      <c r="J67" s="1709">
        <f t="shared" si="2"/>
        <v>0</v>
      </c>
      <c r="K67" s="1709">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3452</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3452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28355</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223</v>
      </c>
      <c r="D81" s="466">
        <v>0</v>
      </c>
      <c r="E81" s="468"/>
      <c r="F81" s="468"/>
      <c r="G81" s="468"/>
      <c r="H81" s="468"/>
      <c r="I81" s="468"/>
      <c r="J81" s="468"/>
      <c r="K81" s="468"/>
    </row>
    <row r="82" spans="1:11" ht="12.75" customHeight="1" thickBot="1" x14ac:dyDescent="0.25">
      <c r="A82" s="1729" t="s">
        <v>259</v>
      </c>
      <c r="B82" s="1730"/>
      <c r="C82" s="1728">
        <f>SUM(C77:C81)</f>
        <v>28578</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8810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16268</v>
      </c>
      <c r="D107" s="466">
        <v>0</v>
      </c>
      <c r="E107" s="466">
        <v>0</v>
      </c>
      <c r="F107" s="466">
        <v>0</v>
      </c>
      <c r="G107" s="466">
        <v>0</v>
      </c>
      <c r="H107" s="466">
        <v>0</v>
      </c>
      <c r="I107" s="466">
        <v>0</v>
      </c>
      <c r="J107" s="467">
        <v>0</v>
      </c>
      <c r="K107" s="466">
        <v>0</v>
      </c>
    </row>
    <row r="108" spans="1:12" ht="12.75" customHeight="1" thickBot="1" x14ac:dyDescent="0.25">
      <c r="A108" s="1729" t="s">
        <v>508</v>
      </c>
      <c r="B108" s="1733"/>
      <c r="C108" s="1728">
        <f>SUM(C95:C107)</f>
        <v>25078</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4596476</v>
      </c>
      <c r="D109" s="1736">
        <f t="shared" si="4"/>
        <v>1056634</v>
      </c>
      <c r="E109" s="1736">
        <f t="shared" si="4"/>
        <v>0</v>
      </c>
      <c r="F109" s="1736">
        <f t="shared" si="4"/>
        <v>104164</v>
      </c>
      <c r="G109" s="1736">
        <f t="shared" si="4"/>
        <v>132644</v>
      </c>
      <c r="H109" s="1736">
        <f t="shared" si="4"/>
        <v>5243</v>
      </c>
      <c r="I109" s="1736">
        <f t="shared" si="4"/>
        <v>76596</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140211</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140211</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0</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0</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1697</v>
      </c>
      <c r="G151" s="467">
        <v>0</v>
      </c>
      <c r="H151" s="468"/>
      <c r="I151" s="468"/>
      <c r="J151" s="468"/>
      <c r="K151" s="468"/>
    </row>
    <row r="152" spans="1:11" ht="12.75" customHeight="1" x14ac:dyDescent="0.2">
      <c r="A152" s="463" t="s">
        <v>1117</v>
      </c>
      <c r="B152" s="562">
        <v>3510</v>
      </c>
      <c r="C152" s="551">
        <v>0</v>
      </c>
      <c r="D152" s="466">
        <v>0</v>
      </c>
      <c r="E152" s="561"/>
      <c r="F152" s="466">
        <v>56578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58275</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3" t="s">
        <v>418</v>
      </c>
      <c r="B172" s="2164"/>
      <c r="C172" s="1743">
        <f t="shared" ref="C172:K172" si="6">SUM(C131,C140,C144,C145:C149,C154,C155:C170,C171)</f>
        <v>1500</v>
      </c>
      <c r="D172" s="1743">
        <f t="shared" si="6"/>
        <v>0</v>
      </c>
      <c r="E172" s="1743">
        <f t="shared" si="6"/>
        <v>0</v>
      </c>
      <c r="F172" s="1743">
        <f t="shared" si="6"/>
        <v>58275</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141711</v>
      </c>
      <c r="D173" s="1736">
        <f>SUM(D121,D172)</f>
        <v>0</v>
      </c>
      <c r="E173" s="1736">
        <f>SUM(E121,E172)</f>
        <v>0</v>
      </c>
      <c r="F173" s="1736">
        <f t="shared" ref="F173:K173" si="7">SUM(F121,F172)</f>
        <v>58275</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9" t="s">
        <v>1764</v>
      </c>
      <c r="B178" s="2170"/>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1" t="s">
        <v>818</v>
      </c>
      <c r="B184" s="2172"/>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3963</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3963</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34341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34341</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10000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28123</v>
      </c>
      <c r="D220" s="466">
        <v>0</v>
      </c>
      <c r="E220" s="468"/>
      <c r="F220" s="466">
        <v>0</v>
      </c>
      <c r="G220" s="466">
        <v>0</v>
      </c>
      <c r="H220" s="468"/>
      <c r="I220" s="468"/>
      <c r="J220" s="468"/>
      <c r="K220" s="468"/>
    </row>
    <row r="221" spans="1:11" ht="12.75" customHeight="1" x14ac:dyDescent="0.2">
      <c r="A221" s="463" t="s">
        <v>1114</v>
      </c>
      <c r="B221" s="470">
        <v>4625</v>
      </c>
      <c r="C221" s="551">
        <v>1600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29723</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6240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84267</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84267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4822454</v>
      </c>
      <c r="D275" s="1736">
        <f t="shared" si="12"/>
        <v>1056634</v>
      </c>
      <c r="E275" s="1736">
        <f t="shared" si="12"/>
        <v>0</v>
      </c>
      <c r="F275" s="1736">
        <f t="shared" si="12"/>
        <v>162439</v>
      </c>
      <c r="G275" s="1736">
        <f t="shared" si="12"/>
        <v>132644</v>
      </c>
      <c r="H275" s="1736">
        <f t="shared" si="12"/>
        <v>5243</v>
      </c>
      <c r="I275" s="1736">
        <f t="shared" si="12"/>
        <v>76596</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topLeftCell="B1" colorId="8" zoomScale="110" zoomScaleNormal="110" workbookViewId="0">
      <pane ySplit="2" topLeftCell="A108" activePane="bottomLeft" state="frozen"/>
      <selection pane="bottomLeft" activeCell="L113" sqref="L1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1623620</v>
      </c>
      <c r="D5" s="466">
        <v>291863</v>
      </c>
      <c r="E5" s="466">
        <v>42435</v>
      </c>
      <c r="F5" s="466">
        <v>88520</v>
      </c>
      <c r="G5" s="466">
        <v>0</v>
      </c>
      <c r="H5" s="466">
        <v>0</v>
      </c>
      <c r="I5" s="467">
        <v>0</v>
      </c>
      <c r="J5" s="467">
        <v>0</v>
      </c>
      <c r="K5" s="1692">
        <f>SUM(C5:J5)</f>
        <v>2046438</v>
      </c>
      <c r="L5" s="466">
        <v>2183150</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79715</v>
      </c>
      <c r="D8" s="466">
        <v>21926</v>
      </c>
      <c r="E8" s="466">
        <v>0</v>
      </c>
      <c r="F8" s="466">
        <v>0</v>
      </c>
      <c r="G8" s="466">
        <v>0</v>
      </c>
      <c r="H8" s="466">
        <v>0</v>
      </c>
      <c r="I8" s="467">
        <v>0</v>
      </c>
      <c r="J8" s="467">
        <v>0</v>
      </c>
      <c r="K8" s="1692">
        <f t="shared" si="0"/>
        <v>101641</v>
      </c>
      <c r="L8" s="466">
        <v>120167</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0</v>
      </c>
      <c r="D10" s="466">
        <v>0</v>
      </c>
      <c r="E10" s="466">
        <v>0</v>
      </c>
      <c r="F10" s="466">
        <v>0</v>
      </c>
      <c r="G10" s="466">
        <v>0</v>
      </c>
      <c r="H10" s="466">
        <v>0</v>
      </c>
      <c r="I10" s="467">
        <v>0</v>
      </c>
      <c r="J10" s="467">
        <v>0</v>
      </c>
      <c r="K10" s="1692">
        <f t="shared" si="0"/>
        <v>0</v>
      </c>
      <c r="L10" s="466">
        <v>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0</v>
      </c>
      <c r="D13" s="466">
        <v>0</v>
      </c>
      <c r="E13" s="466">
        <v>0</v>
      </c>
      <c r="F13" s="466">
        <v>0</v>
      </c>
      <c r="G13" s="466">
        <v>0</v>
      </c>
      <c r="H13" s="466">
        <v>0</v>
      </c>
      <c r="I13" s="467">
        <v>0</v>
      </c>
      <c r="J13" s="467">
        <v>0</v>
      </c>
      <c r="K13" s="1692">
        <f t="shared" si="0"/>
        <v>0</v>
      </c>
      <c r="L13" s="466">
        <v>0</v>
      </c>
    </row>
    <row r="14" spans="1:14" x14ac:dyDescent="0.2">
      <c r="A14" s="1525" t="s">
        <v>1020</v>
      </c>
      <c r="B14" s="615">
        <v>1500</v>
      </c>
      <c r="C14" s="466">
        <v>16520</v>
      </c>
      <c r="D14" s="466">
        <v>241</v>
      </c>
      <c r="E14" s="466">
        <v>14896</v>
      </c>
      <c r="F14" s="466">
        <v>5387</v>
      </c>
      <c r="G14" s="466">
        <v>0</v>
      </c>
      <c r="H14" s="466">
        <v>0</v>
      </c>
      <c r="I14" s="467">
        <v>0</v>
      </c>
      <c r="J14" s="467">
        <v>0</v>
      </c>
      <c r="K14" s="1692">
        <f t="shared" si="0"/>
        <v>37044</v>
      </c>
      <c r="L14" s="466">
        <v>49046</v>
      </c>
    </row>
    <row r="15" spans="1:14" x14ac:dyDescent="0.2">
      <c r="A15" s="1525" t="s">
        <v>1021</v>
      </c>
      <c r="B15" s="615">
        <v>1600</v>
      </c>
      <c r="C15" s="466">
        <v>0</v>
      </c>
      <c r="D15" s="466">
        <v>0</v>
      </c>
      <c r="E15" s="466">
        <v>0</v>
      </c>
      <c r="F15" s="466">
        <v>0</v>
      </c>
      <c r="G15" s="466">
        <v>0</v>
      </c>
      <c r="H15" s="466">
        <v>0</v>
      </c>
      <c r="I15" s="467">
        <v>0</v>
      </c>
      <c r="J15" s="467">
        <v>0</v>
      </c>
      <c r="K15" s="1692">
        <f t="shared" si="0"/>
        <v>0</v>
      </c>
      <c r="L15" s="466">
        <v>0</v>
      </c>
    </row>
    <row r="16" spans="1:14" x14ac:dyDescent="0.2">
      <c r="A16" s="1525" t="s">
        <v>1044</v>
      </c>
      <c r="B16" s="615" t="s">
        <v>444</v>
      </c>
      <c r="C16" s="466">
        <v>65616</v>
      </c>
      <c r="D16" s="466">
        <v>18894</v>
      </c>
      <c r="E16" s="466">
        <v>0</v>
      </c>
      <c r="F16" s="466">
        <v>0</v>
      </c>
      <c r="G16" s="466">
        <v>0</v>
      </c>
      <c r="H16" s="466">
        <v>0</v>
      </c>
      <c r="I16" s="467">
        <v>0</v>
      </c>
      <c r="J16" s="467">
        <v>0</v>
      </c>
      <c r="K16" s="1692">
        <f t="shared" si="0"/>
        <v>84510</v>
      </c>
      <c r="L16" s="466">
        <v>87537</v>
      </c>
    </row>
    <row r="17" spans="1:12" x14ac:dyDescent="0.2">
      <c r="A17" s="1525" t="s">
        <v>748</v>
      </c>
      <c r="B17" s="615" t="s">
        <v>164</v>
      </c>
      <c r="C17" s="467">
        <v>0</v>
      </c>
      <c r="D17" s="467">
        <v>0</v>
      </c>
      <c r="E17" s="467">
        <v>0</v>
      </c>
      <c r="F17" s="467">
        <v>0</v>
      </c>
      <c r="G17" s="467">
        <v>0</v>
      </c>
      <c r="H17" s="467">
        <v>0</v>
      </c>
      <c r="I17" s="467">
        <v>0</v>
      </c>
      <c r="J17" s="467">
        <v>0</v>
      </c>
      <c r="K17" s="1692">
        <f t="shared" si="0"/>
        <v>0</v>
      </c>
      <c r="L17" s="466">
        <v>0</v>
      </c>
    </row>
    <row r="18" spans="1:12" x14ac:dyDescent="0.2">
      <c r="A18" s="1525" t="s">
        <v>1148</v>
      </c>
      <c r="B18" s="615">
        <v>1800</v>
      </c>
      <c r="C18" s="466">
        <v>0</v>
      </c>
      <c r="D18" s="466">
        <v>0</v>
      </c>
      <c r="E18" s="466">
        <v>0</v>
      </c>
      <c r="F18" s="466">
        <v>0</v>
      </c>
      <c r="G18" s="466">
        <v>0</v>
      </c>
      <c r="H18" s="466">
        <v>0</v>
      </c>
      <c r="I18" s="467">
        <v>0</v>
      </c>
      <c r="J18" s="467">
        <v>0</v>
      </c>
      <c r="K18" s="1692">
        <f t="shared" si="0"/>
        <v>0</v>
      </c>
      <c r="L18" s="466">
        <v>0</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0</v>
      </c>
      <c r="I21" s="617"/>
      <c r="J21" s="477"/>
      <c r="K21" s="1692">
        <f t="shared" si="0"/>
        <v>0</v>
      </c>
      <c r="L21" s="471">
        <v>0</v>
      </c>
    </row>
    <row r="22" spans="1:12" x14ac:dyDescent="0.2">
      <c r="A22" s="1526" t="s">
        <v>764</v>
      </c>
      <c r="B22" s="603" t="s">
        <v>751</v>
      </c>
      <c r="C22" s="477"/>
      <c r="D22" s="477"/>
      <c r="E22" s="477"/>
      <c r="F22" s="477"/>
      <c r="G22" s="477"/>
      <c r="H22" s="474">
        <v>0</v>
      </c>
      <c r="I22" s="617"/>
      <c r="J22" s="477"/>
      <c r="K22" s="1692">
        <f t="shared" si="0"/>
        <v>0</v>
      </c>
      <c r="L22" s="471">
        <v>0</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1785471</v>
      </c>
      <c r="D33" s="1691">
        <f t="shared" ref="D33:L33" si="1">SUM(D5:D32)</f>
        <v>332924</v>
      </c>
      <c r="E33" s="1691">
        <f t="shared" si="1"/>
        <v>57331</v>
      </c>
      <c r="F33" s="1691">
        <f t="shared" si="1"/>
        <v>93907</v>
      </c>
      <c r="G33" s="1691">
        <f t="shared" si="1"/>
        <v>0</v>
      </c>
      <c r="H33" s="1691">
        <f t="shared" si="1"/>
        <v>0</v>
      </c>
      <c r="I33" s="1691">
        <f t="shared" si="1"/>
        <v>0</v>
      </c>
      <c r="J33" s="1691">
        <f t="shared" si="1"/>
        <v>0</v>
      </c>
      <c r="K33" s="1691">
        <f t="shared" si="1"/>
        <v>2269633</v>
      </c>
      <c r="L33" s="1691">
        <f t="shared" si="1"/>
        <v>2439900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0</v>
      </c>
      <c r="D36" s="481">
        <v>0</v>
      </c>
      <c r="E36" s="481">
        <v>0</v>
      </c>
      <c r="F36" s="481">
        <v>0</v>
      </c>
      <c r="G36" s="481">
        <v>0</v>
      </c>
      <c r="H36" s="481">
        <v>0</v>
      </c>
      <c r="I36" s="467">
        <v>0</v>
      </c>
      <c r="J36" s="467">
        <v>0</v>
      </c>
      <c r="K36" s="1692">
        <f t="shared" ref="K36:K41" si="2">SUM(C36:J36)</f>
        <v>0</v>
      </c>
      <c r="L36" s="466">
        <v>0</v>
      </c>
    </row>
    <row r="37" spans="1:14" x14ac:dyDescent="0.2">
      <c r="A37" s="1525" t="s">
        <v>1151</v>
      </c>
      <c r="B37" s="615">
        <v>2120</v>
      </c>
      <c r="C37" s="466">
        <v>47389</v>
      </c>
      <c r="D37" s="466">
        <v>1697</v>
      </c>
      <c r="E37" s="466">
        <v>0</v>
      </c>
      <c r="F37" s="466">
        <v>0</v>
      </c>
      <c r="G37" s="466">
        <v>0</v>
      </c>
      <c r="H37" s="466">
        <v>0</v>
      </c>
      <c r="I37" s="467">
        <v>0</v>
      </c>
      <c r="J37" s="467">
        <v>0</v>
      </c>
      <c r="K37" s="1692">
        <f t="shared" si="2"/>
        <v>49086</v>
      </c>
      <c r="L37" s="466">
        <v>50030</v>
      </c>
    </row>
    <row r="38" spans="1:14" x14ac:dyDescent="0.2">
      <c r="A38" s="1525" t="s">
        <v>207</v>
      </c>
      <c r="B38" s="615">
        <v>2130</v>
      </c>
      <c r="C38" s="466">
        <v>3018</v>
      </c>
      <c r="D38" s="466">
        <v>0</v>
      </c>
      <c r="E38" s="466">
        <v>0</v>
      </c>
      <c r="F38" s="466">
        <v>0</v>
      </c>
      <c r="G38" s="466">
        <v>0</v>
      </c>
      <c r="H38" s="466">
        <v>0</v>
      </c>
      <c r="I38" s="467">
        <v>0</v>
      </c>
      <c r="J38" s="467">
        <v>0</v>
      </c>
      <c r="K38" s="1692">
        <f t="shared" si="2"/>
        <v>3018</v>
      </c>
      <c r="L38" s="466">
        <v>3018</v>
      </c>
    </row>
    <row r="39" spans="1:14" x14ac:dyDescent="0.2">
      <c r="A39" s="1525" t="s">
        <v>208</v>
      </c>
      <c r="B39" s="615">
        <v>2140</v>
      </c>
      <c r="C39" s="466">
        <v>0</v>
      </c>
      <c r="D39" s="466">
        <v>0</v>
      </c>
      <c r="E39" s="466">
        <v>0</v>
      </c>
      <c r="F39" s="466">
        <v>0</v>
      </c>
      <c r="G39" s="466">
        <v>0</v>
      </c>
      <c r="H39" s="466">
        <v>0</v>
      </c>
      <c r="I39" s="467">
        <v>0</v>
      </c>
      <c r="J39" s="467">
        <v>0</v>
      </c>
      <c r="K39" s="1692">
        <f t="shared" si="2"/>
        <v>0</v>
      </c>
      <c r="L39" s="466">
        <v>0</v>
      </c>
    </row>
    <row r="40" spans="1:14" x14ac:dyDescent="0.2">
      <c r="A40" s="1525" t="s">
        <v>209</v>
      </c>
      <c r="B40" s="615">
        <v>2150</v>
      </c>
      <c r="C40" s="466">
        <v>53838</v>
      </c>
      <c r="D40" s="466">
        <v>2528</v>
      </c>
      <c r="E40" s="466">
        <v>0</v>
      </c>
      <c r="F40" s="466">
        <v>0</v>
      </c>
      <c r="G40" s="466">
        <v>0</v>
      </c>
      <c r="H40" s="466">
        <v>0</v>
      </c>
      <c r="I40" s="467">
        <v>0</v>
      </c>
      <c r="J40" s="467">
        <v>0</v>
      </c>
      <c r="K40" s="1692">
        <f t="shared" si="2"/>
        <v>56366</v>
      </c>
      <c r="L40" s="466">
        <v>56379</v>
      </c>
    </row>
    <row r="41" spans="1:14" x14ac:dyDescent="0.2">
      <c r="A41" s="1525" t="s">
        <v>1768</v>
      </c>
      <c r="B41" s="615">
        <v>2190</v>
      </c>
      <c r="C41" s="466">
        <v>0</v>
      </c>
      <c r="D41" s="466">
        <v>0</v>
      </c>
      <c r="E41" s="466">
        <v>0</v>
      </c>
      <c r="F41" s="466">
        <v>0</v>
      </c>
      <c r="G41" s="466">
        <v>0</v>
      </c>
      <c r="H41" s="466">
        <v>0</v>
      </c>
      <c r="I41" s="467">
        <v>0</v>
      </c>
      <c r="J41" s="467">
        <v>0</v>
      </c>
      <c r="K41" s="1692">
        <f t="shared" si="2"/>
        <v>0</v>
      </c>
      <c r="L41" s="466">
        <v>0</v>
      </c>
    </row>
    <row r="42" spans="1:14" ht="12.75" customHeight="1" thickBot="1" x14ac:dyDescent="0.25">
      <c r="A42" s="1689" t="s">
        <v>581</v>
      </c>
      <c r="B42" s="1690" t="s">
        <v>740</v>
      </c>
      <c r="C42" s="1691">
        <f>SUM(C36:C41)</f>
        <v>104245</v>
      </c>
      <c r="D42" s="1691">
        <f t="shared" ref="D42:L42" si="3">SUM(D36:D41)</f>
        <v>4225</v>
      </c>
      <c r="E42" s="1691">
        <f t="shared" si="3"/>
        <v>0</v>
      </c>
      <c r="F42" s="1691">
        <f t="shared" si="3"/>
        <v>0</v>
      </c>
      <c r="G42" s="1691">
        <f t="shared" si="3"/>
        <v>0</v>
      </c>
      <c r="H42" s="1691">
        <f t="shared" si="3"/>
        <v>0</v>
      </c>
      <c r="I42" s="1691">
        <f t="shared" si="3"/>
        <v>0</v>
      </c>
      <c r="J42" s="1691">
        <f t="shared" si="3"/>
        <v>0</v>
      </c>
      <c r="K42" s="1691">
        <f t="shared" si="3"/>
        <v>108470</v>
      </c>
      <c r="L42" s="1691">
        <f t="shared" si="3"/>
        <v>109427</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0</v>
      </c>
      <c r="D44" s="481">
        <v>0</v>
      </c>
      <c r="E44" s="481">
        <v>39129</v>
      </c>
      <c r="F44" s="481">
        <v>0</v>
      </c>
      <c r="G44" s="481">
        <v>0</v>
      </c>
      <c r="H44" s="481">
        <v>0</v>
      </c>
      <c r="I44" s="467">
        <v>0</v>
      </c>
      <c r="J44" s="467">
        <v>0</v>
      </c>
      <c r="K44" s="1693">
        <f>SUM(C44:J44)</f>
        <v>39129</v>
      </c>
      <c r="L44" s="481">
        <v>57000</v>
      </c>
    </row>
    <row r="45" spans="1:14" x14ac:dyDescent="0.2">
      <c r="A45" s="1525" t="s">
        <v>869</v>
      </c>
      <c r="B45" s="615">
        <v>2220</v>
      </c>
      <c r="C45" s="466">
        <v>220170</v>
      </c>
      <c r="D45" s="466">
        <v>31282</v>
      </c>
      <c r="E45" s="466">
        <v>72760</v>
      </c>
      <c r="F45" s="466">
        <v>26414</v>
      </c>
      <c r="G45" s="466">
        <v>17409</v>
      </c>
      <c r="H45" s="466">
        <v>0</v>
      </c>
      <c r="I45" s="467">
        <v>9549</v>
      </c>
      <c r="J45" s="467">
        <v>0</v>
      </c>
      <c r="K45" s="1693">
        <f>SUM(C45:J45)</f>
        <v>377584</v>
      </c>
      <c r="L45" s="466">
        <v>401896</v>
      </c>
    </row>
    <row r="46" spans="1:14" x14ac:dyDescent="0.2">
      <c r="A46" s="1525" t="s">
        <v>870</v>
      </c>
      <c r="B46" s="615">
        <v>2230</v>
      </c>
      <c r="C46" s="466">
        <v>0</v>
      </c>
      <c r="D46" s="466">
        <v>0</v>
      </c>
      <c r="E46" s="466">
        <v>0</v>
      </c>
      <c r="F46" s="466">
        <v>0</v>
      </c>
      <c r="G46" s="466">
        <v>0</v>
      </c>
      <c r="H46" s="466">
        <v>0</v>
      </c>
      <c r="I46" s="467">
        <v>0</v>
      </c>
      <c r="J46" s="467">
        <v>0</v>
      </c>
      <c r="K46" s="1693">
        <f>SUM(C46:J46)</f>
        <v>0</v>
      </c>
      <c r="L46" s="466">
        <v>0</v>
      </c>
    </row>
    <row r="47" spans="1:14" ht="12.75" customHeight="1" thickBot="1" x14ac:dyDescent="0.25">
      <c r="A47" s="1689" t="s">
        <v>582</v>
      </c>
      <c r="B47" s="1690" t="s">
        <v>32</v>
      </c>
      <c r="C47" s="1691">
        <f>SUM(C44:C46)</f>
        <v>220170</v>
      </c>
      <c r="D47" s="1691">
        <f t="shared" ref="D47:K47" si="4">SUM(D44:D46)</f>
        <v>31282</v>
      </c>
      <c r="E47" s="1691">
        <f t="shared" si="4"/>
        <v>111889</v>
      </c>
      <c r="F47" s="1691">
        <f t="shared" si="4"/>
        <v>26414</v>
      </c>
      <c r="G47" s="1691">
        <f t="shared" si="4"/>
        <v>17409</v>
      </c>
      <c r="H47" s="1691">
        <f t="shared" si="4"/>
        <v>0</v>
      </c>
      <c r="I47" s="1691">
        <f t="shared" si="4"/>
        <v>9549</v>
      </c>
      <c r="J47" s="1691">
        <f t="shared" si="4"/>
        <v>0</v>
      </c>
      <c r="K47" s="1691">
        <f t="shared" si="4"/>
        <v>416713</v>
      </c>
      <c r="L47" s="1691">
        <f>SUM(L44:L46)</f>
        <v>458896</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0</v>
      </c>
      <c r="D49" s="481">
        <v>0</v>
      </c>
      <c r="E49" s="481">
        <v>102651</v>
      </c>
      <c r="F49" s="481">
        <v>0</v>
      </c>
      <c r="G49" s="481">
        <v>0</v>
      </c>
      <c r="H49" s="481">
        <v>0</v>
      </c>
      <c r="I49" s="467">
        <v>0</v>
      </c>
      <c r="J49" s="467">
        <v>3719</v>
      </c>
      <c r="K49" s="1693">
        <f>SUM(C49:J49)</f>
        <v>106370</v>
      </c>
      <c r="L49" s="481">
        <v>95000</v>
      </c>
    </row>
    <row r="50" spans="1:14" x14ac:dyDescent="0.2">
      <c r="A50" s="1525" t="s">
        <v>872</v>
      </c>
      <c r="B50" s="615">
        <v>2320</v>
      </c>
      <c r="C50" s="466">
        <v>241610</v>
      </c>
      <c r="D50" s="466">
        <v>36675</v>
      </c>
      <c r="E50" s="466">
        <v>13925</v>
      </c>
      <c r="F50" s="466">
        <v>2433</v>
      </c>
      <c r="G50" s="466">
        <v>0</v>
      </c>
      <c r="H50" s="466">
        <v>0</v>
      </c>
      <c r="I50" s="467">
        <v>0</v>
      </c>
      <c r="J50" s="467">
        <v>0</v>
      </c>
      <c r="K50" s="1693">
        <f>SUM(C50:J50)</f>
        <v>294643</v>
      </c>
      <c r="L50" s="466">
        <v>298118</v>
      </c>
    </row>
    <row r="51" spans="1:14" x14ac:dyDescent="0.2">
      <c r="A51" s="1525" t="s">
        <v>44</v>
      </c>
      <c r="B51" s="615">
        <v>2330</v>
      </c>
      <c r="C51" s="466">
        <v>0</v>
      </c>
      <c r="D51" s="466">
        <v>0</v>
      </c>
      <c r="E51" s="466">
        <v>0</v>
      </c>
      <c r="F51" s="466">
        <v>0</v>
      </c>
      <c r="G51" s="466">
        <v>0</v>
      </c>
      <c r="H51" s="466">
        <v>0</v>
      </c>
      <c r="I51" s="467">
        <v>0</v>
      </c>
      <c r="J51" s="467">
        <v>0</v>
      </c>
      <c r="K51" s="1693">
        <f>SUM(C51:J51)</f>
        <v>0</v>
      </c>
      <c r="L51" s="466">
        <v>0</v>
      </c>
    </row>
    <row r="52" spans="1:14" ht="22.5" x14ac:dyDescent="0.2">
      <c r="A52" s="1526" t="s">
        <v>316</v>
      </c>
      <c r="B52" s="628" t="s">
        <v>384</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741</v>
      </c>
      <c r="B53" s="1690" t="s">
        <v>33</v>
      </c>
      <c r="C53" s="1691">
        <f>SUM(C49:C52)</f>
        <v>241610</v>
      </c>
      <c r="D53" s="1691">
        <f t="shared" ref="D53:L53" si="5">SUM(D49:D52)</f>
        <v>36675</v>
      </c>
      <c r="E53" s="1691">
        <f t="shared" si="5"/>
        <v>116576</v>
      </c>
      <c r="F53" s="1691">
        <f t="shared" si="5"/>
        <v>2433</v>
      </c>
      <c r="G53" s="1691">
        <f t="shared" si="5"/>
        <v>0</v>
      </c>
      <c r="H53" s="1691">
        <f t="shared" si="5"/>
        <v>0</v>
      </c>
      <c r="I53" s="1691">
        <f t="shared" si="5"/>
        <v>0</v>
      </c>
      <c r="J53" s="1691">
        <f t="shared" si="5"/>
        <v>3719</v>
      </c>
      <c r="K53" s="1691">
        <f t="shared" si="5"/>
        <v>401013</v>
      </c>
      <c r="L53" s="1691">
        <f t="shared" si="5"/>
        <v>393118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158691</v>
      </c>
      <c r="D55" s="481">
        <v>21554</v>
      </c>
      <c r="E55" s="481">
        <v>0</v>
      </c>
      <c r="F55" s="481">
        <v>0</v>
      </c>
      <c r="G55" s="481">
        <v>0</v>
      </c>
      <c r="H55" s="481">
        <v>0</v>
      </c>
      <c r="I55" s="467">
        <v>0</v>
      </c>
      <c r="J55" s="467">
        <v>0</v>
      </c>
      <c r="K55" s="1693">
        <f>SUM(C55:J55)</f>
        <v>180245</v>
      </c>
      <c r="L55" s="481">
        <v>180112</v>
      </c>
    </row>
    <row r="56" spans="1:14" ht="12.75" customHeight="1" x14ac:dyDescent="0.2">
      <c r="A56" s="1529" t="s">
        <v>394</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158691</v>
      </c>
      <c r="D57" s="1695">
        <f t="shared" ref="D57:K57" si="6">SUM(D55:D56)</f>
        <v>21554</v>
      </c>
      <c r="E57" s="1695">
        <f t="shared" si="6"/>
        <v>0</v>
      </c>
      <c r="F57" s="1695">
        <f t="shared" si="6"/>
        <v>0</v>
      </c>
      <c r="G57" s="1695">
        <f t="shared" si="6"/>
        <v>0</v>
      </c>
      <c r="H57" s="1695">
        <f t="shared" si="6"/>
        <v>0</v>
      </c>
      <c r="I57" s="1695">
        <f t="shared" si="6"/>
        <v>0</v>
      </c>
      <c r="J57" s="1695">
        <f t="shared" si="6"/>
        <v>0</v>
      </c>
      <c r="K57" s="1695">
        <f t="shared" si="6"/>
        <v>180245</v>
      </c>
      <c r="L57" s="1691">
        <f>SUM(L55:L56)</f>
        <v>180112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6149</v>
      </c>
      <c r="D59" s="481">
        <v>0</v>
      </c>
      <c r="E59" s="481">
        <v>0</v>
      </c>
      <c r="F59" s="481">
        <v>0</v>
      </c>
      <c r="G59" s="481">
        <v>0</v>
      </c>
      <c r="H59" s="481">
        <v>0</v>
      </c>
      <c r="I59" s="467">
        <v>0</v>
      </c>
      <c r="J59" s="467">
        <v>0</v>
      </c>
      <c r="K59" s="1693">
        <f t="shared" ref="K59:K64" si="7">SUM(C59:J59)</f>
        <v>6149</v>
      </c>
      <c r="L59" s="481">
        <v>0</v>
      </c>
      <c r="M59" s="610"/>
      <c r="N59" s="610"/>
    </row>
    <row r="60" spans="1:14" s="343" customFormat="1" x14ac:dyDescent="0.2">
      <c r="A60" s="1525" t="s">
        <v>483</v>
      </c>
      <c r="B60" s="615">
        <v>2520</v>
      </c>
      <c r="C60" s="466">
        <v>106572</v>
      </c>
      <c r="D60" s="466">
        <v>12610</v>
      </c>
      <c r="E60" s="466">
        <v>4942</v>
      </c>
      <c r="F60" s="466">
        <v>0</v>
      </c>
      <c r="G60" s="466">
        <v>0</v>
      </c>
      <c r="H60" s="466">
        <v>0</v>
      </c>
      <c r="I60" s="467">
        <v>1178</v>
      </c>
      <c r="J60" s="467">
        <v>0</v>
      </c>
      <c r="K60" s="1693">
        <f t="shared" si="7"/>
        <v>125302</v>
      </c>
      <c r="L60" s="466">
        <v>138271</v>
      </c>
      <c r="M60" s="610"/>
      <c r="N60" s="610"/>
    </row>
    <row r="61" spans="1:14" s="343" customFormat="1" x14ac:dyDescent="0.2">
      <c r="A61" s="1525" t="s">
        <v>206</v>
      </c>
      <c r="B61" s="615">
        <v>2540</v>
      </c>
      <c r="C61" s="466">
        <v>-6149</v>
      </c>
      <c r="D61" s="466">
        <v>0</v>
      </c>
      <c r="E61" s="466">
        <v>0</v>
      </c>
      <c r="F61" s="466">
        <v>0</v>
      </c>
      <c r="G61" s="466">
        <v>0</v>
      </c>
      <c r="H61" s="466">
        <v>0</v>
      </c>
      <c r="I61" s="467">
        <v>0</v>
      </c>
      <c r="J61" s="467">
        <v>0</v>
      </c>
      <c r="K61" s="1693">
        <f t="shared" si="7"/>
        <v>-6149</v>
      </c>
      <c r="L61" s="466">
        <v>0</v>
      </c>
      <c r="M61" s="610"/>
      <c r="N61" s="610"/>
    </row>
    <row r="62" spans="1:14" s="343" customFormat="1" x14ac:dyDescent="0.2">
      <c r="A62" s="1525" t="s">
        <v>1010</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6488</v>
      </c>
      <c r="D63" s="466">
        <v>0</v>
      </c>
      <c r="E63" s="466">
        <v>0</v>
      </c>
      <c r="F63" s="466">
        <v>7062</v>
      </c>
      <c r="G63" s="466">
        <v>0</v>
      </c>
      <c r="H63" s="466">
        <v>0</v>
      </c>
      <c r="I63" s="467">
        <v>0</v>
      </c>
      <c r="J63" s="467">
        <v>0</v>
      </c>
      <c r="K63" s="1693">
        <f t="shared" si="7"/>
        <v>13550</v>
      </c>
      <c r="L63" s="466">
        <v>15558</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743</v>
      </c>
      <c r="B65" s="1690" t="s">
        <v>35</v>
      </c>
      <c r="C65" s="1691">
        <f>SUM(C59:C64)</f>
        <v>113060</v>
      </c>
      <c r="D65" s="1691">
        <f t="shared" ref="D65:L65" si="8">SUM(D59:D64)</f>
        <v>12610</v>
      </c>
      <c r="E65" s="1691">
        <f t="shared" si="8"/>
        <v>4942</v>
      </c>
      <c r="F65" s="1691">
        <f t="shared" si="8"/>
        <v>7062</v>
      </c>
      <c r="G65" s="1691">
        <f t="shared" si="8"/>
        <v>0</v>
      </c>
      <c r="H65" s="1691">
        <f t="shared" si="8"/>
        <v>0</v>
      </c>
      <c r="I65" s="1691">
        <f t="shared" si="8"/>
        <v>1178</v>
      </c>
      <c r="J65" s="1691">
        <f t="shared" si="8"/>
        <v>0</v>
      </c>
      <c r="K65" s="1691">
        <f t="shared" si="8"/>
        <v>138852</v>
      </c>
      <c r="L65" s="1691">
        <f t="shared" si="8"/>
        <v>153829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1121</v>
      </c>
      <c r="B69" s="615">
        <v>2630</v>
      </c>
      <c r="C69" s="466">
        <v>0</v>
      </c>
      <c r="D69" s="466">
        <v>0</v>
      </c>
      <c r="E69" s="466">
        <v>0</v>
      </c>
      <c r="F69" s="466">
        <v>0</v>
      </c>
      <c r="G69" s="466">
        <v>0</v>
      </c>
      <c r="H69" s="466">
        <v>0</v>
      </c>
      <c r="I69" s="467">
        <v>0</v>
      </c>
      <c r="J69" s="467">
        <v>0</v>
      </c>
      <c r="K69" s="1693">
        <f>SUM(C69:J69)</f>
        <v>0</v>
      </c>
      <c r="L69" s="466">
        <v>0</v>
      </c>
      <c r="M69" s="610"/>
      <c r="N69" s="610"/>
    </row>
    <row r="70" spans="1:14" s="343" customFormat="1" x14ac:dyDescent="0.2">
      <c r="A70" s="1525" t="s">
        <v>423</v>
      </c>
      <c r="B70" s="615">
        <v>2640</v>
      </c>
      <c r="C70" s="466">
        <v>0</v>
      </c>
      <c r="D70" s="466">
        <v>0</v>
      </c>
      <c r="E70" s="466">
        <v>0</v>
      </c>
      <c r="F70" s="466">
        <v>0</v>
      </c>
      <c r="G70" s="466">
        <v>0</v>
      </c>
      <c r="H70" s="466">
        <v>0</v>
      </c>
      <c r="I70" s="467">
        <v>0</v>
      </c>
      <c r="J70" s="467">
        <v>0</v>
      </c>
      <c r="K70" s="1693">
        <f>SUM(C70:J70)</f>
        <v>0</v>
      </c>
      <c r="L70" s="466">
        <v>0</v>
      </c>
      <c r="M70" s="610"/>
      <c r="N70" s="610"/>
    </row>
    <row r="71" spans="1:14" s="343" customFormat="1" x14ac:dyDescent="0.2">
      <c r="A71" s="1525" t="s">
        <v>424</v>
      </c>
      <c r="B71" s="615">
        <v>2660</v>
      </c>
      <c r="C71" s="466">
        <v>0</v>
      </c>
      <c r="D71" s="466">
        <v>0</v>
      </c>
      <c r="E71" s="466">
        <v>0</v>
      </c>
      <c r="F71" s="466">
        <v>0</v>
      </c>
      <c r="G71" s="466">
        <v>0</v>
      </c>
      <c r="H71" s="466">
        <v>0</v>
      </c>
      <c r="I71" s="467">
        <v>0</v>
      </c>
      <c r="J71" s="467">
        <v>0</v>
      </c>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v>0</v>
      </c>
      <c r="D73" s="573">
        <v>0</v>
      </c>
      <c r="E73" s="573">
        <v>0</v>
      </c>
      <c r="F73" s="573">
        <v>0</v>
      </c>
      <c r="G73" s="573">
        <v>0</v>
      </c>
      <c r="H73" s="573">
        <v>0</v>
      </c>
      <c r="I73" s="531">
        <v>0</v>
      </c>
      <c r="J73" s="531">
        <v>0</v>
      </c>
      <c r="K73" s="1691">
        <f>SUM(C73:J73)</f>
        <v>0</v>
      </c>
      <c r="L73" s="576">
        <v>0</v>
      </c>
      <c r="M73" s="610"/>
      <c r="N73" s="610"/>
    </row>
    <row r="74" spans="1:14" ht="12.75" customHeight="1" thickTop="1" thickBot="1" x14ac:dyDescent="0.25">
      <c r="A74" s="1689" t="s">
        <v>865</v>
      </c>
      <c r="B74" s="1697">
        <v>2000</v>
      </c>
      <c r="C74" s="1698">
        <f>SUM(C42,C47,C53,C57,C65,C72,C73)</f>
        <v>837776</v>
      </c>
      <c r="D74" s="1698">
        <f t="shared" ref="D74:K74" si="10">SUM(D42,D47,D53,D57,D65,D72,D73)</f>
        <v>106346</v>
      </c>
      <c r="E74" s="1698">
        <f t="shared" si="10"/>
        <v>233407</v>
      </c>
      <c r="F74" s="1698">
        <f t="shared" si="10"/>
        <v>35909</v>
      </c>
      <c r="G74" s="1698">
        <f t="shared" si="10"/>
        <v>17409</v>
      </c>
      <c r="H74" s="1698">
        <f t="shared" si="10"/>
        <v>0</v>
      </c>
      <c r="I74" s="1698">
        <f t="shared" si="10"/>
        <v>10727</v>
      </c>
      <c r="J74" s="1698">
        <f t="shared" si="10"/>
        <v>3719</v>
      </c>
      <c r="K74" s="1698">
        <f t="shared" si="10"/>
        <v>1245293</v>
      </c>
      <c r="L74" s="1698">
        <f>SUM(L42,L47,L53,L57,L65,L72,L73)</f>
        <v>1295382</v>
      </c>
    </row>
    <row r="75" spans="1:14" s="259" customFormat="1" ht="15.75" customHeight="1" thickTop="1" thickBot="1" x14ac:dyDescent="0.25">
      <c r="A75" s="1631" t="s">
        <v>49</v>
      </c>
      <c r="B75" s="1632" t="s">
        <v>596</v>
      </c>
      <c r="C75" s="573">
        <v>0</v>
      </c>
      <c r="D75" s="573">
        <v>0</v>
      </c>
      <c r="E75" s="573">
        <v>0</v>
      </c>
      <c r="F75" s="573">
        <v>0</v>
      </c>
      <c r="G75" s="573">
        <v>0</v>
      </c>
      <c r="H75" s="573">
        <v>0</v>
      </c>
      <c r="I75" s="531">
        <v>0</v>
      </c>
      <c r="J75" s="531">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92">
        <f t="shared" ref="K78:K83" si="11">SUM(C78:J78)</f>
        <v>0</v>
      </c>
      <c r="L78" s="481">
        <v>0</v>
      </c>
    </row>
    <row r="79" spans="1:14" x14ac:dyDescent="0.2">
      <c r="A79" s="1525" t="s">
        <v>322</v>
      </c>
      <c r="B79" s="615">
        <v>4120</v>
      </c>
      <c r="C79" s="617"/>
      <c r="D79" s="617"/>
      <c r="E79" s="466">
        <v>451785</v>
      </c>
      <c r="F79" s="617"/>
      <c r="G79" s="617"/>
      <c r="H79" s="466">
        <v>0</v>
      </c>
      <c r="I79" s="477"/>
      <c r="J79" s="477"/>
      <c r="K79" s="1692">
        <f t="shared" si="11"/>
        <v>451785</v>
      </c>
      <c r="L79" s="466">
        <v>584317</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0</v>
      </c>
      <c r="F83" s="617"/>
      <c r="G83" s="617"/>
      <c r="H83" s="466">
        <v>0</v>
      </c>
      <c r="I83" s="477"/>
      <c r="J83" s="477"/>
      <c r="K83" s="1692">
        <f t="shared" si="11"/>
        <v>0</v>
      </c>
      <c r="L83" s="466">
        <v>0</v>
      </c>
    </row>
    <row r="84" spans="1:12" ht="13.5" thickBot="1" x14ac:dyDescent="0.25">
      <c r="A84" s="1689" t="s">
        <v>1565</v>
      </c>
      <c r="B84" s="1699">
        <v>4100</v>
      </c>
      <c r="C84" s="617"/>
      <c r="D84" s="617"/>
      <c r="E84" s="1691">
        <f>SUM(E78:E83)</f>
        <v>451785</v>
      </c>
      <c r="F84" s="617"/>
      <c r="G84" s="617"/>
      <c r="H84" s="1691">
        <f>SUM(H78:H83)</f>
        <v>0</v>
      </c>
      <c r="I84" s="477"/>
      <c r="J84" s="477"/>
      <c r="K84" s="1691">
        <f>SUM(K78:K83)</f>
        <v>451785</v>
      </c>
      <c r="L84" s="1691">
        <f>SUM(L78:L83)</f>
        <v>584317</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723</v>
      </c>
      <c r="B86" s="638">
        <v>4220</v>
      </c>
      <c r="C86" s="617"/>
      <c r="D86" s="617"/>
      <c r="E86" s="639"/>
      <c r="F86" s="617"/>
      <c r="G86" s="617"/>
      <c r="H86" s="467">
        <v>0</v>
      </c>
      <c r="I86" s="477"/>
      <c r="J86" s="477"/>
      <c r="K86" s="1698">
        <f t="shared" ref="K86:K98" si="12">H86</f>
        <v>0</v>
      </c>
      <c r="L86" s="530">
        <v>109850</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0</v>
      </c>
      <c r="I91" s="477"/>
      <c r="J91" s="477"/>
      <c r="K91" s="1698">
        <f t="shared" si="12"/>
        <v>0</v>
      </c>
      <c r="L91" s="530">
        <v>0</v>
      </c>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109850</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451785</v>
      </c>
      <c r="F102" s="617"/>
      <c r="G102" s="617"/>
      <c r="H102" s="1698">
        <f>SUM(H84,H92,H100,H101)</f>
        <v>0</v>
      </c>
      <c r="I102" s="477"/>
      <c r="J102" s="477"/>
      <c r="K102" s="1698">
        <f>SUM(K84,K92,K100,K101)</f>
        <v>451785</v>
      </c>
      <c r="L102" s="1698">
        <f>SUM(L84,L92,L100,L101)</f>
        <v>694167</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50000</v>
      </c>
      <c r="M113" s="614"/>
      <c r="N113" s="614"/>
    </row>
    <row r="114" spans="1:14" ht="12.75" customHeight="1" thickTop="1" thickBot="1" x14ac:dyDescent="0.25">
      <c r="A114" s="1689" t="s">
        <v>50</v>
      </c>
      <c r="B114" s="1703"/>
      <c r="C114" s="1691">
        <f>SUM(C33,C74,C75,C102,C112,C113)</f>
        <v>2623247</v>
      </c>
      <c r="D114" s="1691">
        <f t="shared" ref="D114:K114" si="13">SUM(D33,D74,D75,D102,D112,D113)</f>
        <v>439270</v>
      </c>
      <c r="E114" s="1691">
        <f t="shared" si="13"/>
        <v>742523</v>
      </c>
      <c r="F114" s="1691">
        <f t="shared" si="13"/>
        <v>129816</v>
      </c>
      <c r="G114" s="1691">
        <f t="shared" si="13"/>
        <v>17409</v>
      </c>
      <c r="H114" s="1691">
        <f>SUM(H33,H74,H75,H102,H112,H113)</f>
        <v>0</v>
      </c>
      <c r="I114" s="1691">
        <f t="shared" si="13"/>
        <v>10727</v>
      </c>
      <c r="J114" s="1691">
        <f t="shared" si="13"/>
        <v>3719</v>
      </c>
      <c r="K114" s="1691">
        <f t="shared" si="13"/>
        <v>3966711</v>
      </c>
      <c r="L114" s="1691">
        <f>SUM(L33,L74,L75,L102,L112,L113)</f>
        <v>4479449</v>
      </c>
    </row>
    <row r="115" spans="1:14" ht="13.5" thickTop="1" x14ac:dyDescent="0.2">
      <c r="A115" s="2175" t="s">
        <v>1053</v>
      </c>
      <c r="B115" s="2176"/>
      <c r="C115" s="619"/>
      <c r="D115" s="619"/>
      <c r="E115" s="619"/>
      <c r="F115" s="619"/>
      <c r="G115" s="619"/>
      <c r="H115" s="619"/>
      <c r="I115" s="619"/>
      <c r="J115" s="619"/>
      <c r="K115" s="1705">
        <f>'Revenues 9-14'!C275-'Expenditures 15-22'!K114</f>
        <v>855743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91078</v>
      </c>
      <c r="D124" s="466">
        <v>21770</v>
      </c>
      <c r="E124" s="466">
        <v>284067</v>
      </c>
      <c r="F124" s="466">
        <v>67927</v>
      </c>
      <c r="G124" s="466">
        <v>22963</v>
      </c>
      <c r="H124" s="466">
        <v>0</v>
      </c>
      <c r="I124" s="467">
        <v>62934</v>
      </c>
      <c r="J124" s="467">
        <v>0</v>
      </c>
      <c r="K124" s="1691">
        <f>SUM(C124:J124)</f>
        <v>550739</v>
      </c>
      <c r="L124" s="466">
        <v>653113</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91078</v>
      </c>
      <c r="D127" s="1691">
        <f t="shared" ref="D127:L127" si="14">SUM(D122:D126)</f>
        <v>21770</v>
      </c>
      <c r="E127" s="1691">
        <f t="shared" si="14"/>
        <v>284067</v>
      </c>
      <c r="F127" s="1691">
        <f t="shared" si="14"/>
        <v>67927</v>
      </c>
      <c r="G127" s="1691">
        <f t="shared" si="14"/>
        <v>22963</v>
      </c>
      <c r="H127" s="1691">
        <f t="shared" si="14"/>
        <v>0</v>
      </c>
      <c r="I127" s="1691">
        <f t="shared" si="14"/>
        <v>62934</v>
      </c>
      <c r="J127" s="1691">
        <f t="shared" si="14"/>
        <v>0</v>
      </c>
      <c r="K127" s="1691">
        <f t="shared" si="14"/>
        <v>550739</v>
      </c>
      <c r="L127" s="1691">
        <f t="shared" si="14"/>
        <v>653113</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91078</v>
      </c>
      <c r="D129" s="1698">
        <f t="shared" ref="D129:L129" si="15">SUM(D120,D127,D128)</f>
        <v>21770</v>
      </c>
      <c r="E129" s="1698">
        <f t="shared" si="15"/>
        <v>284067</v>
      </c>
      <c r="F129" s="1698">
        <f t="shared" si="15"/>
        <v>67927</v>
      </c>
      <c r="G129" s="1698">
        <f t="shared" si="15"/>
        <v>22963</v>
      </c>
      <c r="H129" s="1698">
        <f t="shared" si="15"/>
        <v>0</v>
      </c>
      <c r="I129" s="1698">
        <f t="shared" si="15"/>
        <v>62934</v>
      </c>
      <c r="J129" s="1698">
        <f t="shared" si="15"/>
        <v>0</v>
      </c>
      <c r="K129" s="1698">
        <f t="shared" si="15"/>
        <v>550739</v>
      </c>
      <c r="L129" s="1698">
        <f t="shared" si="15"/>
        <v>653113</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0</v>
      </c>
      <c r="I134" s="477"/>
      <c r="J134" s="617"/>
      <c r="K134" s="1693">
        <f>SUM(E134,H134)</f>
        <v>0</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20000</v>
      </c>
    </row>
    <row r="151" spans="1:14" ht="12.75" customHeight="1" thickTop="1" thickBot="1" x14ac:dyDescent="0.25">
      <c r="A151" s="2192" t="s">
        <v>641</v>
      </c>
      <c r="B151" s="2172"/>
      <c r="C151" s="1691">
        <f>SUM(C129,C130,C139,C149,C150)</f>
        <v>91078</v>
      </c>
      <c r="D151" s="1691">
        <f t="shared" ref="D151:K151" si="16">SUM(D129,D130,D139,D149,D150)</f>
        <v>21770</v>
      </c>
      <c r="E151" s="1691">
        <f t="shared" si="16"/>
        <v>284067</v>
      </c>
      <c r="F151" s="1691">
        <f t="shared" si="16"/>
        <v>67927</v>
      </c>
      <c r="G151" s="1691">
        <f t="shared" si="16"/>
        <v>22963</v>
      </c>
      <c r="H151" s="1691">
        <f t="shared" si="16"/>
        <v>0</v>
      </c>
      <c r="I151" s="1691">
        <f t="shared" si="16"/>
        <v>62934</v>
      </c>
      <c r="J151" s="1691">
        <f t="shared" si="16"/>
        <v>0</v>
      </c>
      <c r="K151" s="1691">
        <f t="shared" si="16"/>
        <v>550739</v>
      </c>
      <c r="L151" s="1691">
        <f>SUM(L129,L130,L139,L149,L150)</f>
        <v>673113</v>
      </c>
    </row>
    <row r="152" spans="1:14" ht="12.75" customHeight="1" thickTop="1" x14ac:dyDescent="0.2">
      <c r="A152" s="2195" t="s">
        <v>1240</v>
      </c>
      <c r="B152" s="2196"/>
      <c r="C152" s="619"/>
      <c r="D152" s="619"/>
      <c r="E152" s="619"/>
      <c r="F152" s="619"/>
      <c r="G152" s="619"/>
      <c r="H152" s="619"/>
      <c r="I152" s="619"/>
      <c r="J152" s="617"/>
      <c r="K152" s="1705">
        <f>'Revenues 9-14'!D275-'Expenditures 15-22'!K151</f>
        <v>505895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v>0</v>
      </c>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0</v>
      </c>
      <c r="I169" s="617"/>
      <c r="J169" s="617"/>
      <c r="K169" s="1692">
        <f>SUM(C169:H169)</f>
        <v>0</v>
      </c>
      <c r="L169" s="657">
        <v>0</v>
      </c>
    </row>
    <row r="170" spans="1:14" ht="33.75" customHeight="1" x14ac:dyDescent="0.2">
      <c r="A170" s="670" t="s">
        <v>1769</v>
      </c>
      <c r="B170" s="672" t="s">
        <v>31</v>
      </c>
      <c r="C170" s="617"/>
      <c r="D170" s="617"/>
      <c r="E170" s="617"/>
      <c r="F170" s="617"/>
      <c r="G170" s="617"/>
      <c r="H170" s="569">
        <v>0</v>
      </c>
      <c r="I170" s="617"/>
      <c r="J170" s="617"/>
      <c r="K170" s="1692">
        <f>SUM(C170:J170)</f>
        <v>0</v>
      </c>
      <c r="L170" s="569">
        <v>0</v>
      </c>
    </row>
    <row r="171" spans="1:14" ht="15.75" customHeight="1" x14ac:dyDescent="0.2">
      <c r="A171" s="622" t="s">
        <v>790</v>
      </c>
      <c r="B171" s="673" t="s">
        <v>86</v>
      </c>
      <c r="C171" s="617"/>
      <c r="D171" s="617"/>
      <c r="E171" s="466">
        <v>0</v>
      </c>
      <c r="F171" s="617"/>
      <c r="G171" s="617"/>
      <c r="H171" s="569">
        <v>0</v>
      </c>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75" t="s">
        <v>1053</v>
      </c>
      <c r="B175" s="2176"/>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0</v>
      </c>
      <c r="D182" s="466">
        <v>0</v>
      </c>
      <c r="E182" s="466">
        <v>108054</v>
      </c>
      <c r="F182" s="466">
        <v>0</v>
      </c>
      <c r="G182" s="466">
        <v>0</v>
      </c>
      <c r="H182" s="466">
        <v>0</v>
      </c>
      <c r="I182" s="467">
        <v>0</v>
      </c>
      <c r="J182" s="467">
        <v>0</v>
      </c>
      <c r="K182" s="1692">
        <f>SUM(C182:J182)</f>
        <v>108054</v>
      </c>
      <c r="L182" s="466">
        <v>0</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0</v>
      </c>
      <c r="D184" s="1698">
        <f t="shared" ref="D184:J184" si="17">SUM(D180,D182,D183)</f>
        <v>0</v>
      </c>
      <c r="E184" s="1698">
        <f t="shared" si="17"/>
        <v>108054</v>
      </c>
      <c r="F184" s="1698">
        <f t="shared" si="17"/>
        <v>0</v>
      </c>
      <c r="G184" s="1698">
        <f t="shared" si="17"/>
        <v>0</v>
      </c>
      <c r="H184" s="1698">
        <f t="shared" si="17"/>
        <v>0</v>
      </c>
      <c r="I184" s="1698">
        <f t="shared" si="17"/>
        <v>0</v>
      </c>
      <c r="J184" s="1698">
        <f t="shared" si="17"/>
        <v>0</v>
      </c>
      <c r="K184" s="1698">
        <f>SUM(K180,K182,K183)</f>
        <v>108054</v>
      </c>
      <c r="L184" s="1698">
        <f>SUM(L180, L182:L183)</f>
        <v>0</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104000</v>
      </c>
    </row>
    <row r="189" spans="1:14" x14ac:dyDescent="0.2">
      <c r="A189" s="1525" t="s">
        <v>322</v>
      </c>
      <c r="B189" s="615">
        <v>4120</v>
      </c>
      <c r="C189" s="617"/>
      <c r="D189" s="617"/>
      <c r="E189" s="466">
        <v>25149</v>
      </c>
      <c r="F189" s="617"/>
      <c r="G189" s="617"/>
      <c r="H189" s="466">
        <v>0</v>
      </c>
      <c r="I189" s="477"/>
      <c r="J189" s="617"/>
      <c r="K189" s="1692">
        <f t="shared" si="18"/>
        <v>25149</v>
      </c>
      <c r="L189" s="466">
        <v>89000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25149</v>
      </c>
      <c r="F194" s="617"/>
      <c r="G194" s="617"/>
      <c r="H194" s="1691">
        <f>SUM(H188:H193)</f>
        <v>0</v>
      </c>
      <c r="I194" s="477"/>
      <c r="J194" s="617"/>
      <c r="K194" s="1691">
        <f>SUM(K188:K193)</f>
        <v>25149</v>
      </c>
      <c r="L194" s="1691">
        <f>SUM(L188:L193)</f>
        <v>193000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25149</v>
      </c>
      <c r="F196" s="617"/>
      <c r="G196" s="617"/>
      <c r="H196" s="1698">
        <f>SUM(H194,H195)</f>
        <v>0</v>
      </c>
      <c r="I196" s="477"/>
      <c r="J196" s="617"/>
      <c r="K196" s="1698">
        <f>SUM(K194,K195)</f>
        <v>25149</v>
      </c>
      <c r="L196" s="1698">
        <f>SUM(L194,L195)</f>
        <v>193000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5000</v>
      </c>
    </row>
    <row r="210" spans="1:14" ht="12.75" customHeight="1" thickTop="1" thickBot="1" x14ac:dyDescent="0.25">
      <c r="A210" s="1713" t="s">
        <v>295</v>
      </c>
      <c r="B210" s="1714"/>
      <c r="C210" s="1691">
        <f>SUM(C184,C185)</f>
        <v>0</v>
      </c>
      <c r="D210" s="1691">
        <f>SUM(D184,D185)</f>
        <v>0</v>
      </c>
      <c r="E210" s="1691">
        <f>SUM(E184,E185,E196)</f>
        <v>133203</v>
      </c>
      <c r="F210" s="1691">
        <f>SUM(F184,F185)</f>
        <v>0</v>
      </c>
      <c r="G210" s="1691">
        <f>SUM(G184,G185)</f>
        <v>0</v>
      </c>
      <c r="H210" s="1691">
        <f>SUM(H184,H185,H196,H208,H209)</f>
        <v>0</v>
      </c>
      <c r="I210" s="1691">
        <f>SUM(I184,I185)</f>
        <v>0</v>
      </c>
      <c r="J210" s="1691">
        <f>SUM(J184,J185)</f>
        <v>0</v>
      </c>
      <c r="K210" s="1692">
        <f>SUM(K184,K185,K196,K208,K209)</f>
        <v>133203</v>
      </c>
      <c r="L210" s="1691">
        <f>SUM(L184,L185,L196,L208,L209)</f>
        <v>198000</v>
      </c>
    </row>
    <row r="211" spans="1:14" ht="13.5" thickTop="1" x14ac:dyDescent="0.2">
      <c r="A211" s="2175" t="s">
        <v>1053</v>
      </c>
      <c r="B211" s="2176"/>
      <c r="C211" s="619"/>
      <c r="D211" s="619"/>
      <c r="E211" s="619"/>
      <c r="F211" s="619"/>
      <c r="G211" s="619"/>
      <c r="H211" s="619"/>
      <c r="I211" s="617"/>
      <c r="J211" s="617"/>
      <c r="K211" s="1705">
        <f>'Revenues 9-14'!F275-'Expenditures 15-22'!K210</f>
        <v>29236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31931</v>
      </c>
      <c r="E215" s="617"/>
      <c r="F215" s="617"/>
      <c r="G215" s="617"/>
      <c r="H215" s="617"/>
      <c r="I215" s="617"/>
      <c r="J215" s="617"/>
      <c r="K215" s="1692">
        <f>D215</f>
        <v>31931</v>
      </c>
      <c r="L215" s="466">
        <v>32606</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1014</v>
      </c>
      <c r="E217" s="617"/>
      <c r="F217" s="617"/>
      <c r="G217" s="617"/>
      <c r="H217" s="617"/>
      <c r="I217" s="617"/>
      <c r="J217" s="617"/>
      <c r="K217" s="1692">
        <f t="shared" si="19"/>
        <v>1014</v>
      </c>
      <c r="L217" s="466">
        <v>4775</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0</v>
      </c>
      <c r="E219" s="617"/>
      <c r="F219" s="617"/>
      <c r="G219" s="617"/>
      <c r="H219" s="617"/>
      <c r="I219" s="617"/>
      <c r="J219" s="617"/>
      <c r="K219" s="1692">
        <f t="shared" si="19"/>
        <v>0</v>
      </c>
      <c r="L219" s="466">
        <v>0</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0</v>
      </c>
      <c r="E222" s="617"/>
      <c r="F222" s="617"/>
      <c r="G222" s="617"/>
      <c r="H222" s="617"/>
      <c r="I222" s="617"/>
      <c r="J222" s="617"/>
      <c r="K222" s="1692">
        <f t="shared" si="19"/>
        <v>0</v>
      </c>
      <c r="L222" s="466">
        <v>0</v>
      </c>
    </row>
    <row r="223" spans="1:14" x14ac:dyDescent="0.2">
      <c r="A223" s="1525" t="s">
        <v>1020</v>
      </c>
      <c r="B223" s="615">
        <v>1500</v>
      </c>
      <c r="C223" s="617"/>
      <c r="D223" s="466">
        <v>240</v>
      </c>
      <c r="E223" s="617"/>
      <c r="F223" s="617"/>
      <c r="G223" s="617"/>
      <c r="H223" s="617"/>
      <c r="I223" s="617"/>
      <c r="J223" s="617"/>
      <c r="K223" s="1692">
        <f t="shared" si="19"/>
        <v>240</v>
      </c>
      <c r="L223" s="466">
        <v>1022</v>
      </c>
    </row>
    <row r="224" spans="1:14" x14ac:dyDescent="0.2">
      <c r="A224" s="1525" t="s">
        <v>1021</v>
      </c>
      <c r="B224" s="615">
        <v>1600</v>
      </c>
      <c r="C224" s="617"/>
      <c r="D224" s="466">
        <v>0</v>
      </c>
      <c r="E224" s="617"/>
      <c r="F224" s="617"/>
      <c r="G224" s="617"/>
      <c r="H224" s="617"/>
      <c r="I224" s="617"/>
      <c r="J224" s="617"/>
      <c r="K224" s="1692">
        <f t="shared" si="19"/>
        <v>0</v>
      </c>
      <c r="L224" s="466">
        <v>0</v>
      </c>
    </row>
    <row r="225" spans="1:12" x14ac:dyDescent="0.2">
      <c r="A225" s="1525" t="s">
        <v>1044</v>
      </c>
      <c r="B225" s="615">
        <v>1650</v>
      </c>
      <c r="C225" s="617"/>
      <c r="D225" s="466">
        <v>858</v>
      </c>
      <c r="E225" s="617"/>
      <c r="F225" s="617"/>
      <c r="G225" s="617"/>
      <c r="H225" s="617"/>
      <c r="I225" s="617"/>
      <c r="J225" s="617"/>
      <c r="K225" s="1692">
        <f t="shared" si="19"/>
        <v>858</v>
      </c>
      <c r="L225" s="466">
        <v>987</v>
      </c>
    </row>
    <row r="226" spans="1:12" x14ac:dyDescent="0.2">
      <c r="A226" s="1525" t="s">
        <v>748</v>
      </c>
      <c r="B226" s="615" t="s">
        <v>164</v>
      </c>
      <c r="C226" s="617"/>
      <c r="D226" s="467">
        <v>0</v>
      </c>
      <c r="E226" s="617"/>
      <c r="F226" s="617"/>
      <c r="G226" s="617"/>
      <c r="H226" s="617"/>
      <c r="I226" s="617"/>
      <c r="J226" s="617"/>
      <c r="K226" s="1692">
        <f t="shared" si="19"/>
        <v>0</v>
      </c>
      <c r="L226" s="466">
        <v>0</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34043</v>
      </c>
      <c r="E229" s="617"/>
      <c r="F229" s="617"/>
      <c r="G229" s="617"/>
      <c r="H229" s="617"/>
      <c r="I229" s="617"/>
      <c r="J229" s="617"/>
      <c r="K229" s="1691">
        <f>SUM(K215:K228)</f>
        <v>34043</v>
      </c>
      <c r="L229" s="1691">
        <f>SUM(L215:L228)</f>
        <v>39390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92">
        <f t="shared" ref="K232:K237" si="20">D232</f>
        <v>0</v>
      </c>
      <c r="L232" s="466">
        <v>0</v>
      </c>
    </row>
    <row r="233" spans="1:12" x14ac:dyDescent="0.2">
      <c r="A233" s="1525" t="s">
        <v>1151</v>
      </c>
      <c r="B233" s="615">
        <v>2120</v>
      </c>
      <c r="C233" s="617"/>
      <c r="D233" s="466">
        <v>687</v>
      </c>
      <c r="E233" s="617"/>
      <c r="F233" s="617"/>
      <c r="G233" s="617"/>
      <c r="H233" s="617"/>
      <c r="I233" s="617"/>
      <c r="J233" s="617"/>
      <c r="K233" s="1692">
        <f t="shared" si="20"/>
        <v>687</v>
      </c>
      <c r="L233" s="466">
        <v>701</v>
      </c>
    </row>
    <row r="234" spans="1:12" x14ac:dyDescent="0.2">
      <c r="A234" s="1525" t="s">
        <v>207</v>
      </c>
      <c r="B234" s="615">
        <v>2130</v>
      </c>
      <c r="C234" s="617"/>
      <c r="D234" s="466">
        <v>231</v>
      </c>
      <c r="E234" s="617"/>
      <c r="F234" s="617"/>
      <c r="G234" s="617"/>
      <c r="H234" s="617"/>
      <c r="I234" s="617"/>
      <c r="J234" s="617"/>
      <c r="K234" s="1692">
        <f t="shared" si="20"/>
        <v>231</v>
      </c>
      <c r="L234" s="466">
        <v>231</v>
      </c>
    </row>
    <row r="235" spans="1:12" x14ac:dyDescent="0.2">
      <c r="A235" s="1525" t="s">
        <v>208</v>
      </c>
      <c r="B235" s="615">
        <v>2140</v>
      </c>
      <c r="C235" s="617"/>
      <c r="D235" s="466">
        <v>0</v>
      </c>
      <c r="E235" s="617"/>
      <c r="F235" s="617"/>
      <c r="G235" s="617"/>
      <c r="H235" s="617"/>
      <c r="I235" s="617"/>
      <c r="J235" s="617"/>
      <c r="K235" s="1692">
        <f t="shared" si="20"/>
        <v>0</v>
      </c>
      <c r="L235" s="466">
        <v>0</v>
      </c>
    </row>
    <row r="236" spans="1:12" x14ac:dyDescent="0.2">
      <c r="A236" s="1525" t="s">
        <v>209</v>
      </c>
      <c r="B236" s="615">
        <v>2150</v>
      </c>
      <c r="C236" s="617"/>
      <c r="D236" s="466">
        <v>781</v>
      </c>
      <c r="E236" s="617"/>
      <c r="F236" s="617"/>
      <c r="G236" s="617"/>
      <c r="H236" s="617"/>
      <c r="I236" s="617"/>
      <c r="J236" s="617"/>
      <c r="K236" s="1692">
        <f t="shared" si="20"/>
        <v>781</v>
      </c>
      <c r="L236" s="466">
        <v>781</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1699</v>
      </c>
      <c r="E238" s="617"/>
      <c r="F238" s="617"/>
      <c r="G238" s="617"/>
      <c r="H238" s="617"/>
      <c r="I238" s="617"/>
      <c r="J238" s="617"/>
      <c r="K238" s="1691">
        <f>SUM(K232:K237)</f>
        <v>1699</v>
      </c>
      <c r="L238" s="1691">
        <f>SUM(L232:L237)</f>
        <v>1713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0</v>
      </c>
      <c r="E240" s="617"/>
      <c r="F240" s="617"/>
      <c r="G240" s="617"/>
      <c r="H240" s="617"/>
      <c r="I240" s="617"/>
      <c r="J240" s="617"/>
      <c r="K240" s="1693">
        <f>D240</f>
        <v>0</v>
      </c>
      <c r="L240" s="481">
        <v>0</v>
      </c>
    </row>
    <row r="241" spans="1:12" x14ac:dyDescent="0.2">
      <c r="A241" s="1525" t="s">
        <v>869</v>
      </c>
      <c r="B241" s="615">
        <v>2220</v>
      </c>
      <c r="C241" s="617"/>
      <c r="D241" s="466">
        <v>21218</v>
      </c>
      <c r="E241" s="617"/>
      <c r="F241" s="617"/>
      <c r="G241" s="617"/>
      <c r="H241" s="617"/>
      <c r="I241" s="617"/>
      <c r="J241" s="617"/>
      <c r="K241" s="1693">
        <f>D241</f>
        <v>21218</v>
      </c>
      <c r="L241" s="466">
        <v>21183</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21218</v>
      </c>
      <c r="E243" s="617"/>
      <c r="F243" s="617"/>
      <c r="G243" s="617"/>
      <c r="H243" s="617"/>
      <c r="I243" s="617"/>
      <c r="J243" s="617"/>
      <c r="K243" s="1691">
        <f>SUM(K240:K242)</f>
        <v>21218</v>
      </c>
      <c r="L243" s="1691">
        <f>SUM(L240:L242)</f>
        <v>21183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0</v>
      </c>
      <c r="E245" s="617"/>
      <c r="F245" s="617"/>
      <c r="G245" s="617"/>
      <c r="H245" s="617"/>
      <c r="I245" s="617"/>
      <c r="J245" s="617"/>
      <c r="K245" s="1693">
        <f>D245</f>
        <v>0</v>
      </c>
      <c r="L245" s="481">
        <v>0</v>
      </c>
    </row>
    <row r="246" spans="1:12" x14ac:dyDescent="0.2">
      <c r="A246" s="1525" t="s">
        <v>872</v>
      </c>
      <c r="B246" s="615">
        <v>2320</v>
      </c>
      <c r="C246" s="617"/>
      <c r="D246" s="466">
        <v>3505</v>
      </c>
      <c r="E246" s="617"/>
      <c r="F246" s="617"/>
      <c r="G246" s="617"/>
      <c r="H246" s="617"/>
      <c r="I246" s="617"/>
      <c r="J246" s="617"/>
      <c r="K246" s="1693">
        <f t="shared" ref="K246:K256" si="21">D246</f>
        <v>3505</v>
      </c>
      <c r="L246" s="466">
        <v>3503</v>
      </c>
    </row>
    <row r="247" spans="1:12" x14ac:dyDescent="0.2">
      <c r="A247" s="1525" t="s">
        <v>873</v>
      </c>
      <c r="B247" s="615">
        <v>2330</v>
      </c>
      <c r="C247" s="617"/>
      <c r="D247" s="466">
        <v>0</v>
      </c>
      <c r="E247" s="617"/>
      <c r="F247" s="617"/>
      <c r="G247" s="617"/>
      <c r="H247" s="617"/>
      <c r="I247" s="617"/>
      <c r="J247" s="617"/>
      <c r="K247" s="1693">
        <f t="shared" si="21"/>
        <v>0</v>
      </c>
      <c r="L247" s="466">
        <v>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1908</v>
      </c>
      <c r="B249" s="684" t="s">
        <v>300</v>
      </c>
      <c r="C249" s="617"/>
      <c r="D249" s="474">
        <v>0</v>
      </c>
      <c r="E249" s="617"/>
      <c r="F249" s="617"/>
      <c r="G249" s="617"/>
      <c r="H249" s="617"/>
      <c r="I249" s="617"/>
      <c r="J249" s="617"/>
      <c r="K249" s="1693">
        <f t="shared" si="21"/>
        <v>0</v>
      </c>
      <c r="L249" s="466">
        <v>0</v>
      </c>
    </row>
    <row r="250" spans="1:12" x14ac:dyDescent="0.2">
      <c r="A250" s="1526" t="s">
        <v>1909</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3505</v>
      </c>
      <c r="E257" s="617"/>
      <c r="F257" s="617"/>
      <c r="G257" s="617"/>
      <c r="H257" s="617"/>
      <c r="I257" s="617"/>
      <c r="J257" s="617"/>
      <c r="K257" s="1691">
        <f>SUM(K245:K256)</f>
        <v>3505</v>
      </c>
      <c r="L257" s="1691">
        <f>SUM(L245:L256)</f>
        <v>3503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20263</v>
      </c>
      <c r="E259" s="617"/>
      <c r="F259" s="617"/>
      <c r="G259" s="617"/>
      <c r="H259" s="617"/>
      <c r="I259" s="617"/>
      <c r="J259" s="617"/>
      <c r="K259" s="1693">
        <f>D259</f>
        <v>20263</v>
      </c>
      <c r="L259" s="481">
        <v>20636</v>
      </c>
    </row>
    <row r="260" spans="1:14" s="598" customFormat="1" x14ac:dyDescent="0.2">
      <c r="A260" s="1543" t="s">
        <v>1907</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20263</v>
      </c>
      <c r="E261" s="617"/>
      <c r="F261" s="617"/>
      <c r="G261" s="617"/>
      <c r="H261" s="617"/>
      <c r="I261" s="617"/>
      <c r="J261" s="617"/>
      <c r="K261" s="1691">
        <f>SUM(K259:K260)</f>
        <v>20263</v>
      </c>
      <c r="L261" s="1691">
        <f>SUM(L259:L260)</f>
        <v>20636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0</v>
      </c>
      <c r="E263" s="617"/>
      <c r="F263" s="617"/>
      <c r="G263" s="617"/>
      <c r="H263" s="617"/>
      <c r="I263" s="617"/>
      <c r="J263" s="617"/>
      <c r="K263" s="1693">
        <f>D263</f>
        <v>0</v>
      </c>
      <c r="L263" s="481">
        <v>0</v>
      </c>
    </row>
    <row r="264" spans="1:14" x14ac:dyDescent="0.2">
      <c r="A264" s="1525" t="s">
        <v>483</v>
      </c>
      <c r="B264" s="686">
        <v>2520</v>
      </c>
      <c r="C264" s="617"/>
      <c r="D264" s="466">
        <v>19073</v>
      </c>
      <c r="E264" s="617"/>
      <c r="F264" s="617"/>
      <c r="G264" s="617"/>
      <c r="H264" s="617"/>
      <c r="I264" s="617"/>
      <c r="J264" s="617"/>
      <c r="K264" s="1693">
        <f t="shared" ref="K264:K269" si="22">D264</f>
        <v>19073</v>
      </c>
      <c r="L264" s="466">
        <v>19124</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15754</v>
      </c>
      <c r="E266" s="617"/>
      <c r="F266" s="617"/>
      <c r="G266" s="617"/>
      <c r="H266" s="617"/>
      <c r="I266" s="617"/>
      <c r="J266" s="617"/>
      <c r="K266" s="1693">
        <f t="shared" si="22"/>
        <v>15754</v>
      </c>
      <c r="L266" s="466">
        <v>16344</v>
      </c>
    </row>
    <row r="267" spans="1:14" x14ac:dyDescent="0.2">
      <c r="A267" s="1525" t="s">
        <v>1010</v>
      </c>
      <c r="B267" s="615">
        <v>2550</v>
      </c>
      <c r="C267" s="617"/>
      <c r="D267" s="466">
        <v>0</v>
      </c>
      <c r="E267" s="617"/>
      <c r="F267" s="617"/>
      <c r="G267" s="617"/>
      <c r="H267" s="617"/>
      <c r="I267" s="617"/>
      <c r="J267" s="617"/>
      <c r="K267" s="1693">
        <f t="shared" si="22"/>
        <v>0</v>
      </c>
      <c r="L267" s="466">
        <v>0</v>
      </c>
    </row>
    <row r="268" spans="1:14" x14ac:dyDescent="0.2">
      <c r="A268" s="1525" t="s">
        <v>102</v>
      </c>
      <c r="B268" s="615">
        <v>2560</v>
      </c>
      <c r="C268" s="617"/>
      <c r="D268" s="466">
        <v>496</v>
      </c>
      <c r="E268" s="617"/>
      <c r="F268" s="617"/>
      <c r="G268" s="617"/>
      <c r="H268" s="617"/>
      <c r="I268" s="617"/>
      <c r="J268" s="617"/>
      <c r="K268" s="1693">
        <f t="shared" si="22"/>
        <v>496</v>
      </c>
      <c r="L268" s="466">
        <v>364</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35323</v>
      </c>
      <c r="E270" s="617"/>
      <c r="F270" s="617"/>
      <c r="G270" s="617"/>
      <c r="H270" s="617"/>
      <c r="I270" s="617"/>
      <c r="J270" s="617"/>
      <c r="K270" s="1691">
        <f>SUM(K263:K269)</f>
        <v>35323</v>
      </c>
      <c r="L270" s="1691">
        <f>SUM(L263:L269)</f>
        <v>35832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82008</v>
      </c>
      <c r="E279" s="617"/>
      <c r="F279" s="617"/>
      <c r="G279" s="617"/>
      <c r="H279" s="617"/>
      <c r="I279" s="617"/>
      <c r="J279" s="617"/>
      <c r="K279" s="1698">
        <f>SUM(K238,K243,K257,K261,K270,K277,K278)</f>
        <v>82008</v>
      </c>
      <c r="L279" s="1698">
        <f>SUM(L238,L243,L257,L261,L270,L277,L278)</f>
        <v>82867</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3" t="s">
        <v>526</v>
      </c>
      <c r="B295" s="2194"/>
      <c r="C295" s="617"/>
      <c r="D295" s="1691">
        <f>SUM(D229,D279,D280,D285)</f>
        <v>116051</v>
      </c>
      <c r="E295" s="617"/>
      <c r="F295" s="617"/>
      <c r="G295" s="617"/>
      <c r="H295" s="1691">
        <f>H293</f>
        <v>0</v>
      </c>
      <c r="I295" s="617"/>
      <c r="J295" s="617"/>
      <c r="K295" s="1691">
        <f>SUM(K229,K279,K280,K285,K293,K294)</f>
        <v>116051</v>
      </c>
      <c r="L295" s="1691">
        <f>SUM(L229,L279,L280,L285,L293,L294)</f>
        <v>122257</v>
      </c>
    </row>
    <row r="296" spans="1:14" ht="13.5" thickTop="1" x14ac:dyDescent="0.2">
      <c r="A296" s="2175" t="s">
        <v>1053</v>
      </c>
      <c r="B296" s="2176"/>
      <c r="C296" s="617"/>
      <c r="D296" s="619"/>
      <c r="E296" s="617"/>
      <c r="F296" s="617"/>
      <c r="G296" s="617"/>
      <c r="H296" s="688"/>
      <c r="I296" s="617"/>
      <c r="J296" s="617"/>
      <c r="K296" s="1705">
        <f>'Revenues 9-14'!G275-'Expenditures 15-22'!K295</f>
        <v>16593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468947</v>
      </c>
      <c r="F301" s="466">
        <v>0</v>
      </c>
      <c r="G301" s="466">
        <v>732464</v>
      </c>
      <c r="H301" s="466">
        <v>0</v>
      </c>
      <c r="I301" s="467">
        <v>0</v>
      </c>
      <c r="J301" s="467">
        <v>0</v>
      </c>
      <c r="K301" s="1692">
        <f>SUM(C301:J301)</f>
        <v>1201411</v>
      </c>
      <c r="L301" s="467">
        <v>1500000</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468947</v>
      </c>
      <c r="F303" s="1698">
        <f t="shared" si="23"/>
        <v>0</v>
      </c>
      <c r="G303" s="1698">
        <f t="shared" si="23"/>
        <v>732464</v>
      </c>
      <c r="H303" s="1698">
        <f t="shared" si="23"/>
        <v>0</v>
      </c>
      <c r="I303" s="1698">
        <f t="shared" si="23"/>
        <v>0</v>
      </c>
      <c r="J303" s="1698">
        <f t="shared" si="23"/>
        <v>0</v>
      </c>
      <c r="K303" s="1698">
        <f t="shared" si="23"/>
        <v>1201411</v>
      </c>
      <c r="L303" s="1698">
        <f t="shared" si="23"/>
        <v>1500000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90" t="s">
        <v>295</v>
      </c>
      <c r="B312" s="2191"/>
      <c r="C312" s="1691">
        <f>SUM(C303)</f>
        <v>0</v>
      </c>
      <c r="D312" s="1691">
        <f>SUM(D303)</f>
        <v>0</v>
      </c>
      <c r="E312" s="1691">
        <f>SUM(E303,E310)</f>
        <v>468947</v>
      </c>
      <c r="F312" s="1691">
        <f>SUM(F303)</f>
        <v>0</v>
      </c>
      <c r="G312" s="1691">
        <f>SUM(G303)</f>
        <v>732464</v>
      </c>
      <c r="H312" s="1691">
        <f>SUM(H303,H310)</f>
        <v>0</v>
      </c>
      <c r="I312" s="1691">
        <f>SUM(I303)</f>
        <v>0</v>
      </c>
      <c r="J312" s="1691">
        <f>SUM(J303)</f>
        <v>0</v>
      </c>
      <c r="K312" s="1691">
        <f>SUM(K303,K310,K311)</f>
        <v>1201411</v>
      </c>
      <c r="L312" s="1691">
        <f>SUM(L303,L310,L311)</f>
        <v>1500000</v>
      </c>
      <c r="M312" s="666"/>
      <c r="N312" s="666"/>
    </row>
    <row r="313" spans="1:14" ht="13.5" thickTop="1" x14ac:dyDescent="0.2">
      <c r="A313" s="2186" t="s">
        <v>1053</v>
      </c>
      <c r="B313" s="2187"/>
      <c r="C313" s="627"/>
      <c r="D313" s="627"/>
      <c r="E313" s="627"/>
      <c r="F313" s="627"/>
      <c r="G313" s="627"/>
      <c r="H313" s="627"/>
      <c r="I313" s="627"/>
      <c r="J313" s="627"/>
      <c r="K313" s="1706">
        <f>'Revenues 9-14'!H275-'Expenditures 15-22'!K312</f>
        <v>-1196168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1908</v>
      </c>
      <c r="B320" s="699" t="s">
        <v>300</v>
      </c>
      <c r="C320" s="467">
        <v>0</v>
      </c>
      <c r="D320" s="467">
        <v>0</v>
      </c>
      <c r="E320" s="467">
        <v>0</v>
      </c>
      <c r="F320" s="467">
        <v>0</v>
      </c>
      <c r="G320" s="467">
        <v>0</v>
      </c>
      <c r="H320" s="467">
        <v>0</v>
      </c>
      <c r="I320" s="467">
        <v>0</v>
      </c>
      <c r="J320" s="467">
        <v>0</v>
      </c>
      <c r="K320" s="1692">
        <f t="shared" ref="K320:K327" si="24">SUM(C320:J320)</f>
        <v>0</v>
      </c>
      <c r="L320" s="467">
        <v>0</v>
      </c>
      <c r="M320" s="666"/>
      <c r="N320" s="666"/>
    </row>
    <row r="321" spans="1:14" s="675" customFormat="1" x14ac:dyDescent="0.2">
      <c r="A321" s="1540" t="s">
        <v>318</v>
      </c>
      <c r="B321" s="698" t="s">
        <v>301</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302</v>
      </c>
      <c r="C322" s="467">
        <v>0</v>
      </c>
      <c r="D322" s="467">
        <v>0</v>
      </c>
      <c r="E322" s="467">
        <v>0</v>
      </c>
      <c r="F322" s="467">
        <v>0</v>
      </c>
      <c r="G322" s="467">
        <v>0</v>
      </c>
      <c r="H322" s="467">
        <v>0</v>
      </c>
      <c r="I322" s="467">
        <v>0</v>
      </c>
      <c r="J322" s="467">
        <v>0</v>
      </c>
      <c r="K322" s="1692">
        <f t="shared" si="24"/>
        <v>0</v>
      </c>
      <c r="L322" s="467">
        <v>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492</v>
      </c>
      <c r="B328" s="691" t="s">
        <v>1194</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8" t="s">
        <v>1053</v>
      </c>
      <c r="B343" s="2189"/>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v>0</v>
      </c>
      <c r="I354" s="702"/>
      <c r="J354" s="617"/>
      <c r="K354" s="1720">
        <f>H354</f>
        <v>0</v>
      </c>
      <c r="L354" s="471">
        <v>0</v>
      </c>
    </row>
    <row r="355" spans="1:14" ht="12.75" customHeight="1" x14ac:dyDescent="0.2">
      <c r="A355" s="1534" t="s">
        <v>1966</v>
      </c>
      <c r="B355" s="691" t="s">
        <v>1959</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5" t="s">
        <v>1053</v>
      </c>
      <c r="B368" s="2176"/>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2" t="s">
        <v>1905</v>
      </c>
      <c r="B2" s="1549" t="s">
        <v>2037</v>
      </c>
      <c r="C2" s="715" t="s">
        <v>1910</v>
      </c>
      <c r="D2" s="715" t="s">
        <v>1911</v>
      </c>
      <c r="E2" s="715" t="s">
        <v>1912</v>
      </c>
      <c r="F2" s="715" t="s">
        <v>1913</v>
      </c>
    </row>
    <row r="3" spans="1:6" ht="12" customHeight="1" x14ac:dyDescent="0.2">
      <c r="A3" s="2203"/>
      <c r="B3" s="1546"/>
      <c r="C3" s="1547"/>
      <c r="D3" s="1548" t="s">
        <v>274</v>
      </c>
      <c r="E3" s="1547"/>
      <c r="F3" s="1548" t="s">
        <v>275</v>
      </c>
    </row>
    <row r="4" spans="1:6" ht="13.7" customHeight="1" x14ac:dyDescent="0.2">
      <c r="A4" s="716" t="s">
        <v>1217</v>
      </c>
      <c r="B4" s="1770">
        <v>4636770</v>
      </c>
      <c r="C4" s="1545">
        <v>2483826</v>
      </c>
      <c r="D4" s="1773">
        <f>B4-C4</f>
        <v>2152944</v>
      </c>
      <c r="E4" s="1545">
        <v>4202255</v>
      </c>
      <c r="F4" s="1773">
        <f>E4-C4</f>
        <v>1718429</v>
      </c>
    </row>
    <row r="5" spans="1:6" ht="13.7" customHeight="1" x14ac:dyDescent="0.2">
      <c r="A5" s="716" t="s">
        <v>925</v>
      </c>
      <c r="B5" s="1771">
        <v>1116127</v>
      </c>
      <c r="C5" s="585">
        <v>600594</v>
      </c>
      <c r="D5" s="1774">
        <f t="shared" ref="D5:D18" si="0">B5-C5</f>
        <v>515533</v>
      </c>
      <c r="E5" s="585">
        <v>1016114</v>
      </c>
      <c r="F5" s="1774">
        <f>E5-C5</f>
        <v>415520</v>
      </c>
    </row>
    <row r="6" spans="1:6" ht="13.7" customHeight="1" x14ac:dyDescent="0.2">
      <c r="A6" s="716" t="s">
        <v>431</v>
      </c>
      <c r="B6" s="1771">
        <f>'Revenues 9-14'!E5</f>
        <v>0</v>
      </c>
      <c r="C6" s="585">
        <v>0</v>
      </c>
      <c r="D6" s="1774">
        <f t="shared" si="0"/>
        <v>0</v>
      </c>
      <c r="E6" s="585">
        <v>0</v>
      </c>
      <c r="F6" s="1774">
        <f t="shared" ref="F6:F18" si="1">E6-C6</f>
        <v>0</v>
      </c>
    </row>
    <row r="7" spans="1:6" ht="13.7" customHeight="1" x14ac:dyDescent="0.2">
      <c r="A7" s="716" t="s">
        <v>157</v>
      </c>
      <c r="B7" s="1771">
        <v>107466</v>
      </c>
      <c r="C7" s="585">
        <v>59109</v>
      </c>
      <c r="D7" s="1774">
        <f t="shared" si="0"/>
        <v>48357</v>
      </c>
      <c r="E7" s="585">
        <v>100004</v>
      </c>
      <c r="F7" s="1774">
        <f t="shared" si="1"/>
        <v>40895</v>
      </c>
    </row>
    <row r="8" spans="1:6" ht="13.7" customHeight="1" x14ac:dyDescent="0.2">
      <c r="A8" s="716" t="s">
        <v>1241</v>
      </c>
      <c r="B8" s="1771">
        <v>54177</v>
      </c>
      <c r="C8" s="585">
        <v>29798</v>
      </c>
      <c r="D8" s="1774">
        <f t="shared" si="0"/>
        <v>24379</v>
      </c>
      <c r="E8" s="585">
        <v>50414</v>
      </c>
      <c r="F8" s="1774">
        <f t="shared" si="1"/>
        <v>20616</v>
      </c>
    </row>
    <row r="9" spans="1:6" ht="13.7" customHeight="1" x14ac:dyDescent="0.2">
      <c r="A9" s="716" t="s">
        <v>428</v>
      </c>
      <c r="B9" s="1771">
        <f>'Revenues 9-14'!H5</f>
        <v>0</v>
      </c>
      <c r="C9" s="585">
        <v>0</v>
      </c>
      <c r="D9" s="1774">
        <f t="shared" si="0"/>
        <v>0</v>
      </c>
      <c r="E9" s="585">
        <v>0</v>
      </c>
      <c r="F9" s="1774">
        <f t="shared" si="1"/>
        <v>0</v>
      </c>
    </row>
    <row r="10" spans="1:6" ht="13.7" customHeight="1" x14ac:dyDescent="0.2">
      <c r="A10" s="716" t="s">
        <v>427</v>
      </c>
      <c r="B10" s="1771">
        <v>52440</v>
      </c>
      <c r="C10" s="585">
        <v>28844</v>
      </c>
      <c r="D10" s="1774">
        <f t="shared" si="0"/>
        <v>23596</v>
      </c>
      <c r="E10" s="585">
        <v>48799</v>
      </c>
      <c r="F10" s="1774">
        <f t="shared" si="1"/>
        <v>19955</v>
      </c>
    </row>
    <row r="11" spans="1:6" x14ac:dyDescent="0.2">
      <c r="A11" s="716" t="s">
        <v>429</v>
      </c>
      <c r="B11" s="1771">
        <f>'Revenues 9-14'!J5</f>
        <v>0</v>
      </c>
      <c r="C11" s="585">
        <v>0</v>
      </c>
      <c r="D11" s="1774">
        <f t="shared" si="0"/>
        <v>0</v>
      </c>
      <c r="E11" s="585">
        <v>0</v>
      </c>
      <c r="F11" s="1774">
        <f t="shared" si="1"/>
        <v>0</v>
      </c>
    </row>
    <row r="12" spans="1:6" ht="13.7" customHeight="1" x14ac:dyDescent="0.2">
      <c r="A12" s="716" t="s">
        <v>159</v>
      </c>
      <c r="B12" s="1771">
        <f>'Revenues 9-14'!K5</f>
        <v>0</v>
      </c>
      <c r="C12" s="585">
        <v>0</v>
      </c>
      <c r="D12" s="1774">
        <f t="shared" si="0"/>
        <v>0</v>
      </c>
      <c r="E12" s="585">
        <v>0</v>
      </c>
      <c r="F12" s="1774">
        <f t="shared" si="1"/>
        <v>0</v>
      </c>
    </row>
    <row r="13" spans="1:6" ht="13.7" customHeight="1" x14ac:dyDescent="0.2">
      <c r="A13" s="716" t="s">
        <v>993</v>
      </c>
      <c r="B13" s="1771">
        <f>SUM('Revenues 9-14'!C6:D6)</f>
        <v>0</v>
      </c>
      <c r="C13" s="585">
        <v>0</v>
      </c>
      <c r="D13" s="1774">
        <f t="shared" si="0"/>
        <v>0</v>
      </c>
      <c r="E13" s="585">
        <v>0</v>
      </c>
      <c r="F13" s="1774">
        <f t="shared" si="1"/>
        <v>0</v>
      </c>
    </row>
    <row r="14" spans="1:6" ht="13.7" customHeight="1" x14ac:dyDescent="0.2">
      <c r="A14" s="716" t="s">
        <v>430</v>
      </c>
      <c r="B14" s="1771">
        <f>SUM('Revenues 9-14'!C7:D7,'Revenues 9-14'!F7:H7)</f>
        <v>0</v>
      </c>
      <c r="C14" s="585">
        <v>0</v>
      </c>
      <c r="D14" s="1774">
        <f t="shared" si="0"/>
        <v>0</v>
      </c>
      <c r="E14" s="585">
        <v>0</v>
      </c>
      <c r="F14" s="1774">
        <f t="shared" si="1"/>
        <v>0</v>
      </c>
    </row>
    <row r="15" spans="1:6" ht="13.7" customHeight="1" x14ac:dyDescent="0.2">
      <c r="A15" s="716" t="s">
        <v>1220</v>
      </c>
      <c r="B15" s="1771">
        <f>'Revenues 9-14'!E9</f>
        <v>0</v>
      </c>
      <c r="C15" s="585">
        <v>0</v>
      </c>
      <c r="D15" s="1774">
        <f t="shared" si="0"/>
        <v>0</v>
      </c>
      <c r="E15" s="585">
        <v>0</v>
      </c>
      <c r="F15" s="1774">
        <f t="shared" si="1"/>
        <v>0</v>
      </c>
    </row>
    <row r="16" spans="1:6" ht="13.7" customHeight="1" x14ac:dyDescent="0.2">
      <c r="A16" s="716" t="s">
        <v>1221</v>
      </c>
      <c r="B16" s="1771">
        <v>84520</v>
      </c>
      <c r="C16" s="585">
        <v>46488</v>
      </c>
      <c r="D16" s="1774">
        <f t="shared" si="0"/>
        <v>38032</v>
      </c>
      <c r="E16" s="585">
        <v>78650</v>
      </c>
      <c r="F16" s="1774">
        <f t="shared" si="1"/>
        <v>32162</v>
      </c>
    </row>
    <row r="17" spans="1:6" ht="13.7" customHeight="1" x14ac:dyDescent="0.2">
      <c r="A17" s="716" t="s">
        <v>1222</v>
      </c>
      <c r="B17" s="1771">
        <f>'Revenues 9-14'!C10</f>
        <v>0</v>
      </c>
      <c r="C17" s="585">
        <v>0</v>
      </c>
      <c r="D17" s="1774">
        <f t="shared" si="0"/>
        <v>0</v>
      </c>
      <c r="E17" s="585">
        <v>0</v>
      </c>
      <c r="F17" s="1774">
        <f t="shared" si="1"/>
        <v>0</v>
      </c>
    </row>
    <row r="18" spans="1:6" ht="13.7" customHeight="1" x14ac:dyDescent="0.2">
      <c r="A18" s="716" t="s">
        <v>786</v>
      </c>
      <c r="B18" s="1771">
        <f>SUM('Revenues 9-14'!C11:K11)</f>
        <v>0</v>
      </c>
      <c r="C18" s="585">
        <v>0</v>
      </c>
      <c r="D18" s="1774">
        <f t="shared" si="0"/>
        <v>0</v>
      </c>
      <c r="E18" s="585">
        <v>0</v>
      </c>
      <c r="F18" s="1774">
        <f t="shared" si="1"/>
        <v>0</v>
      </c>
    </row>
    <row r="19" spans="1:6" ht="13.7" customHeight="1" thickBot="1" x14ac:dyDescent="0.25">
      <c r="A19" s="1775" t="s">
        <v>1223</v>
      </c>
      <c r="B19" s="1772">
        <f>SUM(B4:B18)</f>
        <v>6051500</v>
      </c>
      <c r="C19" s="1772">
        <f>SUM(C4:C18)</f>
        <v>3248659</v>
      </c>
      <c r="D19" s="1772">
        <f>SUM(D4:D18)</f>
        <v>2802841</v>
      </c>
      <c r="E19" s="1772">
        <f>SUM(E4:E18)</f>
        <v>5496236</v>
      </c>
      <c r="F19" s="1772">
        <f>SUM(F4:F18)</f>
        <v>2247577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colorId="8" zoomScale="110" zoomScaleNormal="110" workbookViewId="0">
      <selection activeCell="H24" sqref="H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8" t="s">
        <v>2038</v>
      </c>
      <c r="D2" s="724" t="s">
        <v>2045</v>
      </c>
      <c r="E2" s="724" t="s">
        <v>2046</v>
      </c>
      <c r="F2" s="1908"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6">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5" t="s">
        <v>652</v>
      </c>
      <c r="B15" s="2216"/>
      <c r="C15" s="1776">
        <f>SUM(C6:C14)</f>
        <v>0</v>
      </c>
      <c r="D15" s="1776">
        <f>SUM(D6:D14)</f>
        <v>0</v>
      </c>
      <c r="E15" s="1776">
        <f>SUM(E6:E14)</f>
        <v>0</v>
      </c>
      <c r="F15" s="1776">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6">
        <f>SUM(C17+D17)-E17</f>
        <v>0</v>
      </c>
    </row>
    <row r="18" spans="1:11" ht="12.75" customHeight="1" thickTop="1" thickBot="1" x14ac:dyDescent="0.25">
      <c r="A18" s="2210" t="s">
        <v>6</v>
      </c>
      <c r="B18" s="2211"/>
      <c r="C18" s="727"/>
      <c r="D18" s="585"/>
      <c r="E18" s="727"/>
      <c r="F18" s="1776">
        <f>SUM(C18+D18)-E18</f>
        <v>0</v>
      </c>
    </row>
    <row r="19" spans="1:11" ht="12.75" customHeight="1" thickTop="1" thickBot="1" x14ac:dyDescent="0.25">
      <c r="A19" s="2210" t="s">
        <v>406</v>
      </c>
      <c r="B19" s="2211"/>
      <c r="C19" s="727"/>
      <c r="D19" s="585"/>
      <c r="E19" s="727"/>
      <c r="F19" s="1776">
        <f>SUM(C19+D19)-E19</f>
        <v>0</v>
      </c>
    </row>
    <row r="20" spans="1:11" ht="12.75" customHeight="1" thickTop="1" thickBot="1" x14ac:dyDescent="0.25">
      <c r="A20" s="2210" t="s">
        <v>468</v>
      </c>
      <c r="B20" s="2211"/>
      <c r="C20" s="727"/>
      <c r="D20" s="585"/>
      <c r="E20" s="727"/>
      <c r="F20" s="1776">
        <f>SUM(C20+D20)-E20</f>
        <v>0</v>
      </c>
    </row>
    <row r="21" spans="1:11" ht="14.25" thickTop="1" thickBot="1" x14ac:dyDescent="0.25">
      <c r="A21" s="2215" t="s">
        <v>653</v>
      </c>
      <c r="B21" s="2216"/>
      <c r="C21" s="1776">
        <f>SUM(C17:C20)</f>
        <v>0</v>
      </c>
      <c r="D21" s="1776">
        <f>SUM(D17:D20)</f>
        <v>0</v>
      </c>
      <c r="E21" s="1776">
        <f>SUM(E17:E20)</f>
        <v>0</v>
      </c>
      <c r="F21" s="1776">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6">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6">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6">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1"/>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8"/>
      <c r="G12" s="1779">
        <f>SUM(G5:G11)</f>
        <v>0</v>
      </c>
      <c r="H12" s="1779">
        <f>SUM(H5:H11)</f>
        <v>0</v>
      </c>
      <c r="I12" s="1779">
        <f>SUM(I5:I11)</f>
        <v>0</v>
      </c>
      <c r="J12" s="1779">
        <f>SUM(J5:J11)</f>
        <v>0</v>
      </c>
      <c r="K12" s="1779">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0"/>
      <c r="G21" s="793"/>
      <c r="H21" s="797"/>
      <c r="I21" s="797"/>
      <c r="J21" s="1781">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2"/>
      <c r="G23" s="1779">
        <f>SUM(G14:G16,G21,G22)</f>
        <v>0</v>
      </c>
      <c r="H23" s="1779">
        <f>SUM(H14:H16,H21,H22)</f>
        <v>0</v>
      </c>
      <c r="I23" s="1779">
        <f>SUM(I14:I16,I21,I22)</f>
        <v>0</v>
      </c>
      <c r="J23" s="1779">
        <f>SUM(J14:J16,J21,J22)</f>
        <v>0</v>
      </c>
      <c r="K23" s="1779">
        <f>SUM(K14:K16,K21,K22)</f>
        <v>0</v>
      </c>
    </row>
    <row r="24" spans="1:11" ht="14.25" thickTop="1" thickBot="1" x14ac:dyDescent="0.25">
      <c r="A24" s="2267" t="s">
        <v>2026</v>
      </c>
      <c r="B24" s="2266"/>
      <c r="C24" s="2266"/>
      <c r="D24" s="2266"/>
      <c r="E24" s="2266"/>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F1" colorId="8" zoomScale="110" zoomScaleNormal="110" workbookViewId="0">
      <selection activeCell="H13" sqref="H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382477</v>
      </c>
      <c r="D5" s="842"/>
      <c r="E5" s="842"/>
      <c r="F5" s="1781">
        <f>(C5+D5)-E5</f>
        <v>382477</v>
      </c>
      <c r="G5" s="838"/>
      <c r="H5" s="843"/>
      <c r="I5" s="843"/>
      <c r="J5" s="843"/>
      <c r="K5" s="794"/>
      <c r="L5" s="1790">
        <f>F5-K5</f>
        <v>382477</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11565778</v>
      </c>
      <c r="D8" s="845">
        <v>1023759</v>
      </c>
      <c r="E8" s="845"/>
      <c r="F8" s="1781">
        <f>(C8+D8)-E8</f>
        <v>12589537</v>
      </c>
      <c r="G8" s="844">
        <v>50</v>
      </c>
      <c r="H8" s="766">
        <v>2399990</v>
      </c>
      <c r="I8" s="766">
        <v>239732</v>
      </c>
      <c r="J8" s="766"/>
      <c r="K8" s="1790">
        <f>(H8+I8)-J8</f>
        <v>2639722</v>
      </c>
      <c r="L8" s="1790">
        <f>F8-K8</f>
        <v>9949815</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1209843</v>
      </c>
      <c r="D10" s="847">
        <v>110211</v>
      </c>
      <c r="E10" s="847"/>
      <c r="F10" s="1785">
        <f>(C10+D10)-E10</f>
        <v>1320054</v>
      </c>
      <c r="G10" s="844">
        <v>20</v>
      </c>
      <c r="H10" s="848">
        <v>380541</v>
      </c>
      <c r="I10" s="848">
        <v>64504</v>
      </c>
      <c r="J10" s="848"/>
      <c r="K10" s="1790">
        <f>(H10+I10)-J10</f>
        <v>445045</v>
      </c>
      <c r="L10" s="1790">
        <f>F10-K10</f>
        <v>875009</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1204196</v>
      </c>
      <c r="D12" s="845">
        <v>17409</v>
      </c>
      <c r="E12" s="845"/>
      <c r="F12" s="1781">
        <f>(C12+D12)-E12</f>
        <v>1221605</v>
      </c>
      <c r="G12" s="844">
        <v>10</v>
      </c>
      <c r="H12" s="766">
        <v>648899</v>
      </c>
      <c r="I12" s="766">
        <v>85147</v>
      </c>
      <c r="J12" s="766"/>
      <c r="K12" s="1790">
        <f>(H12+I12)-J12</f>
        <v>734046</v>
      </c>
      <c r="L12" s="1790">
        <f>F12-K12</f>
        <v>487559</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v>383530</v>
      </c>
      <c r="D15" s="845">
        <v>4987</v>
      </c>
      <c r="E15" s="845">
        <v>383530</v>
      </c>
      <c r="F15" s="1781">
        <f>(C15+D15)-E15</f>
        <v>4987</v>
      </c>
      <c r="G15" s="850" t="s">
        <v>917</v>
      </c>
      <c r="H15" s="782"/>
      <c r="I15" s="782"/>
      <c r="J15" s="782"/>
      <c r="K15" s="782"/>
      <c r="L15" s="1790">
        <f>F15-K15</f>
        <v>4987</v>
      </c>
    </row>
    <row r="16" spans="1:14" ht="15" customHeight="1" thickTop="1" thickBot="1" x14ac:dyDescent="0.25">
      <c r="A16" s="1786" t="s">
        <v>664</v>
      </c>
      <c r="B16" s="1787">
        <v>200</v>
      </c>
      <c r="C16" s="1781">
        <f>SUM(C3,C5:C6,C8:C10,C12:C15)</f>
        <v>14745824</v>
      </c>
      <c r="D16" s="1781">
        <f>SUM(D3,D5:D6,D8:D10,D12:D15)</f>
        <v>1156366</v>
      </c>
      <c r="E16" s="1781">
        <f>SUM(E3,E5:E6,E8:E10,E12:E15)</f>
        <v>383530</v>
      </c>
      <c r="F16" s="1781">
        <f>SUM(F3,F5:F6,F8:F10,F12:F15)</f>
        <v>15518660</v>
      </c>
      <c r="G16" s="844"/>
      <c r="H16" s="1781">
        <f>SUM(H3,H6,H8:H10,H12:H14,)</f>
        <v>3429430</v>
      </c>
      <c r="I16" s="1781">
        <f>SUM(I3,I6,I8:I10,I12:I14,)</f>
        <v>389383</v>
      </c>
      <c r="J16" s="1781">
        <f>SUM(J3,J6,J8:J10,J12:J14,)</f>
        <v>0</v>
      </c>
      <c r="K16" s="1781">
        <f>(H16+I16)-J16</f>
        <v>3818813</v>
      </c>
      <c r="L16" s="1781">
        <f>F16-K16</f>
        <v>11699847</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73661</v>
      </c>
      <c r="G17" s="838">
        <v>10</v>
      </c>
      <c r="H17" s="770"/>
      <c r="I17" s="1790">
        <f>F17/G17</f>
        <v>7366.1</v>
      </c>
      <c r="J17" s="770"/>
      <c r="K17" s="796"/>
      <c r="L17" s="796"/>
    </row>
    <row r="18" spans="1:12" ht="14.25" thickTop="1" thickBot="1" x14ac:dyDescent="0.25">
      <c r="A18" s="1788" t="s">
        <v>706</v>
      </c>
      <c r="B18" s="1789"/>
      <c r="C18" s="772"/>
      <c r="D18" s="772"/>
      <c r="E18" s="772"/>
      <c r="F18" s="851"/>
      <c r="G18" s="852"/>
      <c r="H18" s="774"/>
      <c r="I18" s="1781">
        <f>SUM(I16,I17)</f>
        <v>396749.1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6"/>
  <sheetViews>
    <sheetView showGridLines="0" defaultGridColor="0" topLeftCell="D1" colorId="8" zoomScale="110" zoomScaleNormal="110" workbookViewId="0">
      <pane ySplit="5" topLeftCell="A174" activePane="bottomLeft" state="frozen"/>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3966711</v>
      </c>
      <c r="G8" s="866"/>
    </row>
    <row r="9" spans="1:7" x14ac:dyDescent="0.2">
      <c r="A9" s="870" t="s">
        <v>480</v>
      </c>
      <c r="B9" s="871" t="s">
        <v>1989</v>
      </c>
      <c r="C9" s="872"/>
      <c r="D9" s="870" t="s">
        <v>522</v>
      </c>
      <c r="E9" s="869"/>
      <c r="F9" s="1934">
        <f>'Expenditures 15-22'!K151</f>
        <v>550739</v>
      </c>
      <c r="G9" s="873"/>
    </row>
    <row r="10" spans="1:7" x14ac:dyDescent="0.2">
      <c r="A10" s="870" t="s">
        <v>520</v>
      </c>
      <c r="B10" s="871" t="s">
        <v>1990</v>
      </c>
      <c r="C10" s="872"/>
      <c r="D10" s="870" t="s">
        <v>522</v>
      </c>
      <c r="E10" s="869"/>
      <c r="F10" s="1934">
        <f>'Expenditures 15-22'!K174</f>
        <v>0</v>
      </c>
      <c r="G10" s="873"/>
    </row>
    <row r="11" spans="1:7" x14ac:dyDescent="0.2">
      <c r="A11" s="870" t="s">
        <v>481</v>
      </c>
      <c r="B11" s="871" t="s">
        <v>1991</v>
      </c>
      <c r="C11" s="872"/>
      <c r="D11" s="870" t="s">
        <v>522</v>
      </c>
      <c r="E11" s="869"/>
      <c r="F11" s="1934">
        <f>'Expenditures 15-22'!K210</f>
        <v>133203</v>
      </c>
      <c r="G11" s="873"/>
    </row>
    <row r="12" spans="1:7" x14ac:dyDescent="0.2">
      <c r="A12" s="870" t="s">
        <v>482</v>
      </c>
      <c r="B12" s="871" t="s">
        <v>1992</v>
      </c>
      <c r="C12" s="872"/>
      <c r="D12" s="870" t="s">
        <v>522</v>
      </c>
      <c r="E12" s="869"/>
      <c r="F12" s="1934">
        <f>'Expenditures 15-22'!K295</f>
        <v>116051</v>
      </c>
      <c r="G12" s="873"/>
    </row>
    <row r="13" spans="1:7" x14ac:dyDescent="0.2">
      <c r="A13" s="870" t="s">
        <v>108</v>
      </c>
      <c r="B13" s="871" t="s">
        <v>1993</v>
      </c>
      <c r="C13" s="872"/>
      <c r="D13" s="870" t="s">
        <v>522</v>
      </c>
      <c r="E13" s="869"/>
      <c r="F13" s="1934">
        <f>'Expenditures 15-22'!K342</f>
        <v>0</v>
      </c>
      <c r="G13" s="874"/>
    </row>
    <row r="14" spans="1:7" ht="12" customHeight="1" thickBot="1" x14ac:dyDescent="0.25">
      <c r="A14" s="1791"/>
      <c r="B14" s="1792"/>
      <c r="C14" s="1793"/>
      <c r="D14" s="1794" t="s">
        <v>522</v>
      </c>
      <c r="E14" s="1795" t="s">
        <v>1015</v>
      </c>
      <c r="F14" s="1796">
        <f>SUM(F8:F13)</f>
        <v>4766704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451785</v>
      </c>
      <c r="G53" s="866"/>
    </row>
    <row r="54" spans="1:7" x14ac:dyDescent="0.2">
      <c r="A54" s="870" t="s">
        <v>479</v>
      </c>
      <c r="B54" s="870" t="s">
        <v>1552</v>
      </c>
      <c r="C54" s="890" t="s">
        <v>1039</v>
      </c>
      <c r="D54" s="886" t="s">
        <v>1157</v>
      </c>
      <c r="E54" s="869"/>
      <c r="F54" s="1938">
        <f>'Expenditures 15-22'!G114</f>
        <v>17409</v>
      </c>
      <c r="G54" s="866"/>
    </row>
    <row r="55" spans="1:7" x14ac:dyDescent="0.2">
      <c r="A55" s="870" t="s">
        <v>479</v>
      </c>
      <c r="B55" s="870" t="s">
        <v>1553</v>
      </c>
      <c r="C55" s="890" t="s">
        <v>1039</v>
      </c>
      <c r="D55" s="886" t="s">
        <v>309</v>
      </c>
      <c r="E55" s="869"/>
      <c r="F55" s="1938">
        <f>'Expenditures 15-22'!I114</f>
        <v>10727</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22963</v>
      </c>
      <c r="G58" s="866"/>
    </row>
    <row r="59" spans="1:7" x14ac:dyDescent="0.2">
      <c r="A59" s="894" t="s">
        <v>480</v>
      </c>
      <c r="B59" s="857" t="s">
        <v>1996</v>
      </c>
      <c r="C59" s="895" t="s">
        <v>1039</v>
      </c>
      <c r="D59" s="857" t="s">
        <v>309</v>
      </c>
      <c r="F59" s="1941">
        <f>'Expenditures 15-22'!I151</f>
        <v>62934</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25149</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590967</v>
      </c>
      <c r="G76" s="866"/>
    </row>
    <row r="77" spans="1:8" s="894" customFormat="1" ht="12" customHeight="1" thickTop="1" thickBot="1" x14ac:dyDescent="0.25">
      <c r="A77" s="1800"/>
      <c r="B77" s="1797"/>
      <c r="C77" s="1793"/>
      <c r="D77" s="1798" t="s">
        <v>2012</v>
      </c>
      <c r="E77" s="1795"/>
      <c r="F77" s="1801">
        <f>(F14-F76)</f>
        <v>4175737</v>
      </c>
      <c r="G77" s="870"/>
    </row>
    <row r="78" spans="1:8" s="894" customFormat="1" ht="12" customHeight="1" thickTop="1" x14ac:dyDescent="0.2">
      <c r="A78" s="1802"/>
      <c r="B78" s="1797"/>
      <c r="C78" s="1793"/>
      <c r="D78" s="1798" t="s">
        <v>2059</v>
      </c>
      <c r="E78" s="1795"/>
      <c r="F78" s="899">
        <v>155.12</v>
      </c>
      <c r="G78" s="900"/>
      <c r="H78" s="870"/>
    </row>
    <row r="79" spans="1:8" s="894" customFormat="1" ht="12" customHeight="1" thickBot="1" x14ac:dyDescent="0.25">
      <c r="A79" s="1803"/>
      <c r="B79" s="1797"/>
      <c r="C79" s="1793"/>
      <c r="D79" s="1798" t="s">
        <v>2013</v>
      </c>
      <c r="E79" s="1795" t="s">
        <v>1015</v>
      </c>
      <c r="F79" s="1804">
        <f>IF(F78&gt;0,F77/F78," Complete Line 78")</f>
        <v>26919.397885507991</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3452</v>
      </c>
      <c r="G94" s="913"/>
    </row>
    <row r="95" spans="1:7" x14ac:dyDescent="0.2">
      <c r="A95" s="909" t="s">
        <v>142</v>
      </c>
      <c r="B95" s="909" t="s">
        <v>177</v>
      </c>
      <c r="C95" s="911">
        <v>1700</v>
      </c>
      <c r="D95" s="919" t="str">
        <f>'Revenues 9-14'!A82</f>
        <v>Total District/School Activity Income</v>
      </c>
      <c r="E95" s="907"/>
      <c r="F95" s="1810">
        <f>SUM('Revenues 9-14'!C82,'Revenues 9-14'!D82)</f>
        <v>28578</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0</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58275</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3963</v>
      </c>
      <c r="G129" s="931"/>
    </row>
    <row r="130" spans="1:7" x14ac:dyDescent="0.2">
      <c r="A130" s="928" t="s">
        <v>689</v>
      </c>
      <c r="B130" s="928" t="s">
        <v>804</v>
      </c>
      <c r="C130" s="933">
        <v>4300</v>
      </c>
      <c r="D130" s="934" t="str">
        <f>'Revenues 9-14'!A211</f>
        <v>Total Title I</v>
      </c>
      <c r="E130" s="907"/>
      <c r="F130" s="1810">
        <f>SUM('Revenues 9-14'!C211,'Revenues 9-14'!D211,'Revenues 9-14'!F211,'Revenues 9-14'!G211)</f>
        <v>34341</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28123</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1600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6240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v>59698</v>
      </c>
      <c r="G175" s="928"/>
    </row>
    <row r="176" spans="1:7" x14ac:dyDescent="0.2">
      <c r="A176" s="1943" t="s">
        <v>685</v>
      </c>
      <c r="B176" s="1944" t="s">
        <v>2058</v>
      </c>
      <c r="C176" s="1945">
        <v>3300</v>
      </c>
      <c r="D176" s="1946" t="s">
        <v>2062</v>
      </c>
      <c r="E176" s="907"/>
      <c r="F176" s="1930">
        <v>4</v>
      </c>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235774</v>
      </c>
    </row>
    <row r="179" spans="1:7" ht="12" customHeight="1" x14ac:dyDescent="0.2">
      <c r="A179" s="1791"/>
      <c r="B179" s="1805"/>
      <c r="C179" s="1806"/>
      <c r="D179" s="1807" t="s">
        <v>2015</v>
      </c>
      <c r="E179" s="1808"/>
      <c r="F179" s="1810">
        <f>'PCTC-OEPP 27-28'!F77-F178</f>
        <v>3939963</v>
      </c>
    </row>
    <row r="180" spans="1:7" ht="12" customHeight="1" x14ac:dyDescent="0.2">
      <c r="A180" s="1791"/>
      <c r="B180" s="1805"/>
      <c r="C180" s="1806"/>
      <c r="D180" s="1807" t="s">
        <v>1924</v>
      </c>
      <c r="E180" s="1808"/>
      <c r="F180" s="1810">
        <f>'Cap Outlay Deprec 26'!I18</f>
        <v>396749.1</v>
      </c>
    </row>
    <row r="181" spans="1:7" ht="12" customHeight="1" x14ac:dyDescent="0.2">
      <c r="A181" s="1791"/>
      <c r="B181" s="1805"/>
      <c r="C181" s="1806"/>
      <c r="D181" s="1807" t="s">
        <v>2016</v>
      </c>
      <c r="E181" s="1808"/>
      <c r="F181" s="1810">
        <f>F179+F180</f>
        <v>4336712.0999999996</v>
      </c>
    </row>
    <row r="182" spans="1:7" ht="12" customHeight="1" x14ac:dyDescent="0.2">
      <c r="A182" s="1791"/>
      <c r="B182" s="1811"/>
      <c r="C182" s="1806"/>
      <c r="D182" s="1807" t="str">
        <f>D78</f>
        <v>9 Month ADA from District Average Daily Attendance/Prior General State Aid Inquiry 2017-2018</v>
      </c>
      <c r="E182" s="1808"/>
      <c r="F182" s="1812">
        <f>'PCTC-OEPP 27-28'!F78</f>
        <v>155.12</v>
      </c>
      <c r="G182" s="931"/>
    </row>
    <row r="183" spans="1:7" ht="12" customHeight="1" thickBot="1" x14ac:dyDescent="0.25">
      <c r="A183" s="1791"/>
      <c r="B183" s="1811"/>
      <c r="C183" s="1806"/>
      <c r="D183" s="1807" t="s">
        <v>2017</v>
      </c>
      <c r="E183" s="1808" t="s">
        <v>1626</v>
      </c>
      <c r="F183" s="1813">
        <f>F181/F182</f>
        <v>27957.143501805051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zoomScale="90" zoomScaleNormal="90" workbookViewId="0">
      <selection activeCell="A20" sqref="A20"/>
    </sheetView>
  </sheetViews>
  <sheetFormatPr defaultColWidth="9.140625" defaultRowHeight="15" x14ac:dyDescent="0.25"/>
  <cols>
    <col min="1" max="1" width="52" style="1563" customWidth="1"/>
    <col min="2" max="2" width="16.42578125" style="1564" bestFit="1" customWidth="1"/>
    <col min="3" max="3" width="33.7109375" style="1564" customWidth="1"/>
    <col min="4" max="6" width="15.8554687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5" t="s">
        <v>1926</v>
      </c>
      <c r="B6" s="1556"/>
      <c r="C6" s="1556"/>
      <c r="D6" s="1556"/>
      <c r="E6" s="1556"/>
      <c r="F6" s="1556"/>
      <c r="G6" s="1557"/>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8" t="s">
        <v>1927</v>
      </c>
      <c r="B10" s="1559"/>
      <c r="C10" s="1559"/>
      <c r="D10" s="1559"/>
      <c r="E10" s="1559"/>
      <c r="F10" s="1559"/>
      <c r="G10" s="1560"/>
    </row>
    <row r="11" spans="1:7" ht="17.25" customHeight="1" x14ac:dyDescent="0.25">
      <c r="A11" s="2295" t="s">
        <v>1941</v>
      </c>
      <c r="B11" s="2296"/>
      <c r="C11" s="2296"/>
      <c r="D11" s="2296"/>
      <c r="E11" s="2296"/>
      <c r="F11" s="2296"/>
      <c r="G11" s="2297"/>
    </row>
    <row r="12" spans="1:7" ht="15" customHeight="1" x14ac:dyDescent="0.25">
      <c r="A12" s="1558" t="s">
        <v>1932</v>
      </c>
      <c r="B12" s="1559"/>
      <c r="C12" s="1559"/>
      <c r="D12" s="1559"/>
      <c r="E12" s="1559"/>
      <c r="F12" s="1559"/>
      <c r="G12" s="1560"/>
    </row>
    <row r="13" spans="1:7" ht="32.25" customHeight="1" x14ac:dyDescent="0.25">
      <c r="A13" s="2286" t="s">
        <v>1933</v>
      </c>
      <c r="B13" s="2287"/>
      <c r="C13" s="2287"/>
      <c r="D13" s="2287"/>
      <c r="E13" s="2287"/>
      <c r="F13" s="2287"/>
      <c r="G13" s="2288"/>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2101</v>
      </c>
      <c r="B17" s="1956" t="s">
        <v>2102</v>
      </c>
      <c r="C17" s="1957" t="s">
        <v>2103</v>
      </c>
      <c r="D17" s="1866">
        <v>108723</v>
      </c>
      <c r="E17" s="1561">
        <f t="shared" ref="E17:E141" si="1">IF(D17&lt;=25000,D17,IF(D17&gt;25000,25000,0))</f>
        <v>25000</v>
      </c>
      <c r="F17" s="1814">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5">
        <f>IF(F17=0,0,D17-F17)</f>
        <v>83723</v>
      </c>
      <c r="H17" s="1668"/>
    </row>
    <row r="18" spans="1:8" x14ac:dyDescent="0.25">
      <c r="A18" s="1955" t="s">
        <v>2104</v>
      </c>
      <c r="B18" s="1956" t="s">
        <v>2105</v>
      </c>
      <c r="C18" s="1957" t="s">
        <v>2108</v>
      </c>
      <c r="D18" s="1866">
        <v>94604</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69604</v>
      </c>
    </row>
    <row r="19" spans="1:8" x14ac:dyDescent="0.25">
      <c r="A19" s="1955" t="s">
        <v>2106</v>
      </c>
      <c r="B19" s="1956" t="s">
        <v>2107</v>
      </c>
      <c r="C19" s="1957" t="s">
        <v>2082</v>
      </c>
      <c r="D19" s="1866">
        <v>450367</v>
      </c>
      <c r="E19" s="1561">
        <f t="shared" si="2"/>
        <v>25000</v>
      </c>
      <c r="F19" s="1814">
        <f t="shared" si="3"/>
        <v>0</v>
      </c>
      <c r="G19" s="1815">
        <f t="shared" si="4"/>
        <v>0</v>
      </c>
    </row>
    <row r="20" spans="1:8" x14ac:dyDescent="0.25">
      <c r="A20" s="1955" t="s">
        <v>2109</v>
      </c>
      <c r="B20" s="1956" t="s">
        <v>2110</v>
      </c>
      <c r="C20" s="1957" t="s">
        <v>2111</v>
      </c>
      <c r="D20" s="1866">
        <v>11072</v>
      </c>
      <c r="E20" s="1561">
        <f t="shared" si="2"/>
        <v>11072</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664766</v>
      </c>
      <c r="E141" s="1562">
        <f t="shared" si="1"/>
        <v>25000</v>
      </c>
      <c r="F141" s="1816">
        <f>SUM(F17:F140)</f>
        <v>50000</v>
      </c>
      <c r="G141" s="1817">
        <f>SUM(G17:G140)</f>
        <v>153327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3963</v>
      </c>
      <c r="F10" s="975"/>
      <c r="G10" s="976"/>
      <c r="H10" s="162"/>
      <c r="I10" s="162"/>
    </row>
    <row r="11" spans="1:9" s="669" customFormat="1" ht="22.5" customHeight="1" x14ac:dyDescent="0.2">
      <c r="A11" s="2306" t="s">
        <v>1945</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2303676</v>
      </c>
      <c r="F19" s="1821"/>
      <c r="G19" s="1823">
        <f>'Expenditures 15-22'!K33-SUM('Expenditures 15-22'!G33,'Expenditures 15-22'!I33)+'Expenditures 15-22'!D229</f>
        <v>2303676</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110169</v>
      </c>
      <c r="F21" s="1824"/>
      <c r="G21" s="1827">
        <f>'Expenditures 15-22'!K42-SUM('Expenditures 15-22'!G42,'Expenditures 15-22'!I42)+'Expenditures 15-22'!K120-SUM('Expenditures 15-22'!G120,'Expenditures 15-22'!I120)+'Expenditures 15-22'!K180-SUM('Expenditures 15-22'!G180,'Expenditures 15-22'!I180)+'Expenditures 15-22'!D238</f>
        <v>110169</v>
      </c>
      <c r="H21" s="988"/>
      <c r="I21" s="162"/>
    </row>
    <row r="22" spans="1:9" s="669" customFormat="1" ht="12" customHeight="1" x14ac:dyDescent="0.2">
      <c r="A22" s="995" t="s">
        <v>585</v>
      </c>
      <c r="B22" s="996"/>
      <c r="C22" s="994">
        <v>2200</v>
      </c>
      <c r="D22" s="1824"/>
      <c r="E22" s="1826">
        <f>'Expenditures 15-22'!K47-SUM('Expenditures 15-22'!G47,'Expenditures 15-22'!I47)+'Expenditures 15-22'!D243</f>
        <v>410973</v>
      </c>
      <c r="F22" s="1824"/>
      <c r="G22" s="1827">
        <f>'Expenditures 15-22'!K47-SUM('Expenditures 15-22'!G47,'Expenditures 15-22'!I47)+'Expenditures 15-22'!D243</f>
        <v>410973</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404518</v>
      </c>
      <c r="F23" s="1824"/>
      <c r="G23" s="1826">
        <f>'Expenditures 15-22'!K53-SUM('Expenditures 15-22'!G53,'Expenditures 15-22'!I53)+'Expenditures 15-22'!D257+'Expenditures 15-22'!K330-SUM('Expenditures 15-22'!G330,'Expenditures 15-22'!I330)</f>
        <v>404518</v>
      </c>
      <c r="H23" s="988"/>
      <c r="I23" s="162"/>
    </row>
    <row r="24" spans="1:9" s="669" customFormat="1" ht="12" customHeight="1" x14ac:dyDescent="0.2">
      <c r="A24" s="995" t="s">
        <v>587</v>
      </c>
      <c r="B24" s="996"/>
      <c r="C24" s="994">
        <v>2400</v>
      </c>
      <c r="D24" s="1824"/>
      <c r="E24" s="1826">
        <f>'Expenditures 15-22'!K57-SUM('Expenditures 15-22'!G57,'Expenditures 15-22'!I57)+'Expenditures 15-22'!D261</f>
        <v>200508</v>
      </c>
      <c r="F24" s="1824"/>
      <c r="G24" s="1827">
        <f>'Expenditures 15-22'!K57-SUM('Expenditures 15-22'!G57,'Expenditures 15-22'!I57)+'Expenditures 15-22'!D261</f>
        <v>200508</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6149</v>
      </c>
      <c r="E26" s="1826">
        <f>'Expenditures 15-22'!K122-SUM('Expenditures 15-22'!G122,'Expenditures 15-22'!I122)+E7</f>
        <v>0</v>
      </c>
      <c r="F26" s="1826">
        <f>'Expenditures 15-22'!K59-SUM('Expenditures 15-22'!G59,'Expenditures 15-22'!I59)+'Expenditures 15-22'!D263-E7</f>
        <v>6149</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143197</v>
      </c>
      <c r="E27" s="1826">
        <f>E8</f>
        <v>0</v>
      </c>
      <c r="F27" s="1826">
        <f>'Expenditures 15-22'!K60-SUM('Expenditures 15-22'!G60,'Expenditures 15-22'!I60)+'Expenditures 15-22'!D264-E8</f>
        <v>143197</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474447</v>
      </c>
      <c r="F28" s="1828">
        <f>'Expenditures 15-22'!K61-SUM('Expenditures 15-22'!G61,'Expenditures 15-22'!I61)+'Expenditures 15-22'!K124-SUM('Expenditures 15-22'!G124,'Expenditures 15-22'!I124)+'Expenditures 15-22'!D266-E9</f>
        <v>474447</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108054</v>
      </c>
      <c r="F29" s="1824"/>
      <c r="G29" s="1827">
        <f>'Expenditures 15-22'!K62-SUM('Expenditures 15-22'!G62,'Expenditures 15-22'!I62)+'Expenditures 15-22'!K125-SUM('Expenditures 15-22'!G125,'Expenditures 15-22'!I125)+'Expenditures 15-22'!K182-SUM('Expenditures 15-22'!G182,'Expenditures 15-22'!I182)+'Expenditures 15-22'!D267</f>
        <v>108054</v>
      </c>
      <c r="H29" s="986"/>
    </row>
    <row r="30" spans="1:9" ht="12" customHeight="1" x14ac:dyDescent="0.2">
      <c r="A30" s="995" t="s">
        <v>102</v>
      </c>
      <c r="B30" s="998"/>
      <c r="C30" s="994">
        <v>2560</v>
      </c>
      <c r="D30" s="1824"/>
      <c r="E30" s="1826">
        <f>'Expenditures 15-22'!K63-SUM('Expenditures 15-22'!G63,'Expenditures 15-22'!I63)+'Expenditures 15-22'!D268-E10</f>
        <v>10083</v>
      </c>
      <c r="F30" s="1824"/>
      <c r="G30" s="1826">
        <f>'Expenditures 15-22'!K63-SUM('Expenditures 15-22'!G63,'Expenditures 15-22'!I63)+'Expenditures 15-22'!D268-E10</f>
        <v>10083</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-153327</v>
      </c>
      <c r="F40" s="1824"/>
      <c r="G40" s="1828">
        <f>-'Contracts Paid in CY 29'!G141</f>
        <v>-153327</v>
      </c>
    </row>
    <row r="41" spans="1:7" ht="12" customHeight="1" x14ac:dyDescent="0.2">
      <c r="A41" s="999" t="s">
        <v>158</v>
      </c>
      <c r="B41" s="1000"/>
      <c r="C41" s="1001"/>
      <c r="D41" s="1828">
        <f>SUM(D19:D39)</f>
        <v>149346</v>
      </c>
      <c r="E41" s="1828">
        <f>SUM(E19:E40)</f>
        <v>3869101</v>
      </c>
      <c r="F41" s="1828">
        <f>SUM(F19:F39)</f>
        <v>623793</v>
      </c>
      <c r="G41" s="1828">
        <f>SUM(G19:G40)</f>
        <v>3394654</v>
      </c>
    </row>
    <row r="42" spans="1:7" x14ac:dyDescent="0.2">
      <c r="A42" s="988"/>
      <c r="B42" s="162"/>
      <c r="C42" s="1002"/>
      <c r="D42" s="2304" t="s">
        <v>543</v>
      </c>
      <c r="E42" s="2305"/>
      <c r="F42" s="1003" t="s">
        <v>544</v>
      </c>
      <c r="G42" s="1004"/>
    </row>
    <row r="43" spans="1:7" ht="12" customHeight="1" x14ac:dyDescent="0.2">
      <c r="A43" s="988"/>
      <c r="B43" s="162"/>
      <c r="C43" s="1002"/>
      <c r="D43" s="1829" t="s">
        <v>493</v>
      </c>
      <c r="E43" s="1830">
        <f>D41</f>
        <v>149346</v>
      </c>
      <c r="F43" s="1829" t="s">
        <v>495</v>
      </c>
      <c r="G43" s="1830">
        <f>F41</f>
        <v>623793</v>
      </c>
    </row>
    <row r="44" spans="1:7" ht="12" customHeight="1" x14ac:dyDescent="0.2">
      <c r="A44" s="988"/>
      <c r="B44" s="162"/>
      <c r="C44" s="1002"/>
      <c r="D44" s="1829" t="s">
        <v>494</v>
      </c>
      <c r="E44" s="1830">
        <f>E41</f>
        <v>3869101</v>
      </c>
      <c r="F44" s="1829" t="s">
        <v>494</v>
      </c>
      <c r="G44" s="1830">
        <f>G41</f>
        <v>3394654</v>
      </c>
    </row>
    <row r="45" spans="1:7" ht="12" customHeight="1" x14ac:dyDescent="0.2">
      <c r="A45" s="988"/>
      <c r="B45" s="162"/>
      <c r="C45" s="162"/>
      <c r="D45" s="1831" t="s">
        <v>1063</v>
      </c>
      <c r="E45" s="1832">
        <f>(E43/E44)</f>
        <v>3.8599664366476862E-2</v>
      </c>
      <c r="F45" s="1831" t="s">
        <v>1063</v>
      </c>
      <c r="G45" s="1832">
        <f>(G43/G44)</f>
        <v>0.18375746099602491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pane="bottomLeft" activeCell="F29" sqref="F29"/>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3" t="s">
        <v>1446</v>
      </c>
      <c r="B1" s="2323"/>
      <c r="C1" s="2323"/>
      <c r="D1" s="2323"/>
      <c r="E1" s="2323"/>
      <c r="F1" s="2323"/>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4" t="s">
        <v>1627</v>
      </c>
      <c r="B5" s="2325"/>
      <c r="C5" s="2326"/>
      <c r="D5" s="2326"/>
      <c r="E5" s="2326"/>
      <c r="F5" s="2326"/>
    </row>
    <row r="6" spans="1:10" ht="12" customHeight="1" x14ac:dyDescent="0.25">
      <c r="A6" s="1874"/>
      <c r="B6" s="1875"/>
      <c r="C6" s="2327" t="str">
        <f>COVER!A17</f>
        <v>Bannockburn SD 106</v>
      </c>
      <c r="D6" s="2327"/>
      <c r="E6" s="2327"/>
      <c r="F6" s="1876"/>
    </row>
    <row r="7" spans="1:10" ht="11.25" customHeight="1" thickBot="1" x14ac:dyDescent="0.3">
      <c r="A7" s="1874"/>
      <c r="B7" s="1875"/>
      <c r="C7" s="2328">
        <f>COVER!A13</f>
        <v>34049106002</v>
      </c>
      <c r="D7" s="2328"/>
      <c r="E7" s="2328"/>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t="s">
        <v>2077</v>
      </c>
      <c r="D15" s="1889" t="s">
        <v>2077</v>
      </c>
      <c r="E15" s="1892"/>
      <c r="F15" s="1891" t="s">
        <v>2078</v>
      </c>
      <c r="H15" s="1902">
        <f t="shared" si="0"/>
        <v>5</v>
      </c>
      <c r="I15" s="1902">
        <f t="shared" si="1"/>
        <v>5</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2077</v>
      </c>
      <c r="D19" s="1889" t="s">
        <v>2077</v>
      </c>
      <c r="E19" s="1892"/>
      <c r="F19" s="1891" t="s">
        <v>2079</v>
      </c>
      <c r="H19" s="1902">
        <f t="shared" si="0"/>
        <v>5</v>
      </c>
      <c r="I19" s="1902">
        <f t="shared" si="1"/>
        <v>5</v>
      </c>
      <c r="J19" s="1902">
        <f t="shared" si="2"/>
        <v>0</v>
      </c>
    </row>
    <row r="20" spans="1:12" ht="12" customHeight="1" x14ac:dyDescent="0.2">
      <c r="A20" s="1887" t="s">
        <v>1609</v>
      </c>
      <c r="B20" s="1888"/>
      <c r="C20" s="1889" t="s">
        <v>2077</v>
      </c>
      <c r="D20" s="1889" t="s">
        <v>2077</v>
      </c>
      <c r="E20" s="1892"/>
      <c r="F20" s="1891" t="s">
        <v>2080</v>
      </c>
      <c r="H20" s="1902">
        <f t="shared" si="0"/>
        <v>5</v>
      </c>
      <c r="I20" s="1902">
        <f t="shared" si="1"/>
        <v>5</v>
      </c>
      <c r="J20" s="1902">
        <f t="shared" si="2"/>
        <v>0</v>
      </c>
    </row>
    <row r="21" spans="1:12" ht="12" customHeight="1" x14ac:dyDescent="0.2">
      <c r="A21" s="1887" t="s">
        <v>1610</v>
      </c>
      <c r="B21" s="1888"/>
      <c r="C21" s="1889" t="s">
        <v>2077</v>
      </c>
      <c r="D21" s="1889" t="s">
        <v>2077</v>
      </c>
      <c r="E21" s="1892"/>
      <c r="F21" s="1891" t="s">
        <v>2081</v>
      </c>
      <c r="H21" s="1902">
        <f t="shared" si="0"/>
        <v>5</v>
      </c>
      <c r="I21" s="1902">
        <f t="shared" si="1"/>
        <v>5</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c r="F26" s="1891" t="s">
        <v>2082</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2077</v>
      </c>
      <c r="D28" s="1889" t="s">
        <v>2077</v>
      </c>
      <c r="E28" s="1892"/>
      <c r="F28" s="1891" t="s">
        <v>2083</v>
      </c>
      <c r="H28" s="1902">
        <f t="shared" si="0"/>
        <v>5</v>
      </c>
      <c r="I28" s="1902">
        <f t="shared" si="1"/>
        <v>5</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30</v>
      </c>
      <c r="I34" s="1902">
        <f>SUM(I11:I32)</f>
        <v>30</v>
      </c>
      <c r="J34" s="1902">
        <f>SUM(J11:J32)</f>
        <v>0</v>
      </c>
      <c r="K34" s="1902">
        <f>SUM(H34:J34)</f>
        <v>60</v>
      </c>
    </row>
    <row r="35" spans="1:11" ht="12" customHeight="1" x14ac:dyDescent="0.2">
      <c r="A35" s="1895" t="s">
        <v>1459</v>
      </c>
      <c r="B35" s="1896"/>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7"/>
      <c r="B39" s="1897"/>
      <c r="C39" s="1897"/>
      <c r="D39" s="1897"/>
      <c r="E39" s="1897"/>
      <c r="F39" s="1897"/>
    </row>
    <row r="40" spans="1:11" s="1894" customFormat="1" ht="12" customHeight="1" x14ac:dyDescent="0.25">
      <c r="A40" s="1898" t="s">
        <v>1458</v>
      </c>
      <c r="B40" s="1899"/>
      <c r="C40" s="2318"/>
      <c r="D40" s="2318"/>
      <c r="E40" s="2318"/>
      <c r="F40" s="2319"/>
      <c r="H40" s="1903"/>
      <c r="I40" s="1903"/>
      <c r="J40" s="1903"/>
      <c r="K40" s="1903"/>
    </row>
    <row r="41" spans="1:11" s="1894" customFormat="1" ht="12" customHeight="1" x14ac:dyDescent="0.25">
      <c r="A41" s="2320"/>
      <c r="B41" s="2321"/>
      <c r="C41" s="2321"/>
      <c r="D41" s="2321"/>
      <c r="E41" s="2321"/>
      <c r="F41" s="2322"/>
      <c r="H41" s="1903"/>
      <c r="I41" s="1903"/>
      <c r="J41" s="1903"/>
      <c r="K41" s="1903"/>
    </row>
    <row r="42" spans="1:11" s="1894" customFormat="1" ht="12" customHeight="1" x14ac:dyDescent="0.25">
      <c r="A42" s="2320"/>
      <c r="B42" s="2321"/>
      <c r="C42" s="2321"/>
      <c r="D42" s="2321"/>
      <c r="E42" s="2321"/>
      <c r="F42" s="2322"/>
      <c r="H42" s="1903"/>
      <c r="I42" s="1903"/>
      <c r="J42" s="1903"/>
      <c r="K42" s="1903"/>
    </row>
    <row r="43" spans="1:11" s="1894" customFormat="1" ht="15" x14ac:dyDescent="0.25">
      <c r="A43" s="2309"/>
      <c r="B43" s="2310"/>
      <c r="C43" s="2310"/>
      <c r="D43" s="2310"/>
      <c r="E43" s="2310"/>
      <c r="F43" s="2311"/>
      <c r="H43" s="1903"/>
      <c r="I43" s="1903"/>
      <c r="J43" s="1903"/>
      <c r="K43" s="1903"/>
    </row>
    <row r="44" spans="1:11" s="1894" customFormat="1" ht="12" hidden="1" customHeight="1" x14ac:dyDescent="0.25">
      <c r="A44" s="2309"/>
      <c r="B44" s="2310"/>
      <c r="C44" s="2310"/>
      <c r="D44" s="2310"/>
      <c r="E44" s="2310"/>
      <c r="F44" s="231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36" t="str">
        <f>COVER!A17</f>
        <v>Bannockburn SD 106</v>
      </c>
      <c r="J6" s="2337"/>
      <c r="Q6" s="1685"/>
    </row>
    <row r="7" spans="1:17" x14ac:dyDescent="0.2">
      <c r="A7" s="2338" t="s">
        <v>924</v>
      </c>
      <c r="B7" s="2339"/>
      <c r="C7" s="2339"/>
      <c r="D7" s="2339"/>
      <c r="E7" s="2340"/>
      <c r="F7" s="1018"/>
      <c r="G7" s="1010"/>
      <c r="H7" s="1017" t="s">
        <v>390</v>
      </c>
      <c r="I7" s="2341">
        <f>COVER!A13</f>
        <v>34049106002</v>
      </c>
      <c r="J7" s="2341"/>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294643</v>
      </c>
      <c r="F12" s="1040"/>
      <c r="G12" s="1833">
        <f t="shared" ref="G12:G18" si="0">SUM(E12:F12)</f>
        <v>294643</v>
      </c>
      <c r="H12" s="1041">
        <v>309292</v>
      </c>
      <c r="I12" s="1040"/>
      <c r="J12" s="1833">
        <f t="shared" ref="J12:J18" si="1">SUM(H12:I12)</f>
        <v>309292</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6149</v>
      </c>
      <c r="F15" s="1833">
        <f>'Expenditures 15-22'!K122</f>
        <v>0</v>
      </c>
      <c r="G15" s="1833">
        <f t="shared" si="0"/>
        <v>6149</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5" t="s">
        <v>7</v>
      </c>
      <c r="C18" s="2346"/>
      <c r="D18" s="2347"/>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300792</v>
      </c>
      <c r="F19" s="1835">
        <f t="shared" si="2"/>
        <v>0</v>
      </c>
      <c r="G19" s="1835">
        <f t="shared" si="2"/>
        <v>300792</v>
      </c>
      <c r="H19" s="1835">
        <f t="shared" si="2"/>
        <v>309292</v>
      </c>
      <c r="I19" s="1835">
        <f t="shared" si="2"/>
        <v>0</v>
      </c>
      <c r="J19" s="1835">
        <f t="shared" si="2"/>
        <v>309292</v>
      </c>
    </row>
    <row r="20" spans="1:10" ht="13.5" thickTop="1" x14ac:dyDescent="0.2">
      <c r="A20" s="1036">
        <v>9</v>
      </c>
      <c r="B20" s="2348" t="s">
        <v>1703</v>
      </c>
      <c r="C20" s="2348"/>
      <c r="D20" s="2349"/>
      <c r="E20" s="1047"/>
      <c r="F20" s="1047"/>
      <c r="G20" s="1047"/>
      <c r="H20" s="1047"/>
      <c r="I20" s="1047"/>
      <c r="J20" s="1836">
        <f>IF(AND(G19&gt;0,J19&gt;0),(((J19-G19)/G19)),"Enter Budget Data")</f>
        <v>2.8258730285379931E-2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958" t="s">
        <v>2112</v>
      </c>
      <c r="B5" s="669"/>
    </row>
    <row r="6" spans="1:2" x14ac:dyDescent="0.2">
      <c r="A6" s="1958"/>
      <c r="B6" s="1959" t="s">
        <v>2113</v>
      </c>
    </row>
    <row r="7" spans="1:2" x14ac:dyDescent="0.2">
      <c r="A7" s="1958"/>
      <c r="B7" s="669"/>
    </row>
    <row r="8" spans="1:2" x14ac:dyDescent="0.2">
      <c r="A8" s="1958" t="s">
        <v>2114</v>
      </c>
      <c r="B8" s="669"/>
    </row>
    <row r="9" spans="1:2" x14ac:dyDescent="0.2">
      <c r="A9" s="1958"/>
      <c r="B9" s="1959" t="s">
        <v>2115</v>
      </c>
    </row>
    <row r="10" spans="1:2" x14ac:dyDescent="0.2">
      <c r="A10" s="1958"/>
      <c r="B10" s="669"/>
    </row>
    <row r="11" spans="1:2" x14ac:dyDescent="0.2">
      <c r="A11" s="1958" t="s">
        <v>2116</v>
      </c>
      <c r="B11" s="669"/>
    </row>
    <row r="12" spans="1:2" x14ac:dyDescent="0.2">
      <c r="A12" s="1958"/>
      <c r="B12" s="1959" t="s">
        <v>2117</v>
      </c>
    </row>
    <row r="13" spans="1:2" x14ac:dyDescent="0.2">
      <c r="A13" s="1958"/>
      <c r="B13" s="669"/>
    </row>
    <row r="14" spans="1:2" x14ac:dyDescent="0.2">
      <c r="A14" s="1958" t="s">
        <v>2118</v>
      </c>
      <c r="B14" s="669"/>
    </row>
    <row r="15" spans="1:2" x14ac:dyDescent="0.2">
      <c r="A15" s="1958"/>
      <c r="B15" s="1959" t="s">
        <v>2119</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Bannockburn SD 106</v>
      </c>
    </row>
    <row r="65" spans="2:2" x14ac:dyDescent="0.2">
      <c r="B65" s="1070">
        <f>COVER!A13</f>
        <v>34049106002</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1276350</xdr:colOff>
                <xdr:row>6</xdr:row>
                <xdr:rowOff>123825</xdr:rowOff>
              </from>
              <to>
                <xdr:col>1</xdr:col>
                <xdr:colOff>2190750</xdr:colOff>
                <xdr:row>11</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4"/>
      <c r="H2" s="1074"/>
    </row>
    <row r="3" spans="1:8" ht="57" customHeight="1" x14ac:dyDescent="0.2">
      <c r="A3" s="2369" t="s">
        <v>1786</v>
      </c>
      <c r="B3" s="2370"/>
      <c r="C3" s="2370"/>
      <c r="D3" s="2370"/>
      <c r="E3" s="2370"/>
      <c r="F3" s="2371"/>
      <c r="G3" s="1074"/>
      <c r="H3" s="1074"/>
    </row>
    <row r="4" spans="1:8" ht="14.25" customHeight="1" x14ac:dyDescent="0.2">
      <c r="A4" s="2375" t="s">
        <v>2056</v>
      </c>
      <c r="B4" s="2376"/>
      <c r="C4" s="2376"/>
      <c r="D4" s="2376"/>
      <c r="E4" s="2376"/>
      <c r="F4" s="2377"/>
      <c r="G4" s="1074"/>
      <c r="H4" s="1074"/>
    </row>
    <row r="5" spans="1:8" ht="14.25" customHeight="1" x14ac:dyDescent="0.2">
      <c r="A5" s="2378" t="s">
        <v>2057</v>
      </c>
      <c r="B5" s="2379"/>
      <c r="C5" s="2379"/>
      <c r="D5" s="2379"/>
      <c r="E5" s="2379"/>
      <c r="F5" s="2380"/>
      <c r="G5" s="1074"/>
      <c r="H5" s="1074"/>
    </row>
    <row r="6" spans="1:8" s="1075" customFormat="1" ht="41.25" customHeight="1" x14ac:dyDescent="0.2">
      <c r="A6" s="2372" t="s">
        <v>1792</v>
      </c>
      <c r="B6" s="2373"/>
      <c r="C6" s="2373"/>
      <c r="D6" s="2373"/>
      <c r="E6" s="2373"/>
      <c r="F6" s="2374"/>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4822454</v>
      </c>
      <c r="C8" s="1837">
        <f>'Acct Summary 7-8'!D8</f>
        <v>1056634</v>
      </c>
      <c r="D8" s="1837">
        <f>'Acct Summary 7-8'!F8</f>
        <v>162439</v>
      </c>
      <c r="E8" s="1837">
        <f>'Acct Summary 7-8'!I8</f>
        <v>76596</v>
      </c>
      <c r="F8" s="1837">
        <f>SUM(B8:E8)</f>
        <v>6118123</v>
      </c>
    </row>
    <row r="9" spans="1:8" s="1079" customFormat="1" ht="14.25" customHeight="1" thickBot="1" x14ac:dyDescent="0.25">
      <c r="A9" s="1078" t="s">
        <v>1436</v>
      </c>
      <c r="B9" s="1838">
        <f>'Acct Summary 7-8'!C17</f>
        <v>3966711</v>
      </c>
      <c r="C9" s="1838">
        <f>'Acct Summary 7-8'!D17</f>
        <v>550739</v>
      </c>
      <c r="D9" s="1838">
        <f>'Acct Summary 7-8'!F17</f>
        <v>133203</v>
      </c>
      <c r="E9" s="1837"/>
      <c r="F9" s="1837">
        <f>SUM(B9:E9)</f>
        <v>4650653</v>
      </c>
    </row>
    <row r="10" spans="1:8" s="1079" customFormat="1" ht="14.25" thickTop="1" thickBot="1" x14ac:dyDescent="0.25">
      <c r="A10" s="1080" t="s">
        <v>1437</v>
      </c>
      <c r="B10" s="1839">
        <f>(B8-B9)</f>
        <v>855743</v>
      </c>
      <c r="C10" s="1839">
        <f>(C8-C9)</f>
        <v>505895</v>
      </c>
      <c r="D10" s="1839">
        <f>(D8-D9)</f>
        <v>29236</v>
      </c>
      <c r="E10" s="1838">
        <f>(E8-E9)</f>
        <v>76596</v>
      </c>
      <c r="F10" s="1840">
        <f>SUM(F8-F9)</f>
        <v>1467470</v>
      </c>
    </row>
    <row r="11" spans="1:8" s="1079" customFormat="1" ht="14.25" thickTop="1" thickBot="1" x14ac:dyDescent="0.25">
      <c r="A11" s="1081" t="s">
        <v>1785</v>
      </c>
      <c r="B11" s="1841">
        <f>'Acct Summary 7-8'!C81</f>
        <v>9094847</v>
      </c>
      <c r="C11" s="1841">
        <f>'Acct Summary 7-8'!D81</f>
        <v>806286</v>
      </c>
      <c r="D11" s="1841">
        <f>'Acct Summary 7-8'!F81</f>
        <v>252829</v>
      </c>
      <c r="E11" s="1841">
        <f>'Acct Summary 7-8'!I81</f>
        <v>2132638</v>
      </c>
      <c r="F11" s="1842">
        <f>SUM(B11:E11)</f>
        <v>12286600</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4"/>
      <c r="B13" s="1085"/>
      <c r="C13" s="2360"/>
      <c r="D13" s="2361"/>
      <c r="E13" s="2361"/>
      <c r="F13" s="2362"/>
      <c r="H13" s="1074"/>
    </row>
    <row r="14" spans="1:8" ht="19.5"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10" customFormat="1" ht="51.75" hidden="1" customHeight="1" x14ac:dyDescent="0.2">
      <c r="A16" s="2359" t="s">
        <v>1787</v>
      </c>
      <c r="B16" s="2359"/>
      <c r="C16" s="2359"/>
      <c r="D16" s="2359"/>
      <c r="E16" s="2359"/>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20" sqref="D2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1" t="s">
        <v>686</v>
      </c>
      <c r="B3" s="2382"/>
      <c r="C3" s="2382"/>
      <c r="D3" s="2383"/>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2" t="s">
        <v>1584</v>
      </c>
      <c r="D7" s="2393"/>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6" t="s">
        <v>332</v>
      </c>
      <c r="D21" s="2397"/>
    </row>
    <row r="22" spans="1:10" ht="12.75" x14ac:dyDescent="0.2">
      <c r="A22" s="1139"/>
      <c r="B22" s="1140">
        <v>2</v>
      </c>
      <c r="C22" s="2394" t="s">
        <v>1605</v>
      </c>
      <c r="D22" s="2395"/>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1399</v>
      </c>
      <c r="D24" s="1142" t="str">
        <f>IF(COVER!O11="X","OK",IF(AND('Aud Quest 2'!J90=0,'Aud Quest 2'!I77&lt;DATE(2017,12,31)),"ENTER ACCOUNTING INFO",IF(AND('Aud Quest 2'!J90&gt;0,'Aud Quest 2'!I77&lt;DATE(2017,12,31)),"OK")))</f>
        <v>ENTER ACCOUNTING INFO</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8" t="s">
        <v>557</v>
      </c>
      <c r="D43" s="239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0" t="s">
        <v>817</v>
      </c>
      <c r="D56" s="239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0" t="s">
        <v>1797</v>
      </c>
      <c r="D70" s="239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34049106002</v>
      </c>
    </row>
    <row r="3" spans="1:2" x14ac:dyDescent="0.2">
      <c r="A3" t="s">
        <v>1013</v>
      </c>
      <c r="B3" s="138" t="str">
        <f>COVER!A15</f>
        <v>LAKE</v>
      </c>
    </row>
    <row r="4" spans="1:2" x14ac:dyDescent="0.2">
      <c r="A4" t="s">
        <v>1064</v>
      </c>
      <c r="B4" s="138" t="str">
        <f>COVER!A17</f>
        <v>Bannockburn SD 106</v>
      </c>
    </row>
    <row r="5" spans="1:2" x14ac:dyDescent="0.2">
      <c r="A5" t="s">
        <v>728</v>
      </c>
      <c r="B5" s="138" t="str">
        <f>COVER!A38</f>
        <v>DR. SCOTT HERRMANN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1718430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9700547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91702</v>
      </c>
      <c r="D76" s="2" t="str">
        <f t="shared" si="0"/>
        <v>Error?</v>
      </c>
    </row>
    <row r="77" spans="1:4" x14ac:dyDescent="0.2">
      <c r="A77" s="5">
        <v>16</v>
      </c>
      <c r="B77" s="138">
        <f>'Assets-Liab 5-6'!C13</f>
        <v>13644949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4202256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4550102</v>
      </c>
      <c r="C91" s="2" t="s">
        <v>594</v>
      </c>
      <c r="D91" s="2" t="str">
        <f t="shared" si="0"/>
        <v>Error?</v>
      </c>
    </row>
    <row r="92" spans="1:4" x14ac:dyDescent="0.2">
      <c r="A92" s="5">
        <v>31</v>
      </c>
      <c r="B92" s="138">
        <f>'Assets-Liab 5-6'!C39</f>
        <v>9094847</v>
      </c>
      <c r="D92" s="2" t="str">
        <f t="shared" si="0"/>
        <v>Error?</v>
      </c>
    </row>
    <row r="93" spans="1:4" x14ac:dyDescent="0.2">
      <c r="A93" s="5">
        <v>32</v>
      </c>
      <c r="B93" s="138">
        <f>'Assets-Liab 5-6'!C41</f>
        <v>13644949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415520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1166078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11023</v>
      </c>
      <c r="D108" s="2" t="str">
        <f t="shared" si="0"/>
        <v>Error?</v>
      </c>
    </row>
    <row r="109" spans="1:4" x14ac:dyDescent="0.2">
      <c r="A109" s="5">
        <v>48</v>
      </c>
      <c r="B109" s="138">
        <f>'Assets-Liab 5-6'!D13</f>
        <v>1868856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1016114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1062570</v>
      </c>
      <c r="C122" s="2" t="s">
        <v>594</v>
      </c>
      <c r="D122" s="2" t="str">
        <f t="shared" si="0"/>
        <v>Error?</v>
      </c>
    </row>
    <row r="123" spans="1:4" x14ac:dyDescent="0.2">
      <c r="A123" s="5">
        <v>62</v>
      </c>
      <c r="B123" s="138">
        <f>'Assets-Liab 5-6'!D39</f>
        <v>806286</v>
      </c>
      <c r="D123" s="2" t="str">
        <f t="shared" si="0"/>
        <v>Error?</v>
      </c>
    </row>
    <row r="124" spans="1:4" x14ac:dyDescent="0.2">
      <c r="A124" s="5">
        <v>63</v>
      </c>
      <c r="B124" s="138">
        <f>'Assets-Liab 5-6'!D41</f>
        <v>1868856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40894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249192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2356</v>
      </c>
      <c r="D156" s="2" t="str">
        <f t="shared" si="1"/>
        <v>Error?</v>
      </c>
    </row>
    <row r="157" spans="1:4" x14ac:dyDescent="0.2">
      <c r="A157" s="5">
        <v>96</v>
      </c>
      <c r="B157" s="138">
        <f>'Assets-Liab 5-6'!F13</f>
        <v>360352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100004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107523</v>
      </c>
      <c r="C169" s="2" t="s">
        <v>594</v>
      </c>
      <c r="D169" s="2" t="str">
        <f t="shared" si="1"/>
        <v>Error?</v>
      </c>
    </row>
    <row r="170" spans="1:4" x14ac:dyDescent="0.2">
      <c r="A170" s="5">
        <v>109</v>
      </c>
      <c r="B170" s="138">
        <f>'Assets-Liab 5-6'!F39</f>
        <v>252829</v>
      </c>
      <c r="D170" s="2" t="str">
        <f t="shared" si="1"/>
        <v>Error?</v>
      </c>
    </row>
    <row r="171" spans="1:4" x14ac:dyDescent="0.2">
      <c r="A171" s="5">
        <v>110</v>
      </c>
      <c r="B171" s="138">
        <f>'Assets-Liab 5-6'!F41</f>
        <v>360352</v>
      </c>
      <c r="C171" s="2" t="s">
        <v>594</v>
      </c>
      <c r="D171" s="2" t="str">
        <f t="shared" si="1"/>
        <v>Error?</v>
      </c>
    </row>
    <row r="172" spans="1:4" x14ac:dyDescent="0.2">
      <c r="A172" s="10">
        <v>111</v>
      </c>
      <c r="D172" s="2" t="str">
        <f t="shared" si="1"/>
        <v>OK</v>
      </c>
    </row>
    <row r="173" spans="1:4" x14ac:dyDescent="0.2">
      <c r="A173" s="5">
        <v>112</v>
      </c>
      <c r="B173" s="138">
        <f>'Assets-Liab 5-6'!G6</f>
        <v>52778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247138</v>
      </c>
      <c r="D177" s="2" t="str">
        <f t="shared" si="1"/>
        <v>Error?</v>
      </c>
    </row>
    <row r="178" spans="1:4" x14ac:dyDescent="0.2">
      <c r="A178" s="10">
        <v>117</v>
      </c>
      <c r="D178" s="2" t="str">
        <f t="shared" si="1"/>
        <v>OK</v>
      </c>
    </row>
    <row r="179" spans="1:4" x14ac:dyDescent="0.2">
      <c r="A179" s="5">
        <v>118</v>
      </c>
      <c r="B179" s="138">
        <f>'Assets-Liab 5-6'!G12</f>
        <v>2336</v>
      </c>
      <c r="D179" s="2" t="str">
        <f t="shared" si="1"/>
        <v>Error?</v>
      </c>
    </row>
    <row r="180" spans="1:4" x14ac:dyDescent="0.2">
      <c r="A180" s="5">
        <v>119</v>
      </c>
      <c r="B180" s="138">
        <f>'Assets-Liab 5-6'!G13</f>
        <v>355136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129065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133283</v>
      </c>
      <c r="C188" s="2" t="s">
        <v>594</v>
      </c>
      <c r="D188" s="2" t="str">
        <f t="shared" si="1"/>
        <v>Error?</v>
      </c>
    </row>
    <row r="189" spans="1:4" x14ac:dyDescent="0.2">
      <c r="A189" s="5">
        <v>128</v>
      </c>
      <c r="B189" s="138">
        <f>'Assets-Liab 5-6'!G39</f>
        <v>221853</v>
      </c>
      <c r="D189" s="2" t="str">
        <f t="shared" si="1"/>
        <v>Error?</v>
      </c>
    </row>
    <row r="190" spans="1:4" x14ac:dyDescent="0.2">
      <c r="A190" s="5">
        <v>129</v>
      </c>
      <c r="B190" s="138">
        <f>'Assets-Liab 5-6'!G41</f>
        <v>355136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318421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3010</v>
      </c>
      <c r="D202" s="2" t="str">
        <f t="shared" si="2"/>
        <v>Error?</v>
      </c>
    </row>
    <row r="203" spans="1:4" x14ac:dyDescent="0.2">
      <c r="A203" s="5">
        <v>142</v>
      </c>
      <c r="B203" s="138">
        <f>'Assets-Liab 5-6'!H13</f>
        <v>389569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13590</v>
      </c>
      <c r="C211" s="2" t="s">
        <v>594</v>
      </c>
      <c r="D211" s="2" t="str">
        <f t="shared" si="2"/>
        <v>Error?</v>
      </c>
    </row>
    <row r="212" spans="1:4" x14ac:dyDescent="0.2">
      <c r="A212" s="5">
        <v>151</v>
      </c>
      <c r="B212" s="138">
        <f>'Assets-Liab 5-6'!H39</f>
        <v>375979</v>
      </c>
      <c r="D212" s="2" t="str">
        <f t="shared" si="2"/>
        <v>Error?</v>
      </c>
    </row>
    <row r="213" spans="1:4" x14ac:dyDescent="0.2">
      <c r="A213" s="12">
        <v>152</v>
      </c>
      <c r="B213" s="138">
        <f>'Assets-Liab 5-6'!H41</f>
        <v>389569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382477</v>
      </c>
      <c r="D273" s="2" t="str">
        <f t="shared" si="3"/>
        <v>Error?</v>
      </c>
    </row>
    <row r="274" spans="1:4" x14ac:dyDescent="0.2">
      <c r="A274" s="5">
        <v>213</v>
      </c>
      <c r="B274" s="138">
        <f>'Assets-Liab 5-6'!M17</f>
        <v>12589537</v>
      </c>
      <c r="D274" s="2" t="str">
        <f t="shared" si="3"/>
        <v>Error?</v>
      </c>
    </row>
    <row r="275" spans="1:4" x14ac:dyDescent="0.2">
      <c r="A275" s="5">
        <v>214</v>
      </c>
      <c r="B275" s="138">
        <f>'Assets-Liab 5-6'!M18</f>
        <v>1320054</v>
      </c>
      <c r="D275" s="2" t="str">
        <f t="shared" si="3"/>
        <v>Error?</v>
      </c>
    </row>
    <row r="276" spans="1:4" x14ac:dyDescent="0.2">
      <c r="A276" s="5">
        <v>215</v>
      </c>
      <c r="B276" s="138">
        <f>'Assets-Liab 5-6'!M19</f>
        <v>1221605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15518660</v>
      </c>
      <c r="C279" s="2" t="s">
        <v>594</v>
      </c>
      <c r="D279" s="2" t="str">
        <f t="shared" si="3"/>
        <v>Error?</v>
      </c>
    </row>
    <row r="280" spans="1:4" x14ac:dyDescent="0.2">
      <c r="A280" s="5">
        <v>219</v>
      </c>
      <c r="B280" s="138">
        <f>'Assets-Liab 5-6'!M40</f>
        <v>15518660</v>
      </c>
      <c r="D280" s="2" t="str">
        <f t="shared" si="3"/>
        <v>Error?</v>
      </c>
    </row>
    <row r="281" spans="1:4" x14ac:dyDescent="0.2">
      <c r="A281" s="5">
        <v>220</v>
      </c>
      <c r="B281" s="138">
        <f>'Assets-Liab 5-6'!M41</f>
        <v>15518660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1623620</v>
      </c>
      <c r="D705" s="2" t="str">
        <f t="shared" si="10"/>
        <v>Error?</v>
      </c>
    </row>
    <row r="706" spans="1:4" x14ac:dyDescent="0.2">
      <c r="A706" s="5">
        <v>645</v>
      </c>
      <c r="B706" s="138">
        <f>'Expenditures 15-22'!C16</f>
        <v>65616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16520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1785471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47389</v>
      </c>
      <c r="D722" s="2" t="str">
        <f t="shared" si="10"/>
        <v>Error?</v>
      </c>
    </row>
    <row r="723" spans="1:4" x14ac:dyDescent="0.2">
      <c r="A723" s="5">
        <v>662</v>
      </c>
      <c r="B723" s="138">
        <f>'Expenditures 15-22'!C38</f>
        <v>3018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53838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104245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220170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220170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241610</v>
      </c>
      <c r="D733" s="2" t="str">
        <f t="shared" si="10"/>
        <v>Error?</v>
      </c>
    </row>
    <row r="734" spans="1:4" x14ac:dyDescent="0.2">
      <c r="A734" s="5">
        <v>673</v>
      </c>
      <c r="B734" s="138">
        <f>'Expenditures 15-22'!C53</f>
        <v>241610</v>
      </c>
      <c r="C734" s="2" t="s">
        <v>594</v>
      </c>
      <c r="D734" s="2" t="str">
        <f t="shared" si="10"/>
        <v>Error?</v>
      </c>
    </row>
    <row r="735" spans="1:4" x14ac:dyDescent="0.2">
      <c r="A735" s="5">
        <v>674</v>
      </c>
      <c r="B735" s="138">
        <f>'Expenditures 15-22'!C55</f>
        <v>158691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158691</v>
      </c>
      <c r="C737" s="2" t="s">
        <v>594</v>
      </c>
      <c r="D737" s="2" t="str">
        <f t="shared" si="10"/>
        <v>Error?</v>
      </c>
    </row>
    <row r="738" spans="1:4" x14ac:dyDescent="0.2">
      <c r="A738" s="5">
        <v>677</v>
      </c>
      <c r="B738" s="138">
        <f>'Expenditures 15-22'!C59</f>
        <v>6149</v>
      </c>
      <c r="D738" s="2" t="str">
        <f t="shared" si="10"/>
        <v>Error?</v>
      </c>
    </row>
    <row r="739" spans="1:4" x14ac:dyDescent="0.2">
      <c r="A739" s="5">
        <v>678</v>
      </c>
      <c r="B739" s="138">
        <f>'Expenditures 15-22'!C60</f>
        <v>106572</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113060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837776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2623247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291863</v>
      </c>
      <c r="D763" s="2" t="str">
        <f t="shared" si="10"/>
        <v>Error?</v>
      </c>
    </row>
    <row r="764" spans="1:4" x14ac:dyDescent="0.2">
      <c r="A764" s="5">
        <v>703</v>
      </c>
      <c r="B764" s="138">
        <f>'Expenditures 15-22'!D16</f>
        <v>18894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332924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1697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2528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4225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31282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31282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36675</v>
      </c>
      <c r="D791" s="2" t="str">
        <f t="shared" si="11"/>
        <v>Error?</v>
      </c>
    </row>
    <row r="792" spans="1:4" x14ac:dyDescent="0.2">
      <c r="A792" s="5">
        <v>731</v>
      </c>
      <c r="B792" s="138">
        <f>'Expenditures 15-22'!D53</f>
        <v>36675</v>
      </c>
      <c r="C792" s="2" t="s">
        <v>594</v>
      </c>
      <c r="D792" s="2" t="str">
        <f t="shared" si="11"/>
        <v>Error?</v>
      </c>
    </row>
    <row r="793" spans="1:4" x14ac:dyDescent="0.2">
      <c r="A793" s="5">
        <v>732</v>
      </c>
      <c r="B793" s="138">
        <f>'Expenditures 15-22'!D55</f>
        <v>21554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21554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12610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12610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106346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439270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42435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14896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57331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39129</v>
      </c>
      <c r="D844" s="2" t="str">
        <f t="shared" si="12"/>
        <v>Error?</v>
      </c>
    </row>
    <row r="845" spans="1:4" x14ac:dyDescent="0.2">
      <c r="A845" s="5">
        <v>784</v>
      </c>
      <c r="B845" s="138">
        <f>'Expenditures 15-22'!E45</f>
        <v>72760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111889</v>
      </c>
      <c r="C847" s="2" t="s">
        <v>594</v>
      </c>
      <c r="D847" s="2" t="str">
        <f t="shared" si="12"/>
        <v>Error?</v>
      </c>
    </row>
    <row r="848" spans="1:4" x14ac:dyDescent="0.2">
      <c r="A848" s="5">
        <v>787</v>
      </c>
      <c r="B848" s="138">
        <f>'Expenditures 15-22'!E49</f>
        <v>102651</v>
      </c>
      <c r="D848" s="2" t="str">
        <f t="shared" si="12"/>
        <v>Error?</v>
      </c>
    </row>
    <row r="849" spans="1:4" x14ac:dyDescent="0.2">
      <c r="A849" s="5">
        <v>788</v>
      </c>
      <c r="B849" s="138">
        <f>'Expenditures 15-22'!E50</f>
        <v>13925</v>
      </c>
      <c r="D849" s="2" t="str">
        <f t="shared" si="12"/>
        <v>Error?</v>
      </c>
    </row>
    <row r="850" spans="1:4" x14ac:dyDescent="0.2">
      <c r="A850" s="5">
        <v>789</v>
      </c>
      <c r="B850" s="138">
        <f>'Expenditures 15-22'!E53</f>
        <v>116576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4942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4942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233407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742523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88520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5387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93907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26414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26414</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2433</v>
      </c>
      <c r="D907" s="2" t="str">
        <f t="shared" si="13"/>
        <v>Error?</v>
      </c>
    </row>
    <row r="908" spans="1:4" x14ac:dyDescent="0.2">
      <c r="A908" s="5">
        <v>847</v>
      </c>
      <c r="B908" s="138">
        <f>'Expenditures 15-22'!F53</f>
        <v>2433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7062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7062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35909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129816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17409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17409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17409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17409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2046438</v>
      </c>
      <c r="C1093" s="2" t="s">
        <v>594</v>
      </c>
      <c r="D1093" s="2" t="str">
        <f t="shared" si="16"/>
        <v>Error?</v>
      </c>
    </row>
    <row r="1094" spans="1:4" x14ac:dyDescent="0.2">
      <c r="A1094" s="5">
        <v>1033</v>
      </c>
      <c r="B1094" s="138">
        <f>'Expenditures 15-22'!K16</f>
        <v>84510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37044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2269633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49086</v>
      </c>
      <c r="C1110" s="2" t="s">
        <v>594</v>
      </c>
      <c r="D1110" s="2" t="str">
        <f t="shared" si="16"/>
        <v>Error?</v>
      </c>
    </row>
    <row r="1111" spans="1:4" x14ac:dyDescent="0.2">
      <c r="A1111" s="5">
        <v>1050</v>
      </c>
      <c r="B1111" s="138">
        <f>'Expenditures 15-22'!K38</f>
        <v>3018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56366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108470</v>
      </c>
      <c r="C1115" s="2" t="s">
        <v>594</v>
      </c>
      <c r="D1115" s="2" t="str">
        <f t="shared" si="16"/>
        <v>Error?</v>
      </c>
    </row>
    <row r="1116" spans="1:4" x14ac:dyDescent="0.2">
      <c r="A1116" s="5">
        <v>1055</v>
      </c>
      <c r="B1116" s="138">
        <f>'Expenditures 15-22'!K44</f>
        <v>39129</v>
      </c>
      <c r="C1116" s="2" t="s">
        <v>594</v>
      </c>
      <c r="D1116" s="2" t="str">
        <f t="shared" si="16"/>
        <v>Error?</v>
      </c>
    </row>
    <row r="1117" spans="1:4" x14ac:dyDescent="0.2">
      <c r="A1117" s="5">
        <v>1056</v>
      </c>
      <c r="B1117" s="138">
        <f>'Expenditures 15-22'!K45</f>
        <v>377584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416713</v>
      </c>
      <c r="C1119" s="2" t="s">
        <v>594</v>
      </c>
      <c r="D1119" s="2" t="str">
        <f t="shared" si="16"/>
        <v>Error?</v>
      </c>
    </row>
    <row r="1120" spans="1:4" x14ac:dyDescent="0.2">
      <c r="A1120" s="5">
        <v>1059</v>
      </c>
      <c r="B1120" s="138">
        <f>'Expenditures 15-22'!K49</f>
        <v>106370</v>
      </c>
      <c r="C1120" s="2" t="s">
        <v>594</v>
      </c>
      <c r="D1120" s="2" t="str">
        <f t="shared" si="16"/>
        <v>Error?</v>
      </c>
    </row>
    <row r="1121" spans="1:4" x14ac:dyDescent="0.2">
      <c r="A1121" s="5">
        <v>1060</v>
      </c>
      <c r="B1121" s="138">
        <f>'Expenditures 15-22'!K50</f>
        <v>294643</v>
      </c>
      <c r="C1121" s="2" t="s">
        <v>594</v>
      </c>
      <c r="D1121" s="2" t="str">
        <f t="shared" si="16"/>
        <v>Error?</v>
      </c>
    </row>
    <row r="1122" spans="1:4" x14ac:dyDescent="0.2">
      <c r="A1122" s="5">
        <v>1061</v>
      </c>
      <c r="B1122" s="138">
        <f>'Expenditures 15-22'!K53</f>
        <v>401013</v>
      </c>
      <c r="C1122" s="2" t="s">
        <v>594</v>
      </c>
      <c r="D1122" s="2" t="str">
        <f t="shared" si="16"/>
        <v>Error?</v>
      </c>
    </row>
    <row r="1123" spans="1:4" x14ac:dyDescent="0.2">
      <c r="A1123" s="5">
        <v>1062</v>
      </c>
      <c r="B1123" s="138">
        <f>'Expenditures 15-22'!K55</f>
        <v>180245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180245</v>
      </c>
      <c r="C1125" s="2" t="s">
        <v>594</v>
      </c>
      <c r="D1125" s="2" t="str">
        <f t="shared" si="16"/>
        <v>Error?</v>
      </c>
    </row>
    <row r="1126" spans="1:4" x14ac:dyDescent="0.2">
      <c r="A1126" s="5">
        <v>1065</v>
      </c>
      <c r="B1126" s="138">
        <f>'Expenditures 15-22'!K59</f>
        <v>6149</v>
      </c>
      <c r="C1126" s="2" t="s">
        <v>594</v>
      </c>
      <c r="D1126" s="2" t="str">
        <f t="shared" si="16"/>
        <v>Error?</v>
      </c>
    </row>
    <row r="1127" spans="1:4" x14ac:dyDescent="0.2">
      <c r="A1127" s="5">
        <v>1066</v>
      </c>
      <c r="B1127" s="138">
        <f>'Expenditures 15-22'!K60</f>
        <v>125302</v>
      </c>
      <c r="C1127" s="2" t="s">
        <v>594</v>
      </c>
      <c r="D1127" s="2" t="str">
        <f t="shared" si="16"/>
        <v>Error?</v>
      </c>
    </row>
    <row r="1128" spans="1:4" x14ac:dyDescent="0.2">
      <c r="A1128" s="5">
        <v>1067</v>
      </c>
      <c r="B1128" s="138">
        <f>'Expenditures 15-22'!K61</f>
        <v>-6149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13550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138852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1245293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451785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3966711</v>
      </c>
      <c r="C1152" s="2" t="s">
        <v>594</v>
      </c>
      <c r="D1152" s="2" t="str">
        <f t="shared" si="17"/>
        <v>Error?</v>
      </c>
    </row>
    <row r="1153" spans="1:4" x14ac:dyDescent="0.2">
      <c r="A1153" s="5">
        <v>1092</v>
      </c>
      <c r="B1153" s="138">
        <f>'Expenditures 15-22'!K115</f>
        <v>855743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91078</v>
      </c>
      <c r="D1221" s="2" t="str">
        <f t="shared" si="18"/>
        <v>Error?</v>
      </c>
    </row>
    <row r="1222" spans="1:4" x14ac:dyDescent="0.2">
      <c r="A1222" s="10">
        <v>1161</v>
      </c>
      <c r="D1222" s="2" t="str">
        <f t="shared" si="18"/>
        <v>OK</v>
      </c>
    </row>
    <row r="1223" spans="1:4" x14ac:dyDescent="0.2">
      <c r="A1223" s="5">
        <v>1162</v>
      </c>
      <c r="B1223" s="138">
        <f>'Expenditures 15-22'!C127</f>
        <v>91078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91078</v>
      </c>
      <c r="C1225" s="2" t="s">
        <v>594</v>
      </c>
      <c r="D1225" s="2" t="str">
        <f t="shared" si="18"/>
        <v>Error?</v>
      </c>
    </row>
    <row r="1226" spans="1:4" x14ac:dyDescent="0.2">
      <c r="A1226" s="5">
        <v>1165</v>
      </c>
      <c r="B1226" s="138">
        <f>'Expenditures 15-22'!C151</f>
        <v>91078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21770</v>
      </c>
      <c r="D1229" s="2" t="str">
        <f t="shared" si="18"/>
        <v>Error?</v>
      </c>
    </row>
    <row r="1230" spans="1:4" x14ac:dyDescent="0.2">
      <c r="A1230" s="10">
        <v>1169</v>
      </c>
      <c r="D1230" s="2" t="str">
        <f t="shared" si="18"/>
        <v>OK</v>
      </c>
    </row>
    <row r="1231" spans="1:4" x14ac:dyDescent="0.2">
      <c r="A1231" s="5">
        <v>1170</v>
      </c>
      <c r="B1231" s="138">
        <f>'Expenditures 15-22'!D127</f>
        <v>21770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21770</v>
      </c>
      <c r="C1233" s="2" t="s">
        <v>594</v>
      </c>
      <c r="D1233" s="2" t="str">
        <f t="shared" si="18"/>
        <v>Error?</v>
      </c>
    </row>
    <row r="1234" spans="1:4" x14ac:dyDescent="0.2">
      <c r="A1234" s="5">
        <v>1173</v>
      </c>
      <c r="B1234" s="138">
        <f>'Expenditures 15-22'!D151</f>
        <v>21770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284067</v>
      </c>
      <c r="D1237" s="2" t="str">
        <f t="shared" si="18"/>
        <v>Error?</v>
      </c>
    </row>
    <row r="1238" spans="1:4" x14ac:dyDescent="0.2">
      <c r="A1238" s="10">
        <v>1177</v>
      </c>
      <c r="D1238" s="2" t="str">
        <f t="shared" si="18"/>
        <v>OK</v>
      </c>
    </row>
    <row r="1239" spans="1:4" x14ac:dyDescent="0.2">
      <c r="A1239" s="5">
        <v>1178</v>
      </c>
      <c r="B1239" s="138">
        <f>'Expenditures 15-22'!E127</f>
        <v>284067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284067</v>
      </c>
      <c r="C1241" s="2" t="s">
        <v>594</v>
      </c>
      <c r="D1241" s="2" t="str">
        <f t="shared" si="18"/>
        <v>Error?</v>
      </c>
    </row>
    <row r="1242" spans="1:4" x14ac:dyDescent="0.2">
      <c r="A1242" s="5">
        <v>1181</v>
      </c>
      <c r="B1242" s="138">
        <f>'Expenditures 15-22'!E151</f>
        <v>284067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67927</v>
      </c>
      <c r="D1245" s="2" t="str">
        <f t="shared" si="18"/>
        <v>Error?</v>
      </c>
    </row>
    <row r="1246" spans="1:4" x14ac:dyDescent="0.2">
      <c r="A1246" s="10">
        <v>1185</v>
      </c>
      <c r="D1246" s="2" t="str">
        <f t="shared" si="18"/>
        <v>OK</v>
      </c>
    </row>
    <row r="1247" spans="1:4" x14ac:dyDescent="0.2">
      <c r="A1247" s="5">
        <v>1186</v>
      </c>
      <c r="B1247" s="138">
        <f>'Expenditures 15-22'!F127</f>
        <v>67927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67927</v>
      </c>
      <c r="C1249" s="2" t="s">
        <v>594</v>
      </c>
      <c r="D1249" s="2" t="str">
        <f t="shared" si="18"/>
        <v>Error?</v>
      </c>
    </row>
    <row r="1250" spans="1:4" x14ac:dyDescent="0.2">
      <c r="A1250" s="5">
        <v>1189</v>
      </c>
      <c r="B1250" s="138">
        <f>'Expenditures 15-22'!F151</f>
        <v>67927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22963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22963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22963</v>
      </c>
      <c r="C1258" s="2" t="s">
        <v>594</v>
      </c>
      <c r="D1258" s="2" t="str">
        <f t="shared" si="18"/>
        <v>Error?</v>
      </c>
    </row>
    <row r="1259" spans="1:4" x14ac:dyDescent="0.2">
      <c r="A1259" s="5">
        <v>1198</v>
      </c>
      <c r="B1259" s="138">
        <f>'Expenditures 15-22'!G151</f>
        <v>22963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550739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550739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550739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550739</v>
      </c>
      <c r="C1288" s="2" t="s">
        <v>594</v>
      </c>
      <c r="D1288" s="2" t="str">
        <f t="shared" si="19"/>
        <v>Error?</v>
      </c>
    </row>
    <row r="1289" spans="1:4" x14ac:dyDescent="0.2">
      <c r="A1289" s="5">
        <v>1228</v>
      </c>
      <c r="B1289" s="138">
        <f>'Expenditures 15-22'!K152</f>
        <v>505895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108054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108054</v>
      </c>
      <c r="C1351" s="2" t="s">
        <v>594</v>
      </c>
      <c r="D1351" s="2" t="str">
        <f t="shared" si="20"/>
        <v>Error?</v>
      </c>
    </row>
    <row r="1352" spans="1:4" x14ac:dyDescent="0.2">
      <c r="A1352" s="5">
        <v>1291</v>
      </c>
      <c r="B1352" s="138">
        <f>'Expenditures 15-22'!E196</f>
        <v>25149</v>
      </c>
      <c r="C1352" s="2" t="s">
        <v>594</v>
      </c>
      <c r="D1352" s="2" t="str">
        <f t="shared" si="20"/>
        <v>Error?</v>
      </c>
    </row>
    <row r="1353" spans="1:4" x14ac:dyDescent="0.2">
      <c r="A1353" s="5">
        <v>1292</v>
      </c>
      <c r="B1353" s="138">
        <f>'Expenditures 15-22'!E210</f>
        <v>133203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108054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108054</v>
      </c>
      <c r="C1381" s="2" t="s">
        <v>594</v>
      </c>
      <c r="D1381" s="2" t="str">
        <f t="shared" si="20"/>
        <v>Error?</v>
      </c>
    </row>
    <row r="1382" spans="1:4" x14ac:dyDescent="0.2">
      <c r="A1382" s="5">
        <v>1321</v>
      </c>
      <c r="B1382" s="138">
        <f>'Expenditures 15-22'!K196</f>
        <v>25149</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133203</v>
      </c>
      <c r="C1388" s="2" t="s">
        <v>594</v>
      </c>
      <c r="D1388" s="2" t="str">
        <f t="shared" si="20"/>
        <v>Error?</v>
      </c>
    </row>
    <row r="1389" spans="1:4" x14ac:dyDescent="0.2">
      <c r="A1389" s="5">
        <v>1328</v>
      </c>
      <c r="B1389" s="138">
        <f>'Expenditures 15-22'!K211</f>
        <v>29236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858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34043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687</v>
      </c>
      <c r="D1412" s="2" t="str">
        <f t="shared" si="21"/>
        <v>Error?</v>
      </c>
    </row>
    <row r="1413" spans="1:4" x14ac:dyDescent="0.2">
      <c r="A1413" s="5">
        <v>1352</v>
      </c>
      <c r="B1413" s="138">
        <f>'Expenditures 15-22'!D234</f>
        <v>231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1699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21218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21218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3505</v>
      </c>
      <c r="D1423" s="2" t="str">
        <f t="shared" si="21"/>
        <v>Error?</v>
      </c>
    </row>
    <row r="1424" spans="1:4" x14ac:dyDescent="0.2">
      <c r="A1424" s="5">
        <v>1363</v>
      </c>
      <c r="B1424" s="138">
        <f>'Expenditures 15-22'!D257</f>
        <v>3505</v>
      </c>
      <c r="C1424" s="2" t="s">
        <v>594</v>
      </c>
      <c r="D1424" s="2" t="str">
        <f t="shared" si="21"/>
        <v>Error?</v>
      </c>
    </row>
    <row r="1425" spans="1:4" x14ac:dyDescent="0.2">
      <c r="A1425" s="5">
        <v>1364</v>
      </c>
      <c r="B1425" s="138">
        <f>'Expenditures 15-22'!D259</f>
        <v>20263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20263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19073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15754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35323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82008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116051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858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240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34043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687</v>
      </c>
      <c r="C1476" s="2" t="s">
        <v>594</v>
      </c>
      <c r="D1476" s="2" t="str">
        <f t="shared" si="22"/>
        <v>Error?</v>
      </c>
    </row>
    <row r="1477" spans="1:4" x14ac:dyDescent="0.2">
      <c r="A1477" s="5">
        <v>1416</v>
      </c>
      <c r="B1477" s="138">
        <f>'Expenditures 15-22'!K234</f>
        <v>231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781</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1699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21218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21218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3505</v>
      </c>
      <c r="C1487" s="2" t="s">
        <v>594</v>
      </c>
      <c r="D1487" s="2" t="str">
        <f t="shared" si="22"/>
        <v>Error?</v>
      </c>
    </row>
    <row r="1488" spans="1:4" x14ac:dyDescent="0.2">
      <c r="A1488" s="5">
        <v>1427</v>
      </c>
      <c r="B1488" s="138">
        <f>'Expenditures 15-22'!K257</f>
        <v>3505</v>
      </c>
      <c r="C1488" s="2" t="s">
        <v>594</v>
      </c>
      <c r="D1488" s="2" t="str">
        <f t="shared" si="22"/>
        <v>Error?</v>
      </c>
    </row>
    <row r="1489" spans="1:4" x14ac:dyDescent="0.2">
      <c r="A1489" s="5">
        <v>1428</v>
      </c>
      <c r="B1489" s="138">
        <f>'Expenditures 15-22'!K259</f>
        <v>20263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20263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19073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15754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496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35323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82008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116051</v>
      </c>
      <c r="C1517" s="2" t="s">
        <v>594</v>
      </c>
      <c r="D1517" s="2" t="str">
        <f t="shared" si="22"/>
        <v>Error?</v>
      </c>
    </row>
    <row r="1518" spans="1:4" x14ac:dyDescent="0.2">
      <c r="A1518" s="5">
        <v>1457</v>
      </c>
      <c r="B1518" s="138">
        <f>'Expenditures 15-22'!K296</f>
        <v>16593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468947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468947</v>
      </c>
      <c r="C1535" s="2" t="s">
        <v>594</v>
      </c>
      <c r="D1535" s="2" t="str">
        <f t="shared" ref="D1535:D1598" si="23">IF(ISBLANK(B1535),"OK",IF(A1535-B1535=0,"OK","Error?"))</f>
        <v>Error?</v>
      </c>
    </row>
    <row r="1536" spans="1:4" x14ac:dyDescent="0.2">
      <c r="A1536" s="5">
        <v>1475</v>
      </c>
      <c r="B1536" s="138">
        <f>'Expenditures 15-22'!E312</f>
        <v>468947</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732464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732464</v>
      </c>
      <c r="C1547" s="2" t="s">
        <v>594</v>
      </c>
      <c r="D1547" s="2" t="str">
        <f t="shared" si="23"/>
        <v>Error?</v>
      </c>
    </row>
    <row r="1548" spans="1:4" x14ac:dyDescent="0.2">
      <c r="A1548" s="5">
        <v>1487</v>
      </c>
      <c r="B1548" s="138">
        <f>'Expenditures 15-22'!G312</f>
        <v>732464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1201411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1201411</v>
      </c>
      <c r="C1559" s="2" t="s">
        <v>594</v>
      </c>
      <c r="D1559" s="2" t="str">
        <f t="shared" si="23"/>
        <v>Error?</v>
      </c>
    </row>
    <row r="1560" spans="1:4" x14ac:dyDescent="0.2">
      <c r="A1560" s="5">
        <v>1499</v>
      </c>
      <c r="B1560" s="138">
        <f>'Expenditures 15-22'!K312</f>
        <v>1201411</v>
      </c>
      <c r="C1560" s="2" t="s">
        <v>594</v>
      </c>
      <c r="D1560" s="2" t="str">
        <f t="shared" si="23"/>
        <v>Error?</v>
      </c>
    </row>
    <row r="1561" spans="1:4" x14ac:dyDescent="0.2">
      <c r="A1561" s="5">
        <v>1500</v>
      </c>
      <c r="B1561" s="138">
        <f>'Expenditures 15-22'!K313</f>
        <v>-1196168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9139104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9094847</v>
      </c>
      <c r="C1630" s="2" t="s">
        <v>594</v>
      </c>
      <c r="D1630" s="2" t="str">
        <f t="shared" si="24"/>
        <v>Error?</v>
      </c>
    </row>
    <row r="1631" spans="1:4" x14ac:dyDescent="0.2">
      <c r="A1631" s="5">
        <v>1570</v>
      </c>
      <c r="B1631" s="138">
        <f>'Acct Summary 7-8'!D79</f>
        <v>500391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806286</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623593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252829</v>
      </c>
      <c r="C1672" s="2" t="s">
        <v>594</v>
      </c>
      <c r="D1672" s="2" t="str">
        <f t="shared" si="25"/>
        <v>Error?</v>
      </c>
    </row>
    <row r="1673" spans="1:4" x14ac:dyDescent="0.2">
      <c r="A1673" s="5">
        <v>1612</v>
      </c>
      <c r="B1673" s="138">
        <f>'Acct Summary 7-8'!G79</f>
        <v>205260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221853</v>
      </c>
      <c r="C1686" s="2" t="s">
        <v>594</v>
      </c>
      <c r="D1686" s="2" t="str">
        <f t="shared" si="25"/>
        <v>Error?</v>
      </c>
    </row>
    <row r="1687" spans="1:4" x14ac:dyDescent="0.2">
      <c r="A1687" s="5">
        <v>1626</v>
      </c>
      <c r="B1687" s="138">
        <f>'Acct Summary 7-8'!H79</f>
        <v>72147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375979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4636770</v>
      </c>
      <c r="C1744" s="2" t="s">
        <v>594</v>
      </c>
      <c r="D1744" s="2" t="str">
        <f t="shared" si="26"/>
        <v>Error?</v>
      </c>
    </row>
    <row r="1745" spans="1:5" x14ac:dyDescent="0.2">
      <c r="A1745" s="5">
        <v>1684</v>
      </c>
      <c r="B1745" s="138">
        <f>'Tax Sched 23'!B5</f>
        <v>1116127</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107466</v>
      </c>
      <c r="C1747" s="2" t="s">
        <v>594</v>
      </c>
      <c r="D1747" s="2" t="str">
        <f t="shared" si="26"/>
        <v>Error?</v>
      </c>
    </row>
    <row r="1748" spans="1:5" x14ac:dyDescent="0.2">
      <c r="A1748" s="5">
        <v>1687</v>
      </c>
      <c r="B1748" s="138">
        <f>'Tax Sched 23'!B8</f>
        <v>54177</v>
      </c>
      <c r="C1748" s="2" t="s">
        <v>594</v>
      </c>
      <c r="D1748" s="2" t="str">
        <f t="shared" si="26"/>
        <v>Error?</v>
      </c>
    </row>
    <row r="1749" spans="1:5" x14ac:dyDescent="0.2">
      <c r="A1749" s="5">
        <v>1688</v>
      </c>
      <c r="B1749" s="138">
        <f>'Tax Sched 23'!B10</f>
        <v>52440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6051500</v>
      </c>
      <c r="C1759" s="2" t="s">
        <v>594</v>
      </c>
      <c r="D1759" s="2" t="str">
        <f t="shared" si="26"/>
        <v>Error?</v>
      </c>
    </row>
    <row r="1760" spans="1:5" x14ac:dyDescent="0.2">
      <c r="A1760" s="5">
        <v>1699</v>
      </c>
      <c r="B1760" s="138">
        <f>'Tax Sched 23'!D4</f>
        <v>2152944</v>
      </c>
      <c r="C1760" s="2" t="s">
        <v>594</v>
      </c>
      <c r="D1760" s="2" t="str">
        <f t="shared" si="26"/>
        <v>Error?</v>
      </c>
    </row>
    <row r="1761" spans="1:5" x14ac:dyDescent="0.2">
      <c r="A1761" s="5">
        <v>1700</v>
      </c>
      <c r="B1761" s="138">
        <f>'Tax Sched 23'!D5</f>
        <v>515533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48357</v>
      </c>
      <c r="C1763" s="2" t="s">
        <v>594</v>
      </c>
      <c r="D1763" s="2" t="str">
        <f t="shared" si="26"/>
        <v>Error?</v>
      </c>
    </row>
    <row r="1764" spans="1:5" x14ac:dyDescent="0.2">
      <c r="A1764" s="5">
        <v>1703</v>
      </c>
      <c r="B1764" s="138">
        <f>'Tax Sched 23'!D8</f>
        <v>24379</v>
      </c>
      <c r="C1764" s="2" t="s">
        <v>594</v>
      </c>
      <c r="D1764" s="2" t="str">
        <f t="shared" si="26"/>
        <v>Error?</v>
      </c>
    </row>
    <row r="1765" spans="1:5" x14ac:dyDescent="0.2">
      <c r="A1765" s="5">
        <v>1704</v>
      </c>
      <c r="B1765" s="138">
        <f>'Tax Sched 23'!D10</f>
        <v>23596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2802841</v>
      </c>
      <c r="C1775" s="2" t="s">
        <v>594</v>
      </c>
      <c r="D1775" s="2" t="str">
        <f t="shared" si="26"/>
        <v>Error?</v>
      </c>
    </row>
    <row r="1776" spans="1:5" x14ac:dyDescent="0.2">
      <c r="A1776" s="5">
        <v>1715</v>
      </c>
      <c r="B1776" s="138">
        <f>'Tax Sched 23'!C4</f>
        <v>2483826</v>
      </c>
      <c r="D1776" s="2" t="str">
        <f t="shared" si="26"/>
        <v>Error?</v>
      </c>
    </row>
    <row r="1777" spans="1:4" x14ac:dyDescent="0.2">
      <c r="A1777" s="5">
        <v>1716</v>
      </c>
      <c r="B1777" s="138">
        <f>'Tax Sched 23'!C5</f>
        <v>600594</v>
      </c>
      <c r="D1777" s="2" t="str">
        <f t="shared" si="26"/>
        <v>Error?</v>
      </c>
    </row>
    <row r="1778" spans="1:4" x14ac:dyDescent="0.2">
      <c r="A1778" s="5">
        <v>1717</v>
      </c>
      <c r="B1778" s="138">
        <f>'Tax Sched 23'!C6</f>
        <v>0</v>
      </c>
      <c r="D1778" s="2" t="str">
        <f t="shared" si="26"/>
        <v>Error?</v>
      </c>
    </row>
    <row r="1779" spans="1:4" x14ac:dyDescent="0.2">
      <c r="A1779" s="5">
        <v>1718</v>
      </c>
      <c r="B1779" s="138">
        <f>'Tax Sched 23'!C7</f>
        <v>59109</v>
      </c>
      <c r="D1779" s="2" t="str">
        <f t="shared" si="26"/>
        <v>Error?</v>
      </c>
    </row>
    <row r="1780" spans="1:4" x14ac:dyDescent="0.2">
      <c r="A1780" s="5">
        <v>1719</v>
      </c>
      <c r="B1780" s="138">
        <f>'Tax Sched 23'!C8</f>
        <v>29798</v>
      </c>
      <c r="D1780" s="2" t="str">
        <f t="shared" si="26"/>
        <v>Error?</v>
      </c>
    </row>
    <row r="1781" spans="1:4" x14ac:dyDescent="0.2">
      <c r="A1781" s="5">
        <v>1720</v>
      </c>
      <c r="B1781" s="138">
        <f>'Tax Sched 23'!C10</f>
        <v>28844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3248659</v>
      </c>
      <c r="C1791" s="2" t="s">
        <v>594</v>
      </c>
      <c r="D1791" s="2" t="str">
        <f t="shared" ref="D1791:D1854" si="27">IF(ISBLANK(B1791),"OK",IF(A1791-B1791=0,"OK","Error?"))</f>
        <v>Error?</v>
      </c>
    </row>
    <row r="1792" spans="1:4" x14ac:dyDescent="0.2">
      <c r="A1792" s="5">
        <v>1731</v>
      </c>
      <c r="B1792" s="138">
        <f>'Tax Sched 23'!F4</f>
        <v>1718429</v>
      </c>
      <c r="C1792" s="2" t="s">
        <v>594</v>
      </c>
      <c r="D1792" s="2" t="str">
        <f t="shared" si="27"/>
        <v>Error?</v>
      </c>
    </row>
    <row r="1793" spans="1:4" x14ac:dyDescent="0.2">
      <c r="A1793" s="5">
        <v>1732</v>
      </c>
      <c r="B1793" s="138">
        <f>'Tax Sched 23'!F5</f>
        <v>415520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40895</v>
      </c>
      <c r="C1795" s="2" t="s">
        <v>594</v>
      </c>
      <c r="D1795" s="2" t="str">
        <f t="shared" si="27"/>
        <v>Error?</v>
      </c>
    </row>
    <row r="1796" spans="1:4" x14ac:dyDescent="0.2">
      <c r="A1796" s="5">
        <v>1735</v>
      </c>
      <c r="B1796" s="138">
        <f>'Tax Sched 23'!F8</f>
        <v>20616</v>
      </c>
      <c r="C1796" s="2" t="s">
        <v>594</v>
      </c>
      <c r="D1796" s="2" t="str">
        <f t="shared" si="27"/>
        <v>Error?</v>
      </c>
    </row>
    <row r="1797" spans="1:4" x14ac:dyDescent="0.2">
      <c r="A1797" s="5">
        <v>1736</v>
      </c>
      <c r="B1797" s="138">
        <f>'Tax Sched 23'!F10</f>
        <v>19955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2247577</v>
      </c>
      <c r="C1807" s="2" t="s">
        <v>594</v>
      </c>
      <c r="D1807" s="2" t="str">
        <f t="shared" si="27"/>
        <v>Error?</v>
      </c>
    </row>
    <row r="1808" spans="1:4" x14ac:dyDescent="0.2">
      <c r="A1808" s="5">
        <v>1747</v>
      </c>
      <c r="B1808" s="138">
        <f>'Tax Sched 23'!E4</f>
        <v>4202255</v>
      </c>
      <c r="D1808" s="2" t="str">
        <f t="shared" si="27"/>
        <v>Error?</v>
      </c>
    </row>
    <row r="1809" spans="1:4" x14ac:dyDescent="0.2">
      <c r="A1809" s="5">
        <v>1748</v>
      </c>
      <c r="B1809" s="138">
        <f>'Tax Sched 23'!E5</f>
        <v>1016114</v>
      </c>
      <c r="D1809" s="2" t="str">
        <f t="shared" si="27"/>
        <v>Error?</v>
      </c>
    </row>
    <row r="1810" spans="1:4" x14ac:dyDescent="0.2">
      <c r="A1810" s="5">
        <v>1749</v>
      </c>
      <c r="B1810" s="138">
        <f>'Tax Sched 23'!E6</f>
        <v>0</v>
      </c>
      <c r="D1810" s="2" t="str">
        <f t="shared" si="27"/>
        <v>Error?</v>
      </c>
    </row>
    <row r="1811" spans="1:4" x14ac:dyDescent="0.2">
      <c r="A1811" s="5">
        <v>1750</v>
      </c>
      <c r="B1811" s="138">
        <f>'Tax Sched 23'!E7</f>
        <v>100004</v>
      </c>
      <c r="D1811" s="2" t="str">
        <f t="shared" si="27"/>
        <v>Error?</v>
      </c>
    </row>
    <row r="1812" spans="1:4" x14ac:dyDescent="0.2">
      <c r="A1812" s="5">
        <v>1751</v>
      </c>
      <c r="B1812" s="138">
        <f>'Tax Sched 23'!E8</f>
        <v>50414</v>
      </c>
      <c r="D1812" s="2" t="str">
        <f t="shared" si="27"/>
        <v>Error?</v>
      </c>
    </row>
    <row r="1813" spans="1:4" x14ac:dyDescent="0.2">
      <c r="A1813" s="5">
        <v>1752</v>
      </c>
      <c r="B1813" s="138">
        <f>'Tax Sched 23'!E10</f>
        <v>48799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5496236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382477</v>
      </c>
      <c r="D2008" s="2" t="str">
        <f t="shared" si="30"/>
        <v>Error?</v>
      </c>
    </row>
    <row r="2009" spans="1:4" x14ac:dyDescent="0.2">
      <c r="A2009" s="5">
        <v>1948</v>
      </c>
      <c r="B2009" s="138">
        <f>'Cap Outlay Deprec 26'!C8</f>
        <v>11565778</v>
      </c>
      <c r="D2009" s="2" t="str">
        <f t="shared" si="30"/>
        <v>Error?</v>
      </c>
    </row>
    <row r="2010" spans="1:4" x14ac:dyDescent="0.2">
      <c r="A2010" s="5">
        <v>1949</v>
      </c>
      <c r="B2010" s="138">
        <f>'Cap Outlay Deprec 26'!C10</f>
        <v>1209843</v>
      </c>
      <c r="D2010" s="2" t="str">
        <f t="shared" si="30"/>
        <v>Error?</v>
      </c>
    </row>
    <row r="2011" spans="1:4" x14ac:dyDescent="0.2">
      <c r="A2011" s="5">
        <v>1950</v>
      </c>
      <c r="B2011" s="138">
        <f>'Cap Outlay Deprec 26'!C12</f>
        <v>1204196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14745824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1023759</v>
      </c>
      <c r="D2015" s="2" t="str">
        <f t="shared" si="30"/>
        <v>Error?</v>
      </c>
    </row>
    <row r="2016" spans="1:4" x14ac:dyDescent="0.2">
      <c r="A2016" s="5">
        <v>1955</v>
      </c>
      <c r="B2016" s="138">
        <f>'Cap Outlay Deprec 26'!D10</f>
        <v>110211</v>
      </c>
      <c r="D2016" s="2" t="str">
        <f t="shared" si="30"/>
        <v>Error?</v>
      </c>
    </row>
    <row r="2017" spans="1:4" x14ac:dyDescent="0.2">
      <c r="A2017" s="5">
        <v>1956</v>
      </c>
      <c r="B2017" s="138">
        <f>'Cap Outlay Deprec 26'!D12</f>
        <v>17409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1156366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383530</v>
      </c>
      <c r="C2025" s="2" t="s">
        <v>594</v>
      </c>
      <c r="D2025" s="2" t="str">
        <f t="shared" si="30"/>
        <v>Error?</v>
      </c>
    </row>
    <row r="2026" spans="1:4" x14ac:dyDescent="0.2">
      <c r="A2026" s="5">
        <v>1965</v>
      </c>
      <c r="B2026" s="138">
        <f>'Cap Outlay Deprec 26'!F5</f>
        <v>382477</v>
      </c>
      <c r="C2026" s="2" t="s">
        <v>594</v>
      </c>
      <c r="D2026" s="2" t="str">
        <f t="shared" si="30"/>
        <v>Error?</v>
      </c>
    </row>
    <row r="2027" spans="1:4" x14ac:dyDescent="0.2">
      <c r="A2027" s="5">
        <v>1966</v>
      </c>
      <c r="B2027" s="138">
        <f>'Cap Outlay Deprec 26'!F8</f>
        <v>12589537</v>
      </c>
      <c r="C2027" s="2" t="s">
        <v>594</v>
      </c>
      <c r="D2027" s="2" t="str">
        <f t="shared" si="30"/>
        <v>Error?</v>
      </c>
    </row>
    <row r="2028" spans="1:4" x14ac:dyDescent="0.2">
      <c r="A2028" s="5">
        <v>1967</v>
      </c>
      <c r="B2028" s="138">
        <f>'Cap Outlay Deprec 26'!F10</f>
        <v>1320054</v>
      </c>
      <c r="C2028" s="2" t="s">
        <v>594</v>
      </c>
      <c r="D2028" s="2" t="str">
        <f t="shared" si="30"/>
        <v>Error?</v>
      </c>
    </row>
    <row r="2029" spans="1:4" x14ac:dyDescent="0.2">
      <c r="A2029" s="5">
        <v>1968</v>
      </c>
      <c r="B2029" s="138">
        <f>'Cap Outlay Deprec 26'!F12</f>
        <v>1221605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15518660</v>
      </c>
      <c r="C2031" s="2" t="s">
        <v>594</v>
      </c>
      <c r="D2031" s="2" t="str">
        <f t="shared" si="30"/>
        <v>Error?</v>
      </c>
    </row>
    <row r="2032" spans="1:4" x14ac:dyDescent="0.2">
      <c r="A2032" s="10">
        <v>1971</v>
      </c>
      <c r="D2032" s="2" t="str">
        <f t="shared" si="30"/>
        <v>OK</v>
      </c>
    </row>
    <row r="2033" spans="1:4" x14ac:dyDescent="0.2">
      <c r="A2033" s="5">
        <v>1972</v>
      </c>
      <c r="B2033" s="138">
        <f>'Cap Outlay Deprec 26'!H8</f>
        <v>2399990</v>
      </c>
      <c r="D2033" s="2" t="str">
        <f t="shared" si="30"/>
        <v>Error?</v>
      </c>
    </row>
    <row r="2034" spans="1:4" x14ac:dyDescent="0.2">
      <c r="A2034" s="5">
        <v>1973</v>
      </c>
      <c r="B2034" s="138">
        <f>'Cap Outlay Deprec 26'!H10</f>
        <v>380541</v>
      </c>
      <c r="D2034" s="2" t="str">
        <f t="shared" si="30"/>
        <v>Error?</v>
      </c>
    </row>
    <row r="2035" spans="1:4" x14ac:dyDescent="0.2">
      <c r="A2035" s="5">
        <v>1974</v>
      </c>
      <c r="B2035" s="138">
        <f>'Cap Outlay Deprec 26'!H12</f>
        <v>648899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3429430</v>
      </c>
      <c r="C2037" s="2" t="s">
        <v>594</v>
      </c>
      <c r="D2037" s="2" t="str">
        <f t="shared" si="30"/>
        <v>Error?</v>
      </c>
    </row>
    <row r="2038" spans="1:4" x14ac:dyDescent="0.2">
      <c r="A2038" s="10">
        <v>1977</v>
      </c>
      <c r="D2038" s="2" t="str">
        <f t="shared" si="30"/>
        <v>OK</v>
      </c>
    </row>
    <row r="2039" spans="1:4" x14ac:dyDescent="0.2">
      <c r="A2039" s="5">
        <v>1978</v>
      </c>
      <c r="B2039" s="138">
        <f>'Cap Outlay Deprec 26'!I8</f>
        <v>239732</v>
      </c>
      <c r="D2039" s="2" t="str">
        <f t="shared" si="30"/>
        <v>Error?</v>
      </c>
    </row>
    <row r="2040" spans="1:4" x14ac:dyDescent="0.2">
      <c r="A2040" s="5">
        <v>1979</v>
      </c>
      <c r="B2040" s="138">
        <f>'Cap Outlay Deprec 26'!I10</f>
        <v>64504</v>
      </c>
      <c r="D2040" s="2" t="str">
        <f t="shared" si="30"/>
        <v>Error?</v>
      </c>
    </row>
    <row r="2041" spans="1:4" x14ac:dyDescent="0.2">
      <c r="A2041" s="5">
        <v>1980</v>
      </c>
      <c r="B2041" s="138">
        <f>'Cap Outlay Deprec 26'!I12</f>
        <v>85147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389383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2639722</v>
      </c>
      <c r="C2051" s="2" t="s">
        <v>594</v>
      </c>
      <c r="D2051" s="2" t="str">
        <f t="shared" si="31"/>
        <v>Error?</v>
      </c>
    </row>
    <row r="2052" spans="1:4" x14ac:dyDescent="0.2">
      <c r="A2052" s="5">
        <v>1991</v>
      </c>
      <c r="B2052" s="138">
        <f>'Cap Outlay Deprec 26'!K10</f>
        <v>445045</v>
      </c>
      <c r="C2052" s="2" t="s">
        <v>594</v>
      </c>
      <c r="D2052" s="2" t="str">
        <f t="shared" si="31"/>
        <v>Error?</v>
      </c>
    </row>
    <row r="2053" spans="1:4" x14ac:dyDescent="0.2">
      <c r="A2053" s="5">
        <v>1992</v>
      </c>
      <c r="B2053" s="138">
        <f>'Cap Outlay Deprec 26'!K12</f>
        <v>734046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3818813</v>
      </c>
      <c r="C2055" s="2" t="s">
        <v>594</v>
      </c>
      <c r="D2055" s="2" t="str">
        <f t="shared" si="31"/>
        <v>Error?</v>
      </c>
    </row>
    <row r="2056" spans="1:4" x14ac:dyDescent="0.2">
      <c r="A2056" s="5">
        <v>1995</v>
      </c>
      <c r="B2056" s="138">
        <f>'Cap Outlay Deprec 26'!L5</f>
        <v>382477</v>
      </c>
      <c r="C2056" s="2" t="s">
        <v>594</v>
      </c>
      <c r="D2056" s="2" t="str">
        <f t="shared" si="31"/>
        <v>Error?</v>
      </c>
    </row>
    <row r="2057" spans="1:4" x14ac:dyDescent="0.2">
      <c r="A2057" s="5">
        <v>1996</v>
      </c>
      <c r="B2057" s="138">
        <f>'Cap Outlay Deprec 26'!L8</f>
        <v>9949815</v>
      </c>
      <c r="C2057" s="2" t="s">
        <v>594</v>
      </c>
      <c r="D2057" s="2" t="str">
        <f t="shared" si="31"/>
        <v>Error?</v>
      </c>
    </row>
    <row r="2058" spans="1:4" x14ac:dyDescent="0.2">
      <c r="A2058" s="5">
        <v>1997</v>
      </c>
      <c r="B2058" s="138">
        <f>'Cap Outlay Deprec 26'!L10</f>
        <v>875009</v>
      </c>
      <c r="C2058" s="2" t="s">
        <v>594</v>
      </c>
      <c r="D2058" s="2" t="str">
        <f t="shared" si="31"/>
        <v>Error?</v>
      </c>
    </row>
    <row r="2059" spans="1:4" x14ac:dyDescent="0.2">
      <c r="A2059" s="5">
        <v>1998</v>
      </c>
      <c r="B2059" s="138">
        <f>'Cap Outlay Deprec 26'!L12</f>
        <v>487559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11699847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451785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4596476</v>
      </c>
      <c r="C2551" s="2" t="s">
        <v>594</v>
      </c>
      <c r="D2551" s="2" t="str">
        <f t="shared" si="38"/>
        <v>Error?</v>
      </c>
    </row>
    <row r="2552" spans="1:4" x14ac:dyDescent="0.2">
      <c r="A2552" s="10">
        <v>2491</v>
      </c>
      <c r="D2552" s="2" t="str">
        <f t="shared" si="38"/>
        <v>OK</v>
      </c>
    </row>
    <row r="2553" spans="1:4" x14ac:dyDescent="0.2">
      <c r="A2553" s="5">
        <v>2492</v>
      </c>
      <c r="B2553" s="138">
        <f>'Acct Summary 7-8'!C6</f>
        <v>141711</v>
      </c>
      <c r="C2553" s="2" t="s">
        <v>594</v>
      </c>
      <c r="D2553" s="2" t="str">
        <f t="shared" si="38"/>
        <v>Error?</v>
      </c>
    </row>
    <row r="2554" spans="1:4" x14ac:dyDescent="0.2">
      <c r="A2554" s="5">
        <v>2493</v>
      </c>
      <c r="B2554" s="138">
        <f>'Acct Summary 7-8'!C7</f>
        <v>84267</v>
      </c>
      <c r="C2554" s="2" t="s">
        <v>594</v>
      </c>
      <c r="D2554" s="2" t="str">
        <f t="shared" si="38"/>
        <v>Error?</v>
      </c>
    </row>
    <row r="2555" spans="1:4" x14ac:dyDescent="0.2">
      <c r="A2555" s="5">
        <v>2494</v>
      </c>
      <c r="B2555" s="138">
        <f>'Acct Summary 7-8'!C8</f>
        <v>4822454</v>
      </c>
      <c r="C2555" s="2" t="s">
        <v>594</v>
      </c>
      <c r="D2555" s="2" t="str">
        <f t="shared" si="38"/>
        <v>Error?</v>
      </c>
    </row>
    <row r="2556" spans="1:4" x14ac:dyDescent="0.2">
      <c r="A2556" s="5">
        <v>2495</v>
      </c>
      <c r="B2556" s="138">
        <f>'Acct Summary 7-8'!C12</f>
        <v>2269633</v>
      </c>
      <c r="C2556" s="2" t="s">
        <v>594</v>
      </c>
      <c r="D2556" s="2" t="str">
        <f t="shared" si="38"/>
        <v>Error?</v>
      </c>
    </row>
    <row r="2557" spans="1:4" x14ac:dyDescent="0.2">
      <c r="A2557" s="5">
        <v>2496</v>
      </c>
      <c r="B2557" s="138">
        <f>'Acct Summary 7-8'!C13</f>
        <v>1245293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451785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3966711</v>
      </c>
      <c r="C2561" s="2" t="s">
        <v>594</v>
      </c>
      <c r="D2561" s="2" t="str">
        <f t="shared" si="39"/>
        <v>Error?</v>
      </c>
    </row>
    <row r="2562" spans="1:4" x14ac:dyDescent="0.2">
      <c r="A2562" s="5">
        <v>2501</v>
      </c>
      <c r="B2562" s="138">
        <f>'Acct Summary 7-8'!C20</f>
        <v>855743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1056634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1056634</v>
      </c>
      <c r="C2568" s="2" t="s">
        <v>594</v>
      </c>
      <c r="D2568" s="2" t="str">
        <f t="shared" si="39"/>
        <v>Error?</v>
      </c>
    </row>
    <row r="2569" spans="1:4" x14ac:dyDescent="0.2">
      <c r="A2569" s="5">
        <v>2508</v>
      </c>
      <c r="B2569" s="138">
        <f>'Acct Summary 7-8'!D13</f>
        <v>550739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550739</v>
      </c>
      <c r="C2573" s="2" t="s">
        <v>594</v>
      </c>
      <c r="D2573" s="2" t="str">
        <f t="shared" si="39"/>
        <v>Error?</v>
      </c>
    </row>
    <row r="2574" spans="1:4" x14ac:dyDescent="0.2">
      <c r="A2574" s="5">
        <v>2513</v>
      </c>
      <c r="B2574" s="138">
        <f>'Acct Summary 7-8'!D20</f>
        <v>505895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104164</v>
      </c>
      <c r="C2591" s="2" t="s">
        <v>594</v>
      </c>
      <c r="D2591" s="2" t="str">
        <f t="shared" si="39"/>
        <v>Error?</v>
      </c>
    </row>
    <row r="2592" spans="1:4" x14ac:dyDescent="0.2">
      <c r="A2592" s="10">
        <v>2531</v>
      </c>
      <c r="D2592" s="2" t="str">
        <f t="shared" si="39"/>
        <v>OK</v>
      </c>
    </row>
    <row r="2593" spans="1:4" x14ac:dyDescent="0.2">
      <c r="A2593" s="5">
        <v>2532</v>
      </c>
      <c r="B2593" s="138">
        <f>'Acct Summary 7-8'!F6</f>
        <v>58275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162439</v>
      </c>
      <c r="C2595" s="2" t="s">
        <v>594</v>
      </c>
      <c r="D2595" s="2" t="str">
        <f t="shared" si="39"/>
        <v>Error?</v>
      </c>
    </row>
    <row r="2596" spans="1:4" x14ac:dyDescent="0.2">
      <c r="A2596" s="5">
        <v>2535</v>
      </c>
      <c r="B2596" s="138">
        <f>'Acct Summary 7-8'!F13</f>
        <v>108054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25149</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133203</v>
      </c>
      <c r="C2600" s="2" t="s">
        <v>594</v>
      </c>
      <c r="D2600" s="2" t="str">
        <f t="shared" si="39"/>
        <v>Error?</v>
      </c>
    </row>
    <row r="2601" spans="1:4" x14ac:dyDescent="0.2">
      <c r="A2601" s="5">
        <v>2540</v>
      </c>
      <c r="B2601" s="138">
        <f>'Acct Summary 7-8'!F20</f>
        <v>29236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132644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132644</v>
      </c>
      <c r="C2606" s="2" t="s">
        <v>594</v>
      </c>
      <c r="D2606" s="2" t="str">
        <f t="shared" si="39"/>
        <v>Error?</v>
      </c>
    </row>
    <row r="2607" spans="1:4" x14ac:dyDescent="0.2">
      <c r="A2607" s="5">
        <v>2546</v>
      </c>
      <c r="B2607" s="138">
        <f>'Acct Summary 7-8'!G12</f>
        <v>34043</v>
      </c>
      <c r="C2607" s="2" t="s">
        <v>594</v>
      </c>
      <c r="D2607" s="2" t="str">
        <f t="shared" si="39"/>
        <v>Error?</v>
      </c>
    </row>
    <row r="2608" spans="1:4" x14ac:dyDescent="0.2">
      <c r="A2608" s="5">
        <v>2547</v>
      </c>
      <c r="B2608" s="138">
        <f>'Acct Summary 7-8'!G13</f>
        <v>82008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116051</v>
      </c>
      <c r="C2612" s="2" t="s">
        <v>594</v>
      </c>
      <c r="D2612" s="2" t="str">
        <f t="shared" si="39"/>
        <v>Error?</v>
      </c>
    </row>
    <row r="2613" spans="1:4" x14ac:dyDescent="0.2">
      <c r="A2613" s="5">
        <v>2552</v>
      </c>
      <c r="B2613" s="138">
        <f>'Acct Summary 7-8'!G20</f>
        <v>16593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5243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5243</v>
      </c>
      <c r="C2658" s="2" t="s">
        <v>594</v>
      </c>
      <c r="D2658" s="2" t="str">
        <f t="shared" si="40"/>
        <v>Error?</v>
      </c>
    </row>
    <row r="2659" spans="1:4" x14ac:dyDescent="0.2">
      <c r="A2659" s="5">
        <v>2598</v>
      </c>
      <c r="B2659" s="138">
        <f>'Acct Summary 7-8'!H13</f>
        <v>1201411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1201411</v>
      </c>
      <c r="C2661" s="2" t="s">
        <v>594</v>
      </c>
      <c r="D2661" s="2" t="str">
        <f t="shared" si="40"/>
        <v>Error?</v>
      </c>
    </row>
    <row r="2662" spans="1:4" x14ac:dyDescent="0.2">
      <c r="A2662" s="5">
        <v>2601</v>
      </c>
      <c r="B2662" s="138">
        <f>'Acct Summary 7-8'!H20</f>
        <v>-1196168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451785</v>
      </c>
      <c r="C2789" s="2" t="s">
        <v>594</v>
      </c>
      <c r="D2789" s="2" t="str">
        <f t="shared" si="42"/>
        <v>Error?</v>
      </c>
    </row>
    <row r="2790" spans="1:4" x14ac:dyDescent="0.2">
      <c r="A2790" s="5">
        <v>2729</v>
      </c>
      <c r="B2790" s="138">
        <f>'Expenditures 15-22'!E102</f>
        <v>451785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25149</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25149</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4987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19955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1766724</v>
      </c>
      <c r="D2885" s="2" t="str">
        <f t="shared" si="44"/>
        <v>Error?</v>
      </c>
    </row>
    <row r="2886" spans="1:4" x14ac:dyDescent="0.2">
      <c r="A2886" s="10">
        <v>2825</v>
      </c>
      <c r="D2886" s="2" t="str">
        <f t="shared" si="44"/>
        <v>OK</v>
      </c>
    </row>
    <row r="2887" spans="1:4" x14ac:dyDescent="0.2">
      <c r="A2887" s="5">
        <v>2826</v>
      </c>
      <c r="B2887" s="138">
        <f>'Assets-Liab 5-6'!I12</f>
        <v>16701</v>
      </c>
      <c r="D2887" s="2" t="str">
        <f t="shared" si="44"/>
        <v>Error?</v>
      </c>
    </row>
    <row r="2888" spans="1:4" x14ac:dyDescent="0.2">
      <c r="A2888" s="5">
        <v>2827</v>
      </c>
      <c r="B2888" s="138">
        <f>'Assets-Liab 5-6'!I13</f>
        <v>2181437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2520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48799</v>
      </c>
      <c r="D2908" s="2" t="str">
        <f t="shared" si="44"/>
        <v>Error?</v>
      </c>
    </row>
    <row r="2909" spans="1:4" x14ac:dyDescent="0.2">
      <c r="A2909" s="10">
        <v>2848</v>
      </c>
      <c r="D2909" s="2" t="str">
        <f t="shared" si="44"/>
        <v>OK</v>
      </c>
    </row>
    <row r="2910" spans="1:4" x14ac:dyDescent="0.2">
      <c r="A2910" s="5">
        <v>2849</v>
      </c>
      <c r="B2910" s="138">
        <f>'Assets-Liab 5-6'!I34</f>
        <v>48799</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2132638</v>
      </c>
      <c r="D2912" s="2" t="str">
        <f t="shared" si="44"/>
        <v>Error?</v>
      </c>
    </row>
    <row r="2913" spans="1:4" x14ac:dyDescent="0.2">
      <c r="A2913" s="5">
        <v>2852</v>
      </c>
      <c r="B2913" s="138">
        <f>'Assets-Liab 5-6'!I41</f>
        <v>2181437</v>
      </c>
      <c r="C2913" s="2" t="s">
        <v>594</v>
      </c>
      <c r="D2913" s="2" t="str">
        <f t="shared" si="44"/>
        <v>Error?</v>
      </c>
    </row>
    <row r="2914" spans="1:4" x14ac:dyDescent="0.2">
      <c r="A2914" s="5">
        <v>2853</v>
      </c>
      <c r="B2914" s="138">
        <f>'Assets-Liab 5-6'!L33</f>
        <v>2520</v>
      </c>
      <c r="D2914" s="2" t="str">
        <f t="shared" si="44"/>
        <v>Error?</v>
      </c>
    </row>
    <row r="2915" spans="1:4" x14ac:dyDescent="0.2">
      <c r="A2915" s="10">
        <v>2854</v>
      </c>
      <c r="D2915" s="2" t="str">
        <f t="shared" si="44"/>
        <v>OK</v>
      </c>
    </row>
    <row r="2916" spans="1:4" x14ac:dyDescent="0.2">
      <c r="A2916" s="5">
        <v>2855</v>
      </c>
      <c r="B2916" s="138">
        <f>'Assets-Liab 5-6'!L34</f>
        <v>2520</v>
      </c>
      <c r="C2916" s="2" t="s">
        <v>594</v>
      </c>
      <c r="D2916" s="2" t="str">
        <f t="shared" si="44"/>
        <v>Error?</v>
      </c>
    </row>
    <row r="2917" spans="1:4" x14ac:dyDescent="0.2">
      <c r="A2917" s="5">
        <v>2856</v>
      </c>
      <c r="B2917" s="138">
        <f>'Assets-Liab 5-6'!L41</f>
        <v>2520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451785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451785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25149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25149</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76596</v>
      </c>
      <c r="C3225" s="2" t="s">
        <v>594</v>
      </c>
      <c r="D3225" s="2" t="str">
        <f t="shared" si="49"/>
        <v>Error?</v>
      </c>
    </row>
    <row r="3226" spans="1:4" x14ac:dyDescent="0.2">
      <c r="A3226" s="5">
        <v>3165</v>
      </c>
      <c r="B3226" s="138">
        <f>'Acct Summary 7-8'!I8</f>
        <v>76596</v>
      </c>
      <c r="C3226" s="2" t="s">
        <v>594</v>
      </c>
      <c r="D3226" s="2" t="str">
        <f t="shared" si="49"/>
        <v>Error?</v>
      </c>
    </row>
    <row r="3227" spans="1:4" x14ac:dyDescent="0.2">
      <c r="A3227" s="5">
        <v>3166</v>
      </c>
      <c r="B3227" s="138">
        <f>'Acct Summary 7-8'!I20</f>
        <v>76596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900000</v>
      </c>
      <c r="C3231" s="2" t="s">
        <v>594</v>
      </c>
      <c r="D3231" s="2" t="str">
        <f t="shared" si="49"/>
        <v>Error?</v>
      </c>
    </row>
    <row r="3232" spans="1:4" x14ac:dyDescent="0.2">
      <c r="A3232" s="5">
        <v>3171</v>
      </c>
      <c r="B3232" s="138">
        <f>'Acct Summary 7-8'!C77</f>
        <v>-900000</v>
      </c>
      <c r="C3232" s="2" t="s">
        <v>594</v>
      </c>
      <c r="D3232" s="2" t="str">
        <f t="shared" si="49"/>
        <v>Error?</v>
      </c>
    </row>
    <row r="3233" spans="1:4" x14ac:dyDescent="0.2">
      <c r="A3233" s="5">
        <v>3172</v>
      </c>
      <c r="B3233" s="138">
        <f>'Acct Summary 7-8'!C78</f>
        <v>-44257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600000</v>
      </c>
      <c r="C3237" s="2" t="s">
        <v>594</v>
      </c>
      <c r="D3237" s="2" t="str">
        <f t="shared" si="49"/>
        <v>Error?</v>
      </c>
    </row>
    <row r="3238" spans="1:4" x14ac:dyDescent="0.2">
      <c r="A3238" s="5">
        <v>3177</v>
      </c>
      <c r="B3238" s="138">
        <f>'Acct Summary 7-8'!D77</f>
        <v>-200000</v>
      </c>
      <c r="C3238" s="2" t="s">
        <v>594</v>
      </c>
      <c r="D3238" s="2" t="str">
        <f t="shared" si="49"/>
        <v>Error?</v>
      </c>
    </row>
    <row r="3239" spans="1:4" x14ac:dyDescent="0.2">
      <c r="A3239" s="5">
        <v>3178</v>
      </c>
      <c r="B3239" s="138">
        <f>'Acct Summary 7-8'!D78</f>
        <v>305895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v>
      </c>
      <c r="C3254" s="2" t="s">
        <v>594</v>
      </c>
      <c r="D3254" s="2" t="str">
        <f t="shared" si="49"/>
        <v>Error?</v>
      </c>
    </row>
    <row r="3255" spans="1:4" x14ac:dyDescent="0.2">
      <c r="A3255" s="5">
        <v>3194</v>
      </c>
      <c r="B3255" s="138">
        <f>'Acct Summary 7-8'!F77</f>
        <v>-400000</v>
      </c>
      <c r="C3255" s="2" t="s">
        <v>594</v>
      </c>
      <c r="D3255" s="2" t="str">
        <f t="shared" si="49"/>
        <v>Error?</v>
      </c>
    </row>
    <row r="3256" spans="1:4" x14ac:dyDescent="0.2">
      <c r="A3256" s="5">
        <v>3195</v>
      </c>
      <c r="B3256" s="138">
        <f>'Acct Summary 7-8'!F78</f>
        <v>-370764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16593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1500000</v>
      </c>
      <c r="C3299" s="2" t="s">
        <v>594</v>
      </c>
      <c r="D3299" s="2" t="str">
        <f t="shared" si="50"/>
        <v>Error?</v>
      </c>
    </row>
    <row r="3300" spans="1:4" x14ac:dyDescent="0.2">
      <c r="A3300" s="5">
        <v>3239</v>
      </c>
      <c r="B3300" s="138">
        <f>'Acct Summary 7-8'!H78</f>
        <v>303832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76596</v>
      </c>
      <c r="C3320" s="2" t="s">
        <v>594</v>
      </c>
      <c r="D3320" s="2" t="str">
        <f t="shared" si="50"/>
        <v>Error?</v>
      </c>
    </row>
    <row r="3321" spans="1:4" x14ac:dyDescent="0.2">
      <c r="A3321" s="5">
        <v>3260</v>
      </c>
      <c r="B3321" s="138">
        <f>'Acct Summary 7-8'!I79</f>
        <v>2056042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2132638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79715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21926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101641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31931</v>
      </c>
      <c r="D3387" s="2" t="str">
        <f t="shared" si="51"/>
        <v>Error?</v>
      </c>
    </row>
    <row r="3388" spans="1:4" x14ac:dyDescent="0.2">
      <c r="A3388" s="5">
        <v>3327</v>
      </c>
      <c r="B3388" s="138">
        <f>'Expenditures 15-22'!D217</f>
        <v>1014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31931</v>
      </c>
      <c r="C3390" s="2" t="s">
        <v>594</v>
      </c>
      <c r="D3390" s="2" t="str">
        <f t="shared" si="51"/>
        <v>Error?</v>
      </c>
    </row>
    <row r="3391" spans="1:4" x14ac:dyDescent="0.2">
      <c r="A3391" s="5">
        <v>3330</v>
      </c>
      <c r="B3391" s="138">
        <f>'Expenditures 15-22'!K217</f>
        <v>1014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2075797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249526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53324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52884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68138</v>
      </c>
      <c r="D3425" s="2" t="str">
        <f t="shared" si="52"/>
        <v>Error?</v>
      </c>
    </row>
    <row r="3426" spans="1:4" x14ac:dyDescent="0.2">
      <c r="A3426" s="10">
        <v>3365</v>
      </c>
      <c r="D3426" s="2" t="str">
        <f t="shared" si="52"/>
        <v>OK</v>
      </c>
    </row>
    <row r="3427" spans="1:4" x14ac:dyDescent="0.2">
      <c r="A3427" s="5">
        <v>3366</v>
      </c>
      <c r="B3427" s="138">
        <f>'Assets-Liab 5-6'!I4</f>
        <v>378057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84520</v>
      </c>
      <c r="C3446" s="2" t="s">
        <v>594</v>
      </c>
      <c r="D3446" s="2" t="str">
        <f t="shared" si="52"/>
        <v>Error?</v>
      </c>
    </row>
    <row r="3447" spans="1:4" x14ac:dyDescent="0.2">
      <c r="A3447" s="5">
        <v>3386</v>
      </c>
      <c r="B3447" s="138">
        <f>'Tax Sched 23'!D16</f>
        <v>38032</v>
      </c>
      <c r="C3447" s="2" t="s">
        <v>594</v>
      </c>
      <c r="D3447" s="2" t="str">
        <f t="shared" si="52"/>
        <v>Error?</v>
      </c>
    </row>
    <row r="3448" spans="1:4" x14ac:dyDescent="0.2">
      <c r="A3448" s="5">
        <v>3387</v>
      </c>
      <c r="B3448" s="138">
        <f>'Tax Sched 23'!C16</f>
        <v>46488</v>
      </c>
      <c r="D3448" s="2" t="str">
        <f t="shared" si="52"/>
        <v>Error?</v>
      </c>
    </row>
    <row r="3449" spans="1:4" x14ac:dyDescent="0.2">
      <c r="A3449" s="5">
        <v>3388</v>
      </c>
      <c r="B3449" s="138">
        <f>'Tax Sched 23'!F16</f>
        <v>32162</v>
      </c>
      <c r="C3449" s="2" t="s">
        <v>594</v>
      </c>
      <c r="D3449" s="2" t="str">
        <f t="shared" si="52"/>
        <v>Error?</v>
      </c>
    </row>
    <row r="3450" spans="1:4" x14ac:dyDescent="0.2">
      <c r="A3450" s="5">
        <v>3389</v>
      </c>
      <c r="B3450" s="138">
        <f>'Tax Sched 23'!E16</f>
        <v>78650</v>
      </c>
      <c r="D3450" s="2" t="str">
        <f t="shared" si="52"/>
        <v>Error?</v>
      </c>
    </row>
    <row r="3451" spans="1:4" x14ac:dyDescent="0.2">
      <c r="A3451" s="5">
        <v>3390</v>
      </c>
      <c r="B3451" s="138">
        <f>'Cap Outlay Deprec 26'!C15</f>
        <v>383530</v>
      </c>
      <c r="D3451" s="2" t="str">
        <f t="shared" si="52"/>
        <v>Error?</v>
      </c>
    </row>
    <row r="3452" spans="1:4" x14ac:dyDescent="0.2">
      <c r="A3452" s="5">
        <v>3391</v>
      </c>
      <c r="B3452" s="138">
        <f>'Cap Outlay Deprec 26'!D15</f>
        <v>4987</v>
      </c>
      <c r="D3452" s="2" t="str">
        <f t="shared" si="52"/>
        <v>Error?</v>
      </c>
    </row>
    <row r="3453" spans="1:4" x14ac:dyDescent="0.2">
      <c r="A3453" s="5">
        <v>3392</v>
      </c>
      <c r="B3453" s="138">
        <f>'Cap Outlay Deprec 26'!E15</f>
        <v>383530</v>
      </c>
      <c r="D3453" s="2" t="str">
        <f t="shared" si="52"/>
        <v>Error?</v>
      </c>
    </row>
    <row r="3454" spans="1:4" x14ac:dyDescent="0.2">
      <c r="A3454" s="5">
        <v>3393</v>
      </c>
      <c r="B3454" s="138">
        <f>'Cap Outlay Deprec 26'!F15</f>
        <v>4987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4987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3963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1394357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6216811</v>
      </c>
      <c r="C4122" s="2" t="s">
        <v>594</v>
      </c>
      <c r="D4122" s="2" t="str">
        <f t="shared" si="63"/>
        <v>Error?</v>
      </c>
    </row>
    <row r="4123" spans="1:4" x14ac:dyDescent="0.2">
      <c r="A4123" s="5">
        <v>4062</v>
      </c>
      <c r="B4123" s="138">
        <f>'Acct Summary 7-8'!D10</f>
        <v>1056634</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162439</v>
      </c>
      <c r="C4125" s="2" t="s">
        <v>594</v>
      </c>
      <c r="D4125" s="2" t="str">
        <f t="shared" si="63"/>
        <v>Error?</v>
      </c>
    </row>
    <row r="4126" spans="1:4" x14ac:dyDescent="0.2">
      <c r="A4126" s="5">
        <v>4065</v>
      </c>
      <c r="B4126" s="138">
        <f>'Acct Summary 7-8'!G10</f>
        <v>132644</v>
      </c>
      <c r="C4126" s="2" t="s">
        <v>594</v>
      </c>
      <c r="D4126" s="2" t="str">
        <f t="shared" si="63"/>
        <v>Error?</v>
      </c>
    </row>
    <row r="4127" spans="1:4" x14ac:dyDescent="0.2">
      <c r="A4127" s="5">
        <v>4066</v>
      </c>
      <c r="B4127" s="138">
        <f>'Acct Summary 7-8'!H10</f>
        <v>5243</v>
      </c>
      <c r="C4127" s="2" t="s">
        <v>594</v>
      </c>
      <c r="D4127" s="2" t="str">
        <f t="shared" si="63"/>
        <v>Error?</v>
      </c>
    </row>
    <row r="4128" spans="1:4" x14ac:dyDescent="0.2">
      <c r="A4128" s="5">
        <v>4067</v>
      </c>
      <c r="B4128" s="138">
        <f>'Acct Summary 7-8'!I10</f>
        <v>76596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1394357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5361068</v>
      </c>
      <c r="C4136" s="2" t="s">
        <v>594</v>
      </c>
      <c r="D4136" s="2" t="str">
        <f t="shared" si="63"/>
        <v>Error?</v>
      </c>
    </row>
    <row r="4137" spans="1:4" x14ac:dyDescent="0.2">
      <c r="A4137" s="5">
        <v>4076</v>
      </c>
      <c r="B4137" s="138">
        <f>'Acct Summary 7-8'!D19</f>
        <v>550739</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133203</v>
      </c>
      <c r="C4139" s="2" t="s">
        <v>594</v>
      </c>
      <c r="D4139" s="2" t="str">
        <f t="shared" si="63"/>
        <v>Error?</v>
      </c>
    </row>
    <row r="4140" spans="1:4" x14ac:dyDescent="0.2">
      <c r="A4140" s="5">
        <v>4079</v>
      </c>
      <c r="B4140" s="138">
        <f>'Acct Summary 7-8'!G19</f>
        <v>116051</v>
      </c>
      <c r="C4140" s="2" t="s">
        <v>594</v>
      </c>
      <c r="D4140" s="2" t="str">
        <f t="shared" si="63"/>
        <v>Error?</v>
      </c>
    </row>
    <row r="4141" spans="1:4" x14ac:dyDescent="0.2">
      <c r="A4141" s="5">
        <v>4080</v>
      </c>
      <c r="B4141" s="138">
        <f>'Acct Summary 7-8'!H19</f>
        <v>1201411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1967.1750000000002</v>
      </c>
      <c r="C4265" s="2" t="s">
        <v>594</v>
      </c>
      <c r="D4265" s="2" t="str">
        <f t="shared" si="65"/>
        <v>Error?</v>
      </c>
      <c r="E4265" s="128"/>
    </row>
    <row r="4266" spans="1:5" x14ac:dyDescent="0.2">
      <c r="A4266" s="12">
        <v>4205</v>
      </c>
      <c r="B4266" s="138">
        <f>('FP Info 3'!F10)*100000</f>
        <v>475.66700000000003</v>
      </c>
      <c r="C4266" s="2" t="s">
        <v>594</v>
      </c>
      <c r="D4266" s="2" t="str">
        <f t="shared" si="65"/>
        <v>Error?</v>
      </c>
      <c r="E4266" s="128"/>
    </row>
    <row r="4267" spans="1:5" x14ac:dyDescent="0.2">
      <c r="A4267" s="12">
        <v>4206</v>
      </c>
      <c r="B4267" s="138">
        <f>('FP Info 3'!H10)*100000</f>
        <v>46.814</v>
      </c>
      <c r="C4267" s="2" t="s">
        <v>594</v>
      </c>
      <c r="D4267" s="2" t="str">
        <f t="shared" si="65"/>
        <v>Error?</v>
      </c>
      <c r="E4267" s="128"/>
    </row>
    <row r="4268" spans="1:5" x14ac:dyDescent="0.2">
      <c r="A4268" s="12">
        <v>4207</v>
      </c>
      <c r="B4268" s="138">
        <f>('FP Info 3'!J10)*100000</f>
        <v>2490</v>
      </c>
      <c r="C4268" s="2" t="s">
        <v>594</v>
      </c>
      <c r="D4268" s="2" t="str">
        <f t="shared" si="65"/>
        <v>Error?</v>
      </c>
    </row>
    <row r="4269" spans="1:5" x14ac:dyDescent="0.2">
      <c r="A4269" s="12">
        <v>4208</v>
      </c>
      <c r="B4269" s="138">
        <f>'FP Info 3'!J16</f>
        <v>12286600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6240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22.844000000000001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213618793</v>
      </c>
      <c r="D4995" s="2" t="str">
        <f t="shared" si="77"/>
        <v>Error?</v>
      </c>
    </row>
    <row r="4996" spans="1:4" x14ac:dyDescent="0.2">
      <c r="A4996" s="12">
        <v>4935</v>
      </c>
      <c r="B4996" s="138">
        <f>'FP Info 3'!H31</f>
        <v>14739696.717000002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400000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4359913</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4359913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23374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23374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156081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156081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3452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28355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223</v>
      </c>
      <c r="D5101" s="2" t="str">
        <f t="shared" si="78"/>
        <v>Error?</v>
      </c>
    </row>
    <row r="5102" spans="1:4" x14ac:dyDescent="0.2">
      <c r="A5102" s="5">
        <v>5041</v>
      </c>
      <c r="B5102" s="138">
        <f>'Revenues 9-14'!C82</f>
        <v>28578</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8810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16268</v>
      </c>
      <c r="D5119" s="2" t="str">
        <f t="shared" ref="D5119:D5182" si="79">IF(ISBLANK(B5119),"OK",IF(A5119-B5119=0,"OK","Error?"))</f>
        <v>Error?</v>
      </c>
    </row>
    <row r="5120" spans="1:4" x14ac:dyDescent="0.2">
      <c r="A5120" s="5">
        <v>5059</v>
      </c>
      <c r="B5120" s="138">
        <f>'Revenues 9-14'!C108</f>
        <v>25078</v>
      </c>
      <c r="C5120" s="2" t="s">
        <v>594</v>
      </c>
      <c r="D5120" s="2" t="str">
        <f t="shared" si="79"/>
        <v>Error?</v>
      </c>
    </row>
    <row r="5121" spans="1:4" x14ac:dyDescent="0.2">
      <c r="A5121" s="5">
        <v>5060</v>
      </c>
      <c r="B5121" s="138">
        <f>'Revenues 9-14'!C109</f>
        <v>4596476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140211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140211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1500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141711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3963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3963</v>
      </c>
      <c r="C5246" s="2" t="s">
        <v>594</v>
      </c>
      <c r="D5246" s="2" t="str">
        <f t="shared" si="80"/>
        <v>Error?</v>
      </c>
    </row>
    <row r="5247" spans="1:4" x14ac:dyDescent="0.2">
      <c r="A5247" s="5">
        <v>5186</v>
      </c>
      <c r="B5247" s="138">
        <f>'Revenues 9-14'!C203</f>
        <v>34341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34341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28123</v>
      </c>
      <c r="D5278" s="2" t="str">
        <f t="shared" si="81"/>
        <v>Error?</v>
      </c>
    </row>
    <row r="5279" spans="1:4" x14ac:dyDescent="0.2">
      <c r="A5279" s="5">
        <v>5218</v>
      </c>
      <c r="B5279" s="138">
        <f>'Revenues 9-14'!C221</f>
        <v>1600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29723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84267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84267</v>
      </c>
      <c r="C5326" s="2" t="s">
        <v>594</v>
      </c>
      <c r="D5326" s="2" t="str">
        <f t="shared" si="82"/>
        <v>Error?</v>
      </c>
    </row>
    <row r="5327" spans="1:4" x14ac:dyDescent="0.2">
      <c r="A5327" s="5">
        <v>5266</v>
      </c>
      <c r="B5327" s="138">
        <f>'Revenues 9-14'!C275</f>
        <v>4822454</v>
      </c>
      <c r="C5327" s="2" t="s">
        <v>594</v>
      </c>
      <c r="D5327" s="2" t="str">
        <f t="shared" si="82"/>
        <v>Error?</v>
      </c>
    </row>
    <row r="5328" spans="1:4" x14ac:dyDescent="0.2">
      <c r="A5328" s="5">
        <v>5267</v>
      </c>
      <c r="B5328" s="138">
        <f>'Revenues 9-14'!D5</f>
        <v>1042558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1042558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14076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14076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1056634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1056634</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97937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97937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6227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6227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104164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1697</v>
      </c>
      <c r="D5615" s="2" t="str">
        <f t="shared" si="86"/>
        <v>Error?</v>
      </c>
    </row>
    <row r="5616" spans="1:4" x14ac:dyDescent="0.2">
      <c r="A5616" s="10">
        <v>5555</v>
      </c>
      <c r="D5616" s="2" t="str">
        <f t="shared" si="86"/>
        <v>OK</v>
      </c>
    </row>
    <row r="5617" spans="1:4" x14ac:dyDescent="0.2">
      <c r="A5617" s="5">
        <v>5556</v>
      </c>
      <c r="B5617" s="138">
        <f>'Revenues 9-14'!F152</f>
        <v>56578</v>
      </c>
      <c r="D5617" s="2" t="str">
        <f t="shared" si="86"/>
        <v>Error?</v>
      </c>
    </row>
    <row r="5618" spans="1:4" x14ac:dyDescent="0.2">
      <c r="A5618" s="5">
        <v>5557</v>
      </c>
      <c r="B5618" s="138">
        <f>'Revenues 9-14'!F154</f>
        <v>58275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58275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58275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162439</v>
      </c>
      <c r="C5720" s="2" t="s">
        <v>594</v>
      </c>
      <c r="D5720" s="2" t="str">
        <f t="shared" si="88"/>
        <v>Error?</v>
      </c>
    </row>
    <row r="5721" spans="1:4" x14ac:dyDescent="0.2">
      <c r="A5721" s="5">
        <v>5660</v>
      </c>
      <c r="B5721" s="138">
        <f>'Revenues 9-14'!G5</f>
        <v>49355</v>
      </c>
      <c r="D5721" s="2" t="str">
        <f t="shared" si="88"/>
        <v>Error?</v>
      </c>
    </row>
    <row r="5722" spans="1:4" x14ac:dyDescent="0.2">
      <c r="A5722" s="5">
        <v>5661</v>
      </c>
      <c r="B5722" s="138">
        <f>'Revenues 9-14'!G7</f>
        <v>0</v>
      </c>
      <c r="D5722" s="2" t="str">
        <f t="shared" si="88"/>
        <v>Error?</v>
      </c>
    </row>
    <row r="5723" spans="1:4" x14ac:dyDescent="0.2">
      <c r="A5723" s="5">
        <v>5662</v>
      </c>
      <c r="B5723" s="138">
        <f>'Revenues 9-14'!G8</f>
        <v>77002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126357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594</v>
      </c>
      <c r="D5730" s="2" t="str">
        <f t="shared" si="88"/>
        <v>Error?</v>
      </c>
    </row>
    <row r="5731" spans="1:4" x14ac:dyDescent="0.2">
      <c r="A5731" s="5">
        <v>5670</v>
      </c>
      <c r="B5731" s="138">
        <f>'Revenues 9-14'!G65</f>
        <v>4287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4287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132644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5243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5243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5243</v>
      </c>
      <c r="C5915" s="2" t="s">
        <v>594</v>
      </c>
      <c r="D5915" s="2" t="str">
        <f t="shared" si="91"/>
        <v>Error?</v>
      </c>
    </row>
    <row r="5916" spans="1:4" x14ac:dyDescent="0.2">
      <c r="A5916" s="5">
        <v>5855</v>
      </c>
      <c r="B5916" s="138">
        <f>'Revenues 9-14'!I5</f>
        <v>47734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47734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28862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28862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76596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132644</v>
      </c>
      <c r="C6024" s="2" t="s">
        <v>594</v>
      </c>
      <c r="D6024" s="2" t="str">
        <f t="shared" si="93"/>
        <v>Error?</v>
      </c>
    </row>
    <row r="6025" spans="1:5" x14ac:dyDescent="0.2">
      <c r="A6025" s="5">
        <v>5964</v>
      </c>
      <c r="B6025" s="138">
        <f>'Revenues 9-14'!H109</f>
        <v>5243</v>
      </c>
      <c r="C6025" s="2" t="s">
        <v>594</v>
      </c>
      <c r="D6025" s="2" t="str">
        <f t="shared" si="93"/>
        <v>Error?</v>
      </c>
    </row>
    <row r="6026" spans="1:5" x14ac:dyDescent="0.2">
      <c r="A6026" s="5">
        <v>5965</v>
      </c>
      <c r="B6026" s="138">
        <f>'Revenues 9-14'!I109</f>
        <v>76596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3452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155.12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22086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14586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1500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34887</v>
      </c>
      <c r="D6113" s="2" t="str">
        <f t="shared" si="94"/>
        <v>Error?</v>
      </c>
      <c r="E6113" s="2" t="s">
        <v>199</v>
      </c>
    </row>
    <row r="6114" spans="1:5" x14ac:dyDescent="0.2">
      <c r="A6114">
        <v>6053</v>
      </c>
      <c r="B6114" s="138">
        <f>'Assets-Liab 5-6'!D11</f>
        <v>26709</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347812</v>
      </c>
      <c r="D6142" s="2" t="str">
        <f t="shared" si="94"/>
        <v>Error?</v>
      </c>
      <c r="E6142" s="2" t="s">
        <v>199</v>
      </c>
    </row>
    <row r="6143" spans="1:5" x14ac:dyDescent="0.2">
      <c r="A6143">
        <v>6082</v>
      </c>
      <c r="B6143" s="138">
        <f>'Assets-Liab 5-6'!D27</f>
        <v>46456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7519</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13590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34</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4218</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-44257</v>
      </c>
      <c r="D6267" s="2" t="str">
        <f t="shared" si="96"/>
        <v>Error?</v>
      </c>
      <c r="E6267" s="2" t="s">
        <v>199</v>
      </c>
    </row>
    <row r="6268" spans="1:5" x14ac:dyDescent="0.2">
      <c r="A6268">
        <v>6207</v>
      </c>
      <c r="B6268" s="138">
        <f>'Acct Summary 7-8'!D82</f>
        <v>305895</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-370764</v>
      </c>
      <c r="D6270" s="2" t="str">
        <f t="shared" si="96"/>
        <v>Error?</v>
      </c>
      <c r="E6270" s="2" t="s">
        <v>199</v>
      </c>
    </row>
    <row r="6271" spans="1:5" x14ac:dyDescent="0.2">
      <c r="A6271">
        <v>6210</v>
      </c>
      <c r="B6271" s="138">
        <f>'Acct Summary 7-8'!G82</f>
        <v>16593</v>
      </c>
      <c r="D6271" s="2" t="str">
        <f t="shared" ref="D6271:D6334" si="97">IF(ISBLANK(B6271),"OK",IF(A6271-B6271=0,"OK","Error?"))</f>
        <v>Error?</v>
      </c>
      <c r="E6271" s="2" t="s">
        <v>199</v>
      </c>
    </row>
    <row r="6272" spans="1:5" x14ac:dyDescent="0.2">
      <c r="A6272">
        <v>6211</v>
      </c>
      <c r="B6272" s="138">
        <f>'Acct Summary 7-8'!H82</f>
        <v>303832</v>
      </c>
      <c r="D6272" s="2" t="str">
        <f t="shared" si="97"/>
        <v>Error?</v>
      </c>
      <c r="E6272" s="2" t="s">
        <v>199</v>
      </c>
    </row>
    <row r="6273" spans="1:5" x14ac:dyDescent="0.2">
      <c r="A6273">
        <v>6212</v>
      </c>
      <c r="B6273" s="138">
        <f>'Acct Summary 7-8'!I82</f>
        <v>76596</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-4.8661621245525075E-3</v>
      </c>
      <c r="D6276" s="2" t="str">
        <f t="shared" si="97"/>
        <v>Error?</v>
      </c>
      <c r="E6276" s="2" t="s">
        <v>199</v>
      </c>
    </row>
    <row r="6277" spans="1:5" x14ac:dyDescent="0.2">
      <c r="A6277">
        <v>6216</v>
      </c>
      <c r="B6277" s="138">
        <f>'Acct Summary 7-8'!D83</f>
        <v>0.37938771106034336</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-1.4664615214235708</v>
      </c>
      <c r="D6279" s="2" t="str">
        <f t="shared" si="97"/>
        <v>Error?</v>
      </c>
      <c r="E6279" s="2" t="s">
        <v>199</v>
      </c>
    </row>
    <row r="6280" spans="1:5" x14ac:dyDescent="0.2">
      <c r="A6280">
        <v>6219</v>
      </c>
      <c r="B6280" s="138">
        <f>'Acct Summary 7-8'!G83</f>
        <v>7.4792768184338276E-2</v>
      </c>
      <c r="D6280" s="2" t="str">
        <f t="shared" si="97"/>
        <v>Error?</v>
      </c>
      <c r="E6280" s="2" t="s">
        <v>199</v>
      </c>
    </row>
    <row r="6281" spans="1:5" x14ac:dyDescent="0.2">
      <c r="A6281">
        <v>6220</v>
      </c>
      <c r="B6281" s="138">
        <f>'Acct Summary 7-8'!H83</f>
        <v>0.80810896353253769</v>
      </c>
      <c r="D6281" s="2" t="str">
        <f t="shared" si="97"/>
        <v>Error?</v>
      </c>
      <c r="E6281" s="2" t="s">
        <v>199</v>
      </c>
    </row>
    <row r="6282" spans="1:5" x14ac:dyDescent="0.2">
      <c r="A6282">
        <v>6221</v>
      </c>
      <c r="B6282" s="138">
        <f>'Acct Summary 7-8'!I83</f>
        <v>3.5916081397780589E-2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1500000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9549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9549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3719</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3719</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1178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1178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10727</v>
      </c>
      <c r="D6977" s="2" t="str">
        <f t="shared" si="108"/>
        <v>Error?</v>
      </c>
    </row>
    <row r="6978" spans="1:4" x14ac:dyDescent="0.2">
      <c r="A6978">
        <v>6917</v>
      </c>
      <c r="B6978" s="138">
        <f>'Expenditures 15-22'!J74</f>
        <v>3719</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10727</v>
      </c>
      <c r="D7020" s="2" t="str">
        <f t="shared" si="108"/>
        <v>Error?</v>
      </c>
    </row>
    <row r="7021" spans="1:4" x14ac:dyDescent="0.2">
      <c r="A7021">
        <v>6960</v>
      </c>
      <c r="B7021" s="138">
        <f>'Expenditures 15-22'!J114</f>
        <v>3719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62934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62934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62934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62934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73661</v>
      </c>
      <c r="D7624" s="2" t="str">
        <f t="shared" si="124"/>
        <v>Error?</v>
      </c>
      <c r="E7624" s="2" t="s">
        <v>19</v>
      </c>
    </row>
    <row r="7625" spans="1:5" x14ac:dyDescent="0.2">
      <c r="A7625">
        <f t="shared" si="123"/>
        <v>7564</v>
      </c>
      <c r="B7625" s="138">
        <f>'Cap Outlay Deprec 26'!I17</f>
        <v>7366.1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396749.1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600000</v>
      </c>
      <c r="D7684" s="2" t="str">
        <f t="shared" si="126"/>
        <v>Error?</v>
      </c>
      <c r="E7684" s="2" t="s">
        <v>881</v>
      </c>
    </row>
    <row r="7685" spans="1:5" x14ac:dyDescent="0.2">
      <c r="A7685">
        <v>7624</v>
      </c>
      <c r="B7685" s="138">
        <f>'Acct Summary 7-8'!C73</f>
        <v>900000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664766</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153327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3" t="str">
        <f>COVER!A17</f>
        <v>Bannockburn SD 106</v>
      </c>
      <c r="B7" s="2404"/>
      <c r="C7" s="2404"/>
      <c r="D7" s="2441"/>
      <c r="E7" s="2442">
        <f>COVER!A13</f>
        <v>34049106002</v>
      </c>
      <c r="F7" s="2443"/>
      <c r="G7" s="2410" t="str">
        <f>COVER!T23</f>
        <v>066-005142</v>
      </c>
      <c r="H7" s="2411"/>
      <c r="I7" s="2411"/>
      <c r="J7" s="2411"/>
      <c r="K7" s="2411"/>
      <c r="L7" s="241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3"/>
      <c r="B9" s="2414"/>
      <c r="C9" s="2414"/>
      <c r="D9" s="2414"/>
      <c r="E9" s="2414"/>
      <c r="F9" s="2415"/>
      <c r="G9" s="2416" t="str">
        <f>COVER!T13</f>
        <v>EDER, CASELLA &amp; CO.</v>
      </c>
      <c r="H9" s="2417"/>
      <c r="I9" s="2417"/>
      <c r="J9" s="2417"/>
      <c r="K9" s="2417"/>
      <c r="L9" s="2418"/>
    </row>
    <row r="10" spans="1:29" ht="13.5" customHeight="1" x14ac:dyDescent="0.2">
      <c r="A10" s="2400" t="str">
        <f>COVER!A38</f>
        <v>DR. SCOTT HERRMANN</v>
      </c>
      <c r="B10" s="2401"/>
      <c r="C10" s="2401"/>
      <c r="D10" s="2401"/>
      <c r="E10" s="2401"/>
      <c r="F10" s="2402"/>
      <c r="G10" s="2416" t="str">
        <f>COVER!T17</f>
        <v>5400 WEST ELM STREET, SUITE 203</v>
      </c>
      <c r="H10" s="2429"/>
      <c r="I10" s="2429"/>
      <c r="J10" s="2429"/>
      <c r="K10" s="2429"/>
      <c r="L10" s="2430"/>
    </row>
    <row r="11" spans="1:29" ht="13.5" customHeight="1" x14ac:dyDescent="0.2">
      <c r="A11" s="1184" t="s">
        <v>1599</v>
      </c>
      <c r="B11" s="1185"/>
      <c r="C11" s="1186"/>
      <c r="D11" s="1191"/>
      <c r="E11" s="1186"/>
      <c r="F11" s="1190"/>
      <c r="G11" s="2416" t="str">
        <f>COVER!T19</f>
        <v>MCHENRY</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cpas@edercasella.com</v>
      </c>
      <c r="J13" s="2438"/>
      <c r="K13" s="2438"/>
      <c r="L13" s="2439"/>
    </row>
    <row r="14" spans="1:29" ht="13.5" customHeight="1" x14ac:dyDescent="0.2">
      <c r="A14" s="2416" t="str">
        <f>COVER!A19</f>
        <v>2165 TELEGRAPH ROAD</v>
      </c>
      <c r="B14" s="2429"/>
      <c r="C14" s="2429"/>
      <c r="D14" s="2429"/>
      <c r="E14" s="2429"/>
      <c r="F14" s="2430"/>
      <c r="G14" s="1195" t="s">
        <v>1247</v>
      </c>
      <c r="H14" s="1193"/>
      <c r="I14" s="1193"/>
      <c r="J14" s="1193"/>
      <c r="K14" s="1193"/>
      <c r="L14" s="1194"/>
    </row>
    <row r="15" spans="1:29" ht="13.5" customHeight="1" x14ac:dyDescent="0.2">
      <c r="A15" s="2416" t="str">
        <f>COVER!A21</f>
        <v>BANNOCKBURN</v>
      </c>
      <c r="B15" s="2429"/>
      <c r="C15" s="2429"/>
      <c r="D15" s="2429"/>
      <c r="E15" s="2429"/>
      <c r="F15" s="2430"/>
      <c r="G15" s="2426" t="str">
        <f>COVER!T15</f>
        <v>CHERYDEN JUERGENSEN</v>
      </c>
      <c r="H15" s="2427"/>
      <c r="I15" s="2427"/>
      <c r="J15" s="2427"/>
      <c r="K15" s="2427"/>
      <c r="L15" s="2428"/>
    </row>
    <row r="16" spans="1:29" ht="12.2" customHeight="1" x14ac:dyDescent="0.2">
      <c r="A16" s="2406" t="str">
        <f>COVER!A25</f>
        <v>60015-1593</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5" t="s">
        <v>1246</v>
      </c>
      <c r="H17" s="1193"/>
      <c r="I17" s="1193"/>
      <c r="J17" s="1193"/>
      <c r="K17" s="1197" t="s">
        <v>1245</v>
      </c>
      <c r="L17" s="1190"/>
      <c r="M17" s="1183"/>
    </row>
    <row r="18" spans="1:13" ht="12.2" customHeight="1" x14ac:dyDescent="0.2">
      <c r="A18" s="2400"/>
      <c r="B18" s="2401"/>
      <c r="C18" s="2401"/>
      <c r="D18" s="2401"/>
      <c r="E18" s="2401"/>
      <c r="F18" s="2402"/>
      <c r="G18" s="2403" t="str">
        <f>COVER!T21</f>
        <v>815-344-1300</v>
      </c>
      <c r="H18" s="2404"/>
      <c r="I18" s="2404"/>
      <c r="J18" s="2404"/>
      <c r="K18" s="2403" t="str">
        <f>COVER!X21</f>
        <v>815-344-1320</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4" t="str">
        <f>'Single Audit Cover'!A7</f>
        <v>Bannockburn SD 106</v>
      </c>
      <c r="B1" s="2440"/>
      <c r="C1" s="2440"/>
      <c r="D1" s="2440"/>
    </row>
    <row r="2" spans="1:11" s="1214" customFormat="1" ht="12.75" x14ac:dyDescent="0.2">
      <c r="A2" s="2445">
        <f>'Single Audit Cover'!E7</f>
        <v>34049106002</v>
      </c>
      <c r="B2" s="2446"/>
      <c r="C2" s="2446"/>
      <c r="D2" s="2446"/>
    </row>
    <row r="3" spans="1:11" s="1214" customFormat="1" ht="12.75" x14ac:dyDescent="0.2">
      <c r="A3" s="2444" t="s">
        <v>1593</v>
      </c>
      <c r="B3" s="2440"/>
      <c r="C3" s="2440"/>
      <c r="D3" s="244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8" t="str">
        <f>'Single Audit Cover'!A7</f>
        <v>Bannockburn SD 106</v>
      </c>
      <c r="B1" s="2448"/>
      <c r="C1" s="2448"/>
      <c r="D1" s="2448"/>
      <c r="E1" s="2448"/>
    </row>
    <row r="2" spans="1:5" x14ac:dyDescent="0.2">
      <c r="A2" s="2449">
        <f>'Single Audit Cover'!E7</f>
        <v>34049106002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9" t="s">
        <v>1305</v>
      </c>
    </row>
    <row r="10" spans="1:5" x14ac:dyDescent="0.2">
      <c r="A10" s="1260" t="s">
        <v>1304</v>
      </c>
      <c r="B10" s="1261" t="s">
        <v>1303</v>
      </c>
      <c r="C10" s="1261"/>
      <c r="D10" s="1262">
        <f>SUM('Acct Summary 7-8'!C7:K7)</f>
        <v>84267</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84267</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0"/>
      <c r="B24" s="2450"/>
      <c r="D24" s="1267"/>
    </row>
    <row r="25" spans="1:4" x14ac:dyDescent="0.2">
      <c r="A25" s="2447"/>
      <c r="B25" s="2447"/>
      <c r="D25" s="1267"/>
    </row>
    <row r="26" spans="1:4" x14ac:dyDescent="0.2">
      <c r="A26" s="2447"/>
      <c r="B26" s="2447"/>
      <c r="D26" s="1267"/>
    </row>
    <row r="27" spans="1:4" x14ac:dyDescent="0.2">
      <c r="A27" s="2447"/>
      <c r="B27" s="2447"/>
      <c r="D27" s="1267"/>
    </row>
    <row r="28" spans="1:4" x14ac:dyDescent="0.2">
      <c r="A28" s="2447"/>
      <c r="B28" s="2447"/>
      <c r="D28" s="1267"/>
    </row>
    <row r="29" spans="1:4" x14ac:dyDescent="0.2">
      <c r="A29" s="2447"/>
      <c r="B29" s="2447"/>
      <c r="D29" s="1267"/>
    </row>
    <row r="30" spans="1:4" x14ac:dyDescent="0.2">
      <c r="A30" s="2447"/>
      <c r="B30" s="2447"/>
      <c r="D30" s="1267"/>
    </row>
    <row r="32" spans="1:4" x14ac:dyDescent="0.2">
      <c r="A32" s="1259" t="s">
        <v>1295</v>
      </c>
      <c r="D32" s="1262">
        <f>SUM(D19:D30)</f>
        <v>84267</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7"/>
      <c r="B40" s="2447"/>
      <c r="D40" s="1267"/>
    </row>
    <row r="41" spans="1:4" x14ac:dyDescent="0.2">
      <c r="A41" s="2447"/>
      <c r="B41" s="2447"/>
      <c r="D41" s="1270"/>
    </row>
    <row r="42" spans="1:4" x14ac:dyDescent="0.2">
      <c r="A42" s="2447"/>
      <c r="B42" s="2447"/>
      <c r="D42" s="1270"/>
    </row>
    <row r="43" spans="1:4" x14ac:dyDescent="0.2">
      <c r="A43" s="2447"/>
      <c r="B43" s="2447"/>
      <c r="D43" s="1270"/>
    </row>
    <row r="44" spans="1:4" x14ac:dyDescent="0.2">
      <c r="A44" s="2447"/>
      <c r="B44" s="2447"/>
      <c r="D44" s="1270"/>
    </row>
    <row r="45" spans="1:4" x14ac:dyDescent="0.2">
      <c r="A45" s="2447"/>
      <c r="B45" s="2447"/>
      <c r="D45" s="1270"/>
    </row>
    <row r="47" spans="1:4" x14ac:dyDescent="0.2">
      <c r="B47" s="1271" t="s">
        <v>1289</v>
      </c>
      <c r="C47" s="1271"/>
      <c r="D47" s="1272">
        <f>SUM(D35:D45)</f>
        <v>0</v>
      </c>
    </row>
    <row r="49" spans="2:4" x14ac:dyDescent="0.2">
      <c r="B49" s="1271" t="s">
        <v>1288</v>
      </c>
      <c r="C49" s="1271"/>
      <c r="D49" s="1272">
        <f>D32-D47</f>
        <v>84267</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Bannockburn SD 106</v>
      </c>
      <c r="B1" s="2453"/>
      <c r="C1" s="2453"/>
      <c r="D1" s="2453"/>
      <c r="E1" s="2453"/>
      <c r="F1" s="2453"/>
    </row>
    <row r="2" spans="1:7" ht="13.5" customHeight="1" x14ac:dyDescent="0.2">
      <c r="A2" s="2454">
        <f>'Single Audit Cover'!E7</f>
        <v>34049106002</v>
      </c>
      <c r="B2" s="2454"/>
      <c r="C2" s="2454"/>
      <c r="D2" s="2454"/>
      <c r="E2" s="2454"/>
      <c r="F2" s="2454"/>
      <c r="G2" s="1274"/>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5" t="s">
        <v>1831</v>
      </c>
      <c r="C6" s="317"/>
      <c r="D6" s="317"/>
    </row>
    <row r="7" spans="1:7" ht="60.95" customHeight="1" x14ac:dyDescent="0.2">
      <c r="A7" s="2452" t="s">
        <v>1832</v>
      </c>
      <c r="B7" s="2452"/>
      <c r="C7" s="2452"/>
      <c r="D7" s="2452"/>
      <c r="E7" s="2452"/>
      <c r="F7" s="2452"/>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2" t="s">
        <v>1834</v>
      </c>
      <c r="B13" s="2452"/>
      <c r="C13" s="2452"/>
      <c r="D13" s="2452"/>
      <c r="E13" s="2452"/>
      <c r="F13" s="2452"/>
    </row>
    <row r="14" spans="1:7" ht="9.75" customHeight="1" x14ac:dyDescent="0.2">
      <c r="C14" s="1259"/>
      <c r="D14" s="1259"/>
    </row>
    <row r="15" spans="1:7" ht="13.5" customHeight="1" x14ac:dyDescent="0.2">
      <c r="C15" s="1870" t="s">
        <v>1332</v>
      </c>
      <c r="D15" s="2458" t="s">
        <v>1331</v>
      </c>
      <c r="E15" s="2458"/>
      <c r="F15" s="2458"/>
    </row>
    <row r="16" spans="1:7" ht="13.5" customHeight="1" x14ac:dyDescent="0.2">
      <c r="A16" s="1281"/>
      <c r="B16" s="1275" t="s">
        <v>1330</v>
      </c>
      <c r="C16" s="1870" t="s">
        <v>1329</v>
      </c>
      <c r="D16" s="2459" t="s">
        <v>1670</v>
      </c>
      <c r="E16" s="2459"/>
      <c r="F16" s="2459"/>
    </row>
    <row r="17" spans="1:6" ht="20.45" customHeight="1" x14ac:dyDescent="0.2">
      <c r="A17" s="1282"/>
      <c r="B17" s="1283"/>
      <c r="C17" s="1284"/>
      <c r="D17" s="2457"/>
      <c r="E17" s="2457"/>
      <c r="F17" s="2457"/>
    </row>
    <row r="18" spans="1:6" ht="20.65" customHeight="1" x14ac:dyDescent="0.2">
      <c r="A18" s="1282"/>
      <c r="B18" s="1283"/>
      <c r="C18" s="1284"/>
      <c r="D18" s="2457"/>
      <c r="E18" s="2457"/>
      <c r="F18" s="2457"/>
    </row>
    <row r="19" spans="1:6" ht="20.65" customHeight="1" x14ac:dyDescent="0.2">
      <c r="A19" s="1282"/>
      <c r="B19" s="1283"/>
      <c r="C19" s="1284"/>
      <c r="D19" s="2457"/>
      <c r="E19" s="2457"/>
      <c r="F19" s="2457"/>
    </row>
    <row r="20" spans="1:6" ht="20.65" customHeight="1" x14ac:dyDescent="0.2">
      <c r="A20" s="1282"/>
      <c r="B20" s="1283"/>
      <c r="C20" s="1284"/>
      <c r="D20" s="2457"/>
      <c r="E20" s="2457"/>
      <c r="F20" s="2457"/>
    </row>
    <row r="21" spans="1:6" ht="20.65" customHeight="1" x14ac:dyDescent="0.2">
      <c r="A21" s="1282"/>
      <c r="B21" s="1283"/>
      <c r="C21" s="1284"/>
      <c r="D21" s="2457"/>
      <c r="E21" s="2457"/>
      <c r="F21" s="2457"/>
    </row>
    <row r="22" spans="1:6" ht="20.65" customHeight="1" x14ac:dyDescent="0.2">
      <c r="A22" s="1282"/>
      <c r="B22" s="1283"/>
      <c r="C22" s="1284"/>
      <c r="D22" s="2457"/>
      <c r="E22" s="2457"/>
      <c r="F22" s="2457"/>
    </row>
    <row r="23" spans="1:6" ht="20.65" customHeight="1" x14ac:dyDescent="0.2">
      <c r="A23" s="1282"/>
      <c r="B23" s="1283"/>
      <c r="C23" s="1284"/>
      <c r="D23" s="2457"/>
      <c r="E23" s="2457"/>
      <c r="F23" s="2457"/>
    </row>
    <row r="24" spans="1:6" ht="20.65" customHeight="1" x14ac:dyDescent="0.2">
      <c r="A24" s="1282"/>
      <c r="B24" s="1283"/>
      <c r="C24" s="1284"/>
      <c r="D24" s="2457"/>
      <c r="E24" s="2457"/>
      <c r="F24" s="2457"/>
    </row>
    <row r="25" spans="1:6" ht="20.65" customHeight="1" x14ac:dyDescent="0.2">
      <c r="A25" s="1282"/>
      <c r="B25" s="1283"/>
      <c r="C25" s="1284"/>
      <c r="D25" s="2457"/>
      <c r="E25" s="2457"/>
      <c r="F25" s="2457"/>
    </row>
    <row r="26" spans="1:6" ht="20.65" customHeight="1" x14ac:dyDescent="0.2">
      <c r="A26" s="1282"/>
      <c r="B26" s="1283"/>
      <c r="C26" s="1284"/>
      <c r="D26" s="2457"/>
      <c r="E26" s="2457"/>
      <c r="F26" s="2457"/>
    </row>
    <row r="27" spans="1:6" ht="20.65" customHeight="1" x14ac:dyDescent="0.2">
      <c r="A27" s="1282"/>
      <c r="B27" s="1283"/>
      <c r="C27" s="1284"/>
      <c r="D27" s="2457"/>
      <c r="E27" s="2457"/>
      <c r="F27" s="2457"/>
    </row>
    <row r="28" spans="1:6" ht="20.65" customHeight="1" x14ac:dyDescent="0.2">
      <c r="A28" s="1282"/>
      <c r="B28" s="1283"/>
      <c r="C28" s="1284"/>
      <c r="D28" s="2457"/>
      <c r="E28" s="2457"/>
      <c r="F28" s="2457"/>
    </row>
    <row r="29" spans="1:6" ht="20.65" customHeight="1" x14ac:dyDescent="0.2">
      <c r="A29" s="1282"/>
      <c r="B29" s="1283"/>
      <c r="C29" s="1284"/>
      <c r="D29" s="2457"/>
      <c r="E29" s="2457"/>
      <c r="F29" s="2457"/>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1" t="s">
        <v>1835</v>
      </c>
      <c r="B32" s="2461"/>
      <c r="C32" s="2461"/>
      <c r="D32" s="2461"/>
      <c r="E32" s="2461"/>
      <c r="F32" s="2461"/>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2">
        <f>+C33+C34</f>
        <v>0</v>
      </c>
      <c r="F34" s="2463"/>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4" t="s">
        <v>1672</v>
      </c>
      <c r="C49" s="2464"/>
      <c r="D49" s="2464"/>
      <c r="E49" s="1398"/>
    </row>
    <row r="50" spans="1:5" s="1299" customFormat="1" ht="3.75" customHeight="1" x14ac:dyDescent="0.2">
      <c r="A50" s="1298"/>
      <c r="B50" s="1869"/>
      <c r="C50" s="1869"/>
      <c r="D50" s="1869"/>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9" t="str">
        <f>'Single Audit Cover'!A7</f>
        <v>Bannockburn SD 106</v>
      </c>
      <c r="C1" s="2465"/>
      <c r="D1" s="2465"/>
      <c r="E1" s="2465"/>
      <c r="F1" s="2465"/>
      <c r="G1" s="2465"/>
      <c r="H1" s="2465"/>
      <c r="I1" s="2465"/>
      <c r="J1" s="2465"/>
      <c r="K1" s="2465"/>
      <c r="L1" s="2465"/>
      <c r="M1" s="2465"/>
    </row>
    <row r="2" spans="2:14" ht="15" x14ac:dyDescent="0.2">
      <c r="B2" s="2454">
        <f>'Single Audit Cover'!E7</f>
        <v>34049106002</v>
      </c>
      <c r="C2" s="2454"/>
      <c r="D2" s="2454"/>
      <c r="E2" s="2454"/>
      <c r="F2" s="2454"/>
      <c r="G2" s="2454"/>
      <c r="H2" s="2454"/>
      <c r="I2" s="2454"/>
      <c r="J2" s="2454"/>
      <c r="K2" s="2454"/>
      <c r="L2" s="2454"/>
      <c r="M2" s="2454"/>
      <c r="N2" s="1301"/>
    </row>
    <row r="3" spans="2:14" ht="15" x14ac:dyDescent="0.2">
      <c r="B3" s="2466" t="s">
        <v>1281</v>
      </c>
      <c r="C3" s="2466"/>
      <c r="D3" s="2466"/>
      <c r="E3" s="2466"/>
      <c r="F3" s="2466"/>
      <c r="G3" s="2466"/>
      <c r="H3" s="2466"/>
      <c r="I3" s="2466"/>
      <c r="J3" s="2466"/>
      <c r="K3" s="2466"/>
      <c r="L3" s="2466"/>
      <c r="M3" s="2466"/>
      <c r="N3" s="1301"/>
    </row>
    <row r="4" spans="2:14" ht="15" x14ac:dyDescent="0.2">
      <c r="B4" s="2467" t="str">
        <f>'Single Audit Cover'!A4</f>
        <v>Year Ending June 30, 2018</v>
      </c>
      <c r="C4" s="2467"/>
      <c r="D4" s="2467"/>
      <c r="E4" s="2467"/>
      <c r="F4" s="2467"/>
      <c r="G4" s="2467"/>
      <c r="H4" s="2467"/>
      <c r="I4" s="2467"/>
      <c r="J4" s="2467"/>
      <c r="K4" s="2467"/>
      <c r="L4" s="2467"/>
      <c r="M4" s="2467"/>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Bannockburn SD 106</v>
      </c>
      <c r="C1" s="2473"/>
      <c r="D1" s="2473"/>
      <c r="E1" s="2473"/>
      <c r="F1" s="2473"/>
      <c r="G1" s="2473"/>
      <c r="H1" s="2473"/>
      <c r="I1" s="2473"/>
      <c r="J1" s="1421"/>
    </row>
    <row r="2" spans="2:10" s="317" customFormat="1" ht="12.75" customHeight="1" x14ac:dyDescent="0.2">
      <c r="B2" s="2474">
        <f>'Single Audit Cover'!E7</f>
        <v>34049106002</v>
      </c>
      <c r="C2" s="2475"/>
      <c r="D2" s="2475"/>
      <c r="E2" s="2475"/>
      <c r="F2" s="2475"/>
      <c r="G2" s="2475"/>
      <c r="H2" s="2475"/>
      <c r="I2" s="2475"/>
      <c r="J2" s="1421"/>
    </row>
    <row r="3" spans="2:10" s="317" customFormat="1" ht="12.75" customHeight="1" x14ac:dyDescent="0.2">
      <c r="B3" s="2476" t="s">
        <v>1347</v>
      </c>
      <c r="C3" s="2477"/>
      <c r="D3" s="2477"/>
      <c r="E3" s="2477"/>
      <c r="F3" s="2477"/>
      <c r="G3" s="2477"/>
      <c r="H3" s="2477"/>
      <c r="I3" s="2477"/>
      <c r="J3" s="1422"/>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6" t="s">
        <v>1346</v>
      </c>
      <c r="C7" s="2477"/>
      <c r="D7" s="2477"/>
      <c r="E7" s="2477"/>
      <c r="F7" s="2477"/>
      <c r="G7" s="2477"/>
      <c r="H7" s="2477"/>
      <c r="I7" s="2477"/>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8"/>
      <c r="D11" s="2478"/>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9"/>
      <c r="E29" s="2479"/>
      <c r="F29" s="2479"/>
      <c r="G29" s="2479"/>
      <c r="H29" s="2479"/>
      <c r="I29" s="2479"/>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0" t="s">
        <v>1854</v>
      </c>
      <c r="D37" s="2481"/>
      <c r="E37" s="2481"/>
      <c r="F37" s="2482"/>
      <c r="G37" s="2480" t="s">
        <v>1674</v>
      </c>
      <c r="H37" s="2481"/>
      <c r="I37" s="2482"/>
    </row>
    <row r="38" spans="2:9" ht="16.5" customHeight="1" x14ac:dyDescent="0.2">
      <c r="B38" s="1443"/>
      <c r="C38" s="2468"/>
      <c r="D38" s="2469"/>
      <c r="E38" s="2469"/>
      <c r="F38" s="2470"/>
      <c r="G38" s="2483"/>
      <c r="H38" s="2484"/>
      <c r="I38" s="2485"/>
    </row>
    <row r="39" spans="2:9" ht="16.5" customHeight="1" x14ac:dyDescent="0.2">
      <c r="B39" s="1443"/>
      <c r="C39" s="2468"/>
      <c r="D39" s="2469"/>
      <c r="E39" s="2469"/>
      <c r="F39" s="2470"/>
      <c r="G39" s="2471"/>
      <c r="H39" s="2471"/>
      <c r="I39" s="2471"/>
    </row>
    <row r="40" spans="2:9" ht="16.5" customHeight="1" x14ac:dyDescent="0.2">
      <c r="B40" s="1443"/>
      <c r="C40" s="2468"/>
      <c r="D40" s="2469"/>
      <c r="E40" s="2469"/>
      <c r="F40" s="2470"/>
      <c r="G40" s="2471"/>
      <c r="H40" s="2471"/>
      <c r="I40" s="2471"/>
    </row>
    <row r="41" spans="2:9" ht="16.5" customHeight="1" x14ac:dyDescent="0.2">
      <c r="B41" s="1443"/>
      <c r="C41" s="2468"/>
      <c r="D41" s="2469"/>
      <c r="E41" s="2469"/>
      <c r="F41" s="2470"/>
      <c r="G41" s="2471"/>
      <c r="H41" s="2471"/>
      <c r="I41" s="2471"/>
    </row>
    <row r="42" spans="2:9" ht="16.5" customHeight="1" x14ac:dyDescent="0.2">
      <c r="B42" s="1443"/>
      <c r="C42" s="2468"/>
      <c r="D42" s="2469"/>
      <c r="E42" s="2469"/>
      <c r="F42" s="2470"/>
      <c r="G42" s="2471"/>
      <c r="H42" s="2471"/>
      <c r="I42" s="2471"/>
    </row>
    <row r="43" spans="2:9" ht="16.5" customHeight="1" x14ac:dyDescent="0.2">
      <c r="B43" s="1443"/>
      <c r="C43" s="2486" t="s">
        <v>1675</v>
      </c>
      <c r="D43" s="2487"/>
      <c r="E43" s="2487"/>
      <c r="F43" s="2488"/>
      <c r="G43" s="2489">
        <f>SUM(G38:I42)</f>
        <v>0</v>
      </c>
      <c r="H43" s="2489"/>
      <c r="I43" s="2489"/>
    </row>
    <row r="44" spans="2:9" ht="12.75" customHeight="1" x14ac:dyDescent="0.2"/>
    <row r="45" spans="2:9" ht="12.75" customHeight="1" x14ac:dyDescent="0.2">
      <c r="B45" s="1434" t="s">
        <v>1952</v>
      </c>
      <c r="D45" s="2490">
        <v>0</v>
      </c>
      <c r="E45" s="249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2"/>
      <c r="F49" s="2492"/>
      <c r="G49" s="249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Bannockburn SD 106</v>
      </c>
      <c r="C1" s="2472"/>
      <c r="D1" s="2472"/>
      <c r="E1" s="2472"/>
      <c r="F1" s="2472"/>
      <c r="G1" s="2472"/>
      <c r="H1" s="2472"/>
      <c r="I1" s="2472"/>
      <c r="J1" s="2472"/>
      <c r="K1" s="2472"/>
      <c r="L1" s="1373"/>
      <c r="M1" s="1373"/>
    </row>
    <row r="2" spans="1:13" ht="12" customHeight="1" x14ac:dyDescent="0.2">
      <c r="B2" s="2474">
        <f>'Single Audit Cover'!E7</f>
        <v>34049106002</v>
      </c>
      <c r="C2" s="2474"/>
      <c r="D2" s="2474"/>
      <c r="E2" s="2474"/>
      <c r="F2" s="2474"/>
      <c r="G2" s="2474"/>
      <c r="H2" s="2474"/>
      <c r="I2" s="2474"/>
      <c r="J2" s="2474"/>
      <c r="K2" s="2474"/>
      <c r="L2" s="1374"/>
      <c r="M2" s="1375"/>
    </row>
    <row r="3" spans="1:13" ht="10.35" customHeight="1" x14ac:dyDescent="0.2">
      <c r="B3" s="2495" t="s">
        <v>1347</v>
      </c>
      <c r="C3" s="2495"/>
      <c r="D3" s="2495"/>
      <c r="E3" s="2495"/>
      <c r="F3" s="2495"/>
      <c r="G3" s="2495"/>
      <c r="H3" s="2495"/>
      <c r="I3" s="2495"/>
      <c r="J3" s="2495"/>
      <c r="K3" s="2495"/>
      <c r="L3" s="1376"/>
      <c r="M3" s="1376"/>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6" t="s">
        <v>1363</v>
      </c>
      <c r="C7" s="2496"/>
      <c r="D7" s="2497"/>
      <c r="E7" s="2497"/>
      <c r="F7" s="2497"/>
      <c r="G7" s="2497"/>
      <c r="H7" s="2497"/>
      <c r="I7" s="2497"/>
      <c r="J7" s="2497"/>
      <c r="K7" s="2497"/>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4"/>
      <c r="C14" s="2494"/>
      <c r="D14" s="2494"/>
      <c r="E14" s="2494"/>
      <c r="F14" s="2494"/>
      <c r="G14" s="2494"/>
      <c r="H14" s="2494"/>
      <c r="I14" s="2494"/>
      <c r="J14" s="2494"/>
      <c r="K14" s="2494"/>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4"/>
      <c r="C17" s="2494"/>
      <c r="D17" s="2494"/>
      <c r="E17" s="2494"/>
      <c r="F17" s="2494"/>
      <c r="G17" s="2494"/>
      <c r="H17" s="2494"/>
      <c r="I17" s="2494"/>
      <c r="J17" s="2494"/>
      <c r="K17" s="2494"/>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8"/>
      <c r="C20" s="2498"/>
      <c r="D20" s="2494"/>
      <c r="E20" s="2494"/>
      <c r="F20" s="2494"/>
      <c r="G20" s="2494"/>
      <c r="H20" s="2494"/>
      <c r="I20" s="2494"/>
      <c r="J20" s="2494"/>
      <c r="K20" s="2494"/>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4"/>
      <c r="C23" s="2494"/>
      <c r="D23" s="2494"/>
      <c r="E23" s="2494"/>
      <c r="F23" s="2494"/>
      <c r="G23" s="2494"/>
      <c r="H23" s="2494"/>
      <c r="I23" s="2494"/>
      <c r="J23" s="2494"/>
      <c r="K23" s="2494"/>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4"/>
      <c r="C26" s="2494"/>
      <c r="D26" s="2494"/>
      <c r="E26" s="2494"/>
      <c r="F26" s="2494"/>
      <c r="G26" s="2494"/>
      <c r="H26" s="2494"/>
      <c r="I26" s="2494"/>
      <c r="J26" s="2494"/>
      <c r="K26" s="2494"/>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c r="C29" s="2493"/>
      <c r="D29" s="2494"/>
      <c r="E29" s="2494"/>
      <c r="F29" s="2494"/>
      <c r="G29" s="2494"/>
      <c r="H29" s="2494"/>
      <c r="I29" s="2494"/>
      <c r="J29" s="2494"/>
      <c r="K29" s="2494"/>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3"/>
      <c r="C32" s="2493"/>
      <c r="D32" s="2494"/>
      <c r="E32" s="2494"/>
      <c r="F32" s="2494"/>
      <c r="G32" s="2494"/>
      <c r="H32" s="2494"/>
      <c r="I32" s="2494"/>
      <c r="J32" s="2494"/>
      <c r="K32" s="2494"/>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Bannockburn SD 106</v>
      </c>
      <c r="C1" s="2499"/>
      <c r="D1" s="2499"/>
      <c r="E1" s="2499"/>
      <c r="F1" s="2499"/>
      <c r="G1" s="2499"/>
      <c r="H1" s="2499"/>
      <c r="I1" s="2499"/>
      <c r="J1" s="2499"/>
      <c r="K1" s="2499"/>
      <c r="L1" s="1464"/>
    </row>
    <row r="2" spans="1:12" ht="12.75" customHeight="1" x14ac:dyDescent="0.2">
      <c r="B2" s="2500">
        <f>'Single Audit Cover'!E7</f>
        <v>34049106002</v>
      </c>
      <c r="C2" s="2500"/>
      <c r="D2" s="2500"/>
      <c r="E2" s="2500"/>
      <c r="F2" s="2500"/>
      <c r="G2" s="2500"/>
      <c r="H2" s="2500"/>
      <c r="I2" s="2500"/>
      <c r="J2" s="2500"/>
      <c r="K2" s="2500"/>
      <c r="L2" s="1465"/>
    </row>
    <row r="3" spans="1:12" ht="12.75" customHeight="1" x14ac:dyDescent="0.2">
      <c r="B3" s="2495" t="s">
        <v>1347</v>
      </c>
      <c r="C3" s="2495"/>
      <c r="D3" s="2495"/>
      <c r="E3" s="2495"/>
      <c r="F3" s="2495"/>
      <c r="G3" s="2495"/>
      <c r="H3" s="2495"/>
      <c r="I3" s="2495"/>
      <c r="J3" s="2495"/>
      <c r="K3" s="2495"/>
      <c r="L3" s="1376"/>
    </row>
    <row r="4" spans="1:12" ht="12.75" customHeight="1" x14ac:dyDescent="0.2">
      <c r="B4" s="2495" t="str">
        <f>'Single Audit Cover'!A4</f>
        <v>Year Ending June 30, 2018</v>
      </c>
      <c r="C4" s="2495"/>
      <c r="D4" s="2495"/>
      <c r="E4" s="2495"/>
      <c r="F4" s="2495"/>
      <c r="G4" s="2495"/>
      <c r="H4" s="2495"/>
      <c r="I4" s="2495"/>
      <c r="J4" s="2495"/>
      <c r="K4" s="2495"/>
      <c r="L4" s="1376"/>
    </row>
    <row r="5" spans="1:12" ht="5.25" customHeight="1" x14ac:dyDescent="0.2">
      <c r="B5" s="1259" t="s">
        <v>1231</v>
      </c>
      <c r="C5" s="1259"/>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9"/>
      <c r="G12" s="2479"/>
      <c r="H12" s="2479"/>
      <c r="I12" s="2479"/>
      <c r="J12" s="2479"/>
      <c r="K12" s="2479"/>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2"/>
      <c r="E14" s="2502"/>
      <c r="F14" s="2502"/>
      <c r="H14" s="1474" t="s">
        <v>1370</v>
      </c>
      <c r="I14" s="2503"/>
      <c r="J14" s="2503"/>
      <c r="K14" s="2503"/>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3"/>
      <c r="E16" s="2503"/>
      <c r="F16" s="2503"/>
      <c r="G16" s="2503"/>
      <c r="H16" s="2503"/>
      <c r="I16" s="2503"/>
      <c r="J16" s="2503"/>
      <c r="K16" s="2503"/>
      <c r="L16" s="322"/>
    </row>
    <row r="17" spans="2:12" ht="13.5" customHeight="1" x14ac:dyDescent="0.2">
      <c r="B17" s="1386" t="s">
        <v>1368</v>
      </c>
      <c r="C17" s="1386"/>
      <c r="D17" s="2504"/>
      <c r="E17" s="2504"/>
      <c r="F17" s="2504"/>
      <c r="G17" s="2504"/>
      <c r="H17" s="2504"/>
      <c r="I17" s="2504"/>
      <c r="J17" s="2504"/>
      <c r="K17" s="250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4"/>
      <c r="C20" s="2494"/>
      <c r="D20" s="2494"/>
      <c r="E20" s="2494"/>
      <c r="F20" s="2494"/>
      <c r="G20" s="2494"/>
      <c r="H20" s="2494"/>
      <c r="I20" s="2494"/>
      <c r="J20" s="2494"/>
      <c r="K20" s="2494"/>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2" t="str">
        <f>'Single Audit Cover'!A7</f>
        <v>Bannockburn SD 106</v>
      </c>
      <c r="C1" s="2472"/>
      <c r="D1" s="2472"/>
      <c r="E1" s="1490"/>
    </row>
    <row r="2" spans="2:5" s="1281" customFormat="1" ht="12.75" customHeight="1" x14ac:dyDescent="0.2">
      <c r="B2" s="2474">
        <f>'Single Audit Cover'!E7</f>
        <v>34049106002</v>
      </c>
      <c r="C2" s="2474"/>
      <c r="D2" s="2474"/>
      <c r="E2" s="1491"/>
    </row>
    <row r="3" spans="2:5" ht="12.75" customHeight="1" x14ac:dyDescent="0.2">
      <c r="B3" s="2495" t="s">
        <v>1869</v>
      </c>
      <c r="C3" s="2495"/>
      <c r="D3" s="2495"/>
      <c r="E3" s="1273"/>
    </row>
    <row r="4" spans="2:5" s="1281" customFormat="1" ht="12.75" customHeight="1" x14ac:dyDescent="0.2">
      <c r="B4" s="2505" t="str">
        <f>'Single Audit Cover'!A4</f>
        <v>Year Ending June 30, 2018</v>
      </c>
      <c r="C4" s="2505"/>
      <c r="D4" s="2505"/>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4d435f69-8686-490b-bd6d-b153bf22ab50"/>
    <ds:schemaRef ds:uri="6ce3111e-7420-4802-b50a-75d4e9a0b980"/>
    <ds:schemaRef ds:uri="http://schemas.openxmlformats.org/package/2006/metadata/core-properties"/>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2018-10-10T21:31:34Z</cp:lastPrinted>
  <dcterms:created xsi:type="dcterms:W3CDTF">2003-10-29T19:06:34Z</dcterms:created>
  <dcterms:modified xsi:type="dcterms:W3CDTF">2018-10-12T18:11:27Z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Reporting</vt:lpwstr>
  </property>
  <property fmtid="{D5CDD505-2E9C-101B-9397-08002B2CF9AE}" pid="5" name="tabIndex">
    <vt:lpwstr>0100</vt:lpwstr>
  </property>
  <property fmtid="{D5CDD505-2E9C-101B-9397-08002B2CF9AE}" pid="6" name="workpaperIndex">
    <vt:lpwstr>2a</vt:lpwstr>
  </property>
</Properties>
</file>