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alcMode="manual"/>
</workbook>
</file>

<file path=xl/calcChain.xml><?xml version="1.0" encoding="utf-8"?>
<calcChain xmlns="http://schemas.openxmlformats.org/spreadsheetml/2006/main">
  <c r="G33" i="8" l="1"/>
  <c r="I13" i="11" l="1"/>
  <c r="D13" i="11"/>
  <c r="M19" i="3" l="1"/>
  <c r="C8"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C14" i="4" s="1"/>
  <c r="B2558" i="106" s="1"/>
  <c r="D2558" i="106" s="1"/>
  <c r="K130" i="29"/>
  <c r="K185" i="29"/>
  <c r="K122" i="29"/>
  <c r="F15" i="145" s="1"/>
  <c r="F19" i="145" s="1"/>
  <c r="K67" i="29"/>
  <c r="K64" i="29"/>
  <c r="F31" i="108" s="1"/>
  <c r="K59" i="29"/>
  <c r="B1126" i="106" s="1"/>
  <c r="D1126"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6" i="108"/>
  <c r="G26" i="108"/>
  <c r="D27" i="108"/>
  <c r="E27" i="108"/>
  <c r="F27" i="108"/>
  <c r="G27" i="108"/>
  <c r="E28" i="108"/>
  <c r="F28" i="108"/>
  <c r="F36" i="108"/>
  <c r="F37" i="108"/>
  <c r="G28" i="108"/>
  <c r="E29" i="108"/>
  <c r="G29" i="108"/>
  <c r="E30" i="108"/>
  <c r="G30"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K13" i="4"/>
  <c r="B3572" i="106" s="1"/>
  <c r="D3572" i="106" s="1"/>
  <c r="D14" i="4"/>
  <c r="B2570" i="106" s="1"/>
  <c r="D2570" i="106" s="1"/>
  <c r="F14" i="4"/>
  <c r="B2597" i="106" s="1"/>
  <c r="D2597" i="106" s="1"/>
  <c r="B2633" i="106"/>
  <c r="D2633" i="106" s="1"/>
  <c r="N22" i="3"/>
  <c r="B283" i="106" s="1"/>
  <c r="D283" i="106" s="1"/>
  <c r="D7" i="118"/>
  <c r="D8" i="118"/>
  <c r="D9" i="118"/>
  <c r="H14" i="118"/>
  <c r="H19" i="118"/>
  <c r="H24" i="118"/>
  <c r="H28" i="118"/>
  <c r="D22" i="37"/>
  <c r="H22" i="37"/>
  <c r="J22" i="37"/>
  <c r="L22" i="37"/>
  <c r="D24" i="37"/>
  <c r="B4270" i="106" s="1"/>
  <c r="D4270" i="106" s="1"/>
  <c r="L5" i="11"/>
  <c r="B2056" i="106" s="1"/>
  <c r="D2056" i="106" s="1"/>
  <c r="D5" i="7"/>
  <c r="B1761" i="106" s="1"/>
  <c r="D1761" i="106" s="1"/>
  <c r="D13" i="7"/>
  <c r="B3726" i="106" s="1"/>
  <c r="D3726" i="106" s="1"/>
  <c r="D9" i="7"/>
  <c r="B1767" i="106" s="1"/>
  <c r="D1767" i="106" s="1"/>
  <c r="B5770" i="106"/>
  <c r="D5770" i="106" s="1"/>
  <c r="F136" i="34"/>
  <c r="F131" i="34"/>
  <c r="F130" i="34"/>
  <c r="F128" i="34"/>
  <c r="F127" i="34"/>
  <c r="F111" i="34"/>
  <c r="B5847" i="106"/>
  <c r="D5847" i="106" s="1"/>
  <c r="B5752" i="106"/>
  <c r="D5752" i="106" s="1"/>
  <c r="B5599" i="106"/>
  <c r="D5599" i="106" s="1"/>
  <c r="K274" i="5"/>
  <c r="H173" i="5"/>
  <c r="B5906" i="106" s="1"/>
  <c r="D5906" i="106" s="1"/>
  <c r="C172" i="5"/>
  <c r="B5214" i="106" s="1"/>
  <c r="D5214" i="106" s="1"/>
  <c r="F106" i="34"/>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I173" i="5" l="1"/>
  <c r="B4216" i="106" s="1"/>
  <c r="D4216" i="106" s="1"/>
  <c r="L342" i="29"/>
  <c r="L312" i="29"/>
  <c r="C109" i="5"/>
  <c r="B5121" i="106" s="1"/>
  <c r="D5121" i="106" s="1"/>
  <c r="B7235" i="106"/>
  <c r="D7235" i="106" s="1"/>
  <c r="D6103" i="106"/>
  <c r="B4268" i="106"/>
  <c r="D4268" i="106" s="1"/>
  <c r="G352" i="29"/>
  <c r="C352" i="29"/>
  <c r="K41" i="3"/>
  <c r="G210" i="29"/>
  <c r="B1365" i="106" s="1"/>
  <c r="D1365" i="106" s="1"/>
  <c r="E174" i="29"/>
  <c r="B1309" i="106" s="1"/>
  <c r="D1309" i="106" s="1"/>
  <c r="C129" i="29"/>
  <c r="K24" i="12"/>
  <c r="K28" i="118"/>
  <c r="O27" i="118" s="1"/>
  <c r="O29" i="118" s="1"/>
  <c r="L15" i="11"/>
  <c r="B3459" i="106" s="1"/>
  <c r="D3459" i="106" s="1"/>
  <c r="L13" i="11"/>
  <c r="B2060" i="106" s="1"/>
  <c r="D2060" i="106" s="1"/>
  <c r="D68" i="36"/>
  <c r="F19" i="7"/>
  <c r="B1807" i="106" s="1"/>
  <c r="D1807" i="106" s="1"/>
  <c r="K285" i="29"/>
  <c r="B1410" i="106"/>
  <c r="D1410" i="106" s="1"/>
  <c r="F65" i="34"/>
  <c r="B1329" i="106"/>
  <c r="D1329" i="106" s="1"/>
  <c r="F61" i="34"/>
  <c r="G39" i="108"/>
  <c r="D31" i="108"/>
  <c r="F26" i="108"/>
  <c r="E15" i="145"/>
  <c r="G15" i="145" s="1"/>
  <c r="D26" i="108"/>
  <c r="F36" i="34"/>
  <c r="F34" i="34"/>
  <c r="H109" i="5"/>
  <c r="G4" i="4"/>
  <c r="B2603" i="106" s="1"/>
  <c r="D2603" i="106" s="1"/>
  <c r="E109" i="5"/>
  <c r="E4" i="4" s="1"/>
  <c r="B2630" i="106" s="1"/>
  <c r="D2630" i="106" s="1"/>
  <c r="D109" i="5"/>
  <c r="B5356" i="106" s="1"/>
  <c r="D5356" i="106" s="1"/>
  <c r="B5334" i="106"/>
  <c r="D5334" i="106" s="1"/>
  <c r="C173" i="5"/>
  <c r="B5223" i="106" s="1"/>
  <c r="D5223" i="106" s="1"/>
  <c r="D4" i="7"/>
  <c r="B1760" i="106" s="1"/>
  <c r="D1760" i="106" s="1"/>
  <c r="D54" i="36"/>
  <c r="H33" i="118"/>
  <c r="D11" i="37"/>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C6" i="4"/>
  <c r="B2553" i="106" s="1"/>
  <c r="D2553"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L279" i="29"/>
  <c r="L295" i="29" s="1"/>
  <c r="L74" i="29"/>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3447" i="106"/>
  <c r="D3447" i="106" s="1"/>
  <c r="D19" i="7"/>
  <c r="B1775" i="106" s="1"/>
  <c r="D1775" i="106" s="1"/>
  <c r="B7270" i="106"/>
  <c r="H151" i="29" l="1"/>
  <c r="B1273" i="106" s="1"/>
  <c r="D1273" i="106" s="1"/>
  <c r="D7255" i="106"/>
  <c r="D7253" i="106"/>
  <c r="D7252" i="106"/>
  <c r="L114" i="29"/>
  <c r="D41" i="108"/>
  <c r="E43" i="108" s="1"/>
  <c r="H367" i="29"/>
  <c r="B3660" i="106" s="1"/>
  <c r="D3660" i="106" s="1"/>
  <c r="B7733" i="106"/>
  <c r="D7733" i="106" s="1"/>
  <c r="K26" i="12"/>
  <c r="B7743" i="106" s="1"/>
  <c r="D7743" i="106" s="1"/>
  <c r="B3568" i="106"/>
  <c r="D3568" i="106" s="1"/>
  <c r="D52" i="36"/>
  <c r="B3649" i="106"/>
  <c r="D3649" i="106" s="1"/>
  <c r="G367" i="29"/>
  <c r="B3650" i="106" s="1"/>
  <c r="D3650" i="106" s="1"/>
  <c r="H275" i="5"/>
  <c r="B3621" i="106"/>
  <c r="D3621" i="106" s="1"/>
  <c r="C367" i="29"/>
  <c r="B3622" i="106" s="1"/>
  <c r="D3622" i="106" s="1"/>
  <c r="L16" i="11"/>
  <c r="B2061" i="106" s="1"/>
  <c r="D2061" i="106" s="1"/>
  <c r="F73" i="34"/>
  <c r="G15" i="4"/>
  <c r="B6032" i="106" s="1"/>
  <c r="D6032" i="106" s="1"/>
  <c r="F275" i="5"/>
  <c r="B1317" i="106"/>
  <c r="D1317" i="106" s="1"/>
  <c r="C114" i="29"/>
  <c r="B757" i="106" s="1"/>
  <c r="D757" i="106" s="1"/>
  <c r="B6025" i="106"/>
  <c r="D6025" i="106" s="1"/>
  <c r="H4" i="4"/>
  <c r="B5527" i="106"/>
  <c r="D5527" i="106" s="1"/>
  <c r="D4" i="4"/>
  <c r="B2564" i="106" s="1"/>
  <c r="D2564" i="106" s="1"/>
  <c r="D44"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B5507" i="106"/>
  <c r="D5507" i="106" s="1"/>
  <c r="B7298" i="106"/>
  <c r="B7299" i="106"/>
  <c r="G41" i="108" l="1"/>
  <c r="G44" i="108" s="1"/>
  <c r="G45" i="108" s="1"/>
  <c r="E41" i="108"/>
  <c r="E44" i="108" s="1"/>
  <c r="E45" i="108" s="1"/>
  <c r="B2655" i="106"/>
  <c r="D2655" i="106" s="1"/>
  <c r="H8" i="4"/>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10" i="4" l="1"/>
  <c r="B4125" i="106" s="1"/>
  <c r="D4125" i="106" s="1"/>
  <c r="B2595" i="106"/>
  <c r="D2595" i="106" s="1"/>
  <c r="F76" i="34"/>
  <c r="H10" i="4"/>
  <c r="B4127" i="106" s="1"/>
  <c r="D4127" i="106" s="1"/>
  <c r="B2658" i="106"/>
  <c r="D2658" i="106" s="1"/>
  <c r="D8" i="4"/>
  <c r="D10" i="4" s="1"/>
  <c r="B4123" i="106" s="1"/>
  <c r="D4123"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B2568" i="106" l="1"/>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<sst xmlns="http://schemas.openxmlformats.org/spreadsheetml/2006/main" count="5049" uniqueCount="2104">
  <si>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</si>
  <si>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</si>
  <si>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</si>
  <si>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</si>
  <si>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</si>
  <si>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</si>
  <si>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</si>
  <si>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</si>
  <si>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</si>
  <si>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</si>
  <si>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</si>
  <si>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</si>
  <si>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</si>
  <si>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</si>
  <si>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</si>
  <si>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</si>
  <si>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</si>
  <si>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</si>
  <si>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</si>
  <si>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</si>
  <si>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</si>
  <si>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</si>
  <si>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</si>
  <si>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</si>
  <si>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</si>
  <si>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</si>
  <si>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</si>
  <si>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</si>
  <si>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</si>
  <si>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</si>
  <si>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</si>
  <si>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</si>
  <si>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</si>
  <si>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</si>
  <si>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</si>
  <si>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</si>
  <si>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</si>
  <si>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</si>
  <si>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</si>
  <si>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</si>
  <si>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</si>
  <si>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</si>
  <si>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</si>
  <si>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</si>
  <si>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</si>
  <si>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</si>
  <si>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</si>
  <si>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</si>
  <si>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</si>
  <si>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</si>
  <si>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</si>
  <si>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</si>
  <si>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</si>
  <si>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</si>
  <si>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</si>
  <si>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</si>
  <si>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</si>
  <si>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</si>
  <si>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</si>
  <si>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</si>
  <si>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</si>
  <si>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</si>
  <si>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</si>
  <si>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</si>
  <si>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</si>
  <si>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</si>
  <si>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</si>
  <si>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</si>
  <si>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</si>
  <si>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</si>
  <si>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</si>
  <si>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</si>
  <si>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</si>
  <si>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</si>
  <si>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</si>
  <si>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</si>
  <si>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</si>
  <si>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</si>
  <si>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</si>
  <si>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</si>
  <si>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</si>
  <si>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</si>
  <si>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</si>
  <si>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</si>
  <si>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</si>
  <si>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</si>
  <si>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</si>
  <si>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</si>
  <si>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</si>
  <si>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</si>
  <si>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</si>
  <si>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</si>
  <si>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</si>
  <si>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</si>
  <si>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</si>
  <si>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</si>
  <si>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</si>
  <si>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</si>
  <si>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</si>
  <si>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</si>
  <si>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</si>
  <si>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</si>
  <si>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</si>
  <si>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</si>
  <si>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</si>
  <si>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</si>
  <si>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</si>
  <si>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</si>
  <si>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</si>
  <si>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</si>
  <si>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</si>
  <si>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</si>
  <si>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</si>
  <si>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</si>
  <si>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</si>
  <si>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</si>
  <si>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</si>
  <si>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</si>
  <si>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</si>
  <si>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</si>
  <si>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</si>
  <si>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</si>
  <si>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</si>
  <si>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</si>
  <si>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</si>
  <si>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</si>
  <si>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</si>
  <si>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</si>
  <si>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</si>
  <si>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</si>
  <si>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</si>
  <si>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</si>
  <si>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</si>
  <si>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</si>
  <si>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</si>
  <si>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</si>
  <si>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</si>
  <si>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</si>
  <si>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</si>
  <si>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</si>
  <si>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</si>
  <si>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</si>
  <si>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</si>
  <si>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</si>
  <si>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</si>
  <si>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</si>
  <si>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</si>
  <si>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</si>
  <si>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</si>
  <si>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</si>
  <si>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</si>
  <si>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</si>
  <si>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</si>
  <si>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</si>
  <si>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</si>
  <si>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</si>
  <si>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</si>
  <si>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</si>
  <si>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</si>
  <si>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</si>
  <si>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</si>
  <si>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</si>
  <si>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</si>
  <si>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</si>
  <si>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</si>
  <si>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</si>
  <si>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</si>
  <si>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</si>
  <si>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</si>
  <si>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</si>
  <si>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</si>
  <si>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</si>
  <si>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</si>
  <si>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</si>
  <si>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</si>
  <si>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</si>
  <si>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</si>
  <si>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</si>
  <si>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</si>
  <si>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</si>
  <si>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</si>
  <si>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</si>
  <si>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</si>
  <si>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</si>
  <si>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</si>
  <si>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</si>
  <si>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</si>
  <si>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</si>
  <si>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</si>
  <si>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</si>
  <si>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</si>
  <si>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</si>
  <si>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</si>
  <si>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</si>
  <si>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</si>
  <si>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</si>
  <si>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</si>
  <si>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</si>
  <si>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</si>
  <si>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</si>
  <si>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</si>
  <si>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</si>
  <si>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</si>
  <si>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</si>
  <si>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</si>
  <si>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</si>
  <si>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</si>
  <si>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</si>
  <si>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</si>
  <si>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</si>
  <si>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</si>
  <si>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</si>
  <si>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</si>
  <si>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</si>
  <si>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</si>
  <si>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</si>
  <si>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</si>
  <si>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</si>
  <si>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</si>
  <si>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</si>
  <si>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</si>
  <si>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</si>
  <si>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</si>
  <si>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</si>
  <si>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</si>
  <si>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</si>
  <si>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</si>
  <si>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</si>
  <si>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</si>
  <si>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</si>
  <si>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</si>
  <si>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</si>
  <si>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</si>
  <si>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</si>
  <si>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</si>
  <si>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</si>
  <si>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</si>
  <si>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</si>
  <si>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</si>
  <si>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</si>
  <si>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</si>
  <si>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</si>
  <si>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</si>
  <si>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</si>
  <si>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</si>
  <si>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</si>
  <si>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</si>
  <si>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</si>
  <si>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</si>
  <si>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</si>
  <si>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</si>
  <si>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</si>
  <si>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</si>
  <si>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</si>
  <si>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</si>
  <si>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</si>
  <si>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</si>
  <si>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</si>
  <si>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</si>
  <si>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</si>
  <si>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</si>
  <si>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</si>
  <si>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</si>
  <si>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</si>
  <si>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</si>
  <si>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</si>
  <si>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</si>
  <si>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</si>
  <si>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</si>
  <si>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</si>
  <si>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</si>
  <si>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</si>
  <si>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</si>
  <si>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</si>
  <si>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</si>
  <si>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</si>
  <si>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</si>
  <si>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</si>
  <si>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</si>
  <si>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</si>
  <si>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</si>
  <si>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</si>
  <si>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</si>
  <si>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</si>
  <si>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</si>
  <si>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</si>
  <si>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</si>
  <si>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</si>
  <si>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</si>
  <si>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</si>
  <si>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</si>
  <si>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</si>
  <si>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</si>
  <si>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</si>
  <si>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</si>
  <si>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</si>
  <si>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</si>
  <si>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</si>
  <si>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</si>
  <si>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</si>
  <si>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</si>
  <si>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</si>
  <si>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</si>
  <si>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</si>
  <si>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</si>
  <si>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</si>
  <si>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</si>
  <si>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</si>
  <si>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</si>
  <si>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</si>
  <si>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</si>
  <si>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</si>
  <si>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</si>
  <si>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</si>
  <si>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</si>
  <si>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</si>
  <si>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</si>
  <si>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</si>
  <si>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</si>
  <si>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</si>
  <si>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</si>
  <si>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</si>
  <si>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</si>
  <si>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</si>
  <si>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</si>
  <si>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</si>
  <si>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</si>
  <si>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</si>
  <si>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</si>
  <si>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</si>
  <si>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</si>
  <si>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</si>
  <si>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</si>
  <si>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</si>
  <si>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</si>
  <si>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</si>
  <si>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</si>
  <si>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</si>
  <si>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</si>
  <si>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</si>
  <si>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</si>
  <si>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</si>
  <si>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</si>
  <si>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</si>
  <si>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</si>
  <si>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</si>
  <si>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</si>
  <si>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</si>
  <si>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</si>
  <si>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</si>
  <si>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</si>
  <si>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</si>
  <si>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</si>
  <si>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</si>
  <si>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</si>
  <si>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</si>
  <si>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</si>
  <si>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</si>
  <si>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</si>
  <si>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</si>
  <si>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</si>
  <si>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</si>
  <si>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</si>
  <si>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</si>
  <si>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</si>
  <si>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</si>
  <si>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</si>
  <si>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</si>
  <si>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</si>
  <si>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</si>
  <si>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</si>
  <si>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</si>
  <si>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</si>
  <si>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</si>
  <si>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</si>
  <si>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</si>
  <si>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</si>
  <si>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</si>
  <si>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</si>
  <si>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</si>
  <si>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</si>
  <si>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</si>
  <si>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</si>
  <si>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</si>
  <si>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</si>
  <si>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</si>
  <si>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</si>
  <si>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</si>
  <si>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</si>
  <si>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</si>
  <si>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</si>
  <si>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</si>
  <si>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</si>
  <si>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</si>
  <si>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</si>
  <si>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</si>
  <si>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</si>
  <si>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</si>
  <si>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</si>
  <si>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</si>
  <si>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</si>
  <si>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</si>
  <si>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</si>
  <si>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</si>
  <si>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</si>
  <si>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</si>
  <si>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</si>
  <si>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</si>
  <si>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</si>
  <si>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</si>
  <si>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</si>
  <si>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</si>
  <si>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</si>
  <si>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</si>
  <si>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</si>
  <si>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</si>
  <si>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</si>
  <si>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</si>
  <si>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</si>
  <si>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</si>
  <si>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</si>
  <si>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</si>
  <si>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</si>
  <si>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</si>
  <si>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</si>
  <si>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</si>
  <si>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</si>
  <si>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</si>
  <si>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</si>
  <si>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</si>
  <si>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</si>
  <si>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</si>
  <si>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</si>
  <si>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</si>
  <si>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</si>
  <si>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</si>
  <si>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</si>
  <si>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</si>
  <si>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</si>
  <si>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</si>
  <si>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</si>
  <si>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</si>
  <si>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</si>
  <si>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</si>
  <si>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</si>
  <si>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</si>
  <si>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</si>
  <si>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</si>
  <si>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</si>
  <si>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</si>
  <si>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</si>
  <si>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</si>
  <si>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</si>
  <si>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</si>
  <si>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</si>
  <si>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</si>
  <si>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</si>
  <si>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</si>
  <si>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</si>
  <si>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</si>
  <si>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</si>
  <si>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</si>
  <si>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</si>
  <si>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</si>
  <si>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</si>
  <si>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</si>
  <si>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</si>
  <si>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</si>
  <si>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</si>
  <si>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</si>
  <si>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</si>
  <si>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</si>
  <si>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</si>
  <si>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</si>
  <si>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</si>
  <si>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</si>
  <si>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</si>
  <si>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</si>
  <si>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</si>
  <si>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</si>
  <si>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</si>
  <si>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</si>
  <si>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</si>
  <si>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</si>
  <si>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</si>
  <si>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</si>
  <si>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</si>
  <si>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</si>
  <si>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</si>
  <si>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</si>
  <si>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</si>
  <si>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</si>
  <si>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</si>
  <si>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</si>
  <si>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</si>
  <si>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</si>
  <si>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</si>
  <si>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</si>
  <si>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</si>
  <si>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</si>
  <si>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</si>
  <si>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</si>
  <si>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</si>
  <si>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</si>
  <si>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</si>
  <si>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</si>
  <si>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</si>
  <si>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</si>
  <si>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</si>
  <si>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</si>
  <si>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</si>
  <si>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</si>
  <si>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</si>
  <si>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</si>
  <si>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</si>
  <si>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</si>
  <si>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</si>
  <si>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</si>
  <si>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</si>
  <si>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</si>
  <si>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</si>
  <si>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</si>
  <si>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</si>
  <si>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</si>
  <si>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</si>
  <si>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</si>
  <si>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</si>
  <si>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</si>
  <si>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</si>
  <si>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</si>
  <si>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</si>
  <si>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</si>
  <si>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</si>
  <si>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</si>
  <si>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</si>
  <si>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</si>
  <si>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</si>
  <si>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</si>
  <si>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</si>
  <si>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</si>
  <si>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</si>
  <si>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</si>
  <si>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</si>
  <si>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</si>
  <si>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</si>
  <si>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</si>
  <si>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</si>
  <si>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</si>
  <si>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</si>
  <si>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</si>
  <si>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</si>
  <si>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</si>
  <si>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</si>
  <si>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</si>
  <si>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</si>
  <si>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</si>
  <si>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</si>
  <si>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</si>
  <si>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</si>
  <si>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</si>
  <si>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</si>
  <si>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</si>
  <si>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</si>
  <si>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</si>
  <si>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</si>
  <si>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</si>
  <si>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</si>
  <si>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</si>
  <si>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</si>
  <si>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</si>
  <si>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</si>
  <si>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</si>
  <si>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</si>
  <si>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</si>
  <si>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</si>
  <si>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</si>
  <si>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</si>
  <si>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</si>
  <si>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</si>
  <si>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</si>
  <si>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</si>
  <si>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</si>
  <si>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</si>
  <si>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</si>
  <si>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</si>
  <si>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</si>
  <si>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</si>
  <si>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</si>
  <si>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</si>
  <si>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</si>
  <si>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</si>
  <si>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</si>
  <si>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</si>
  <si>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</si>
  <si>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</si>
  <si>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</si>
  <si>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</si>
  <si>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</si>
  <si>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</si>
  <si>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</si>
  <si>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</si>
  <si>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</si>
  <si>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</si>
  <si>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</si>
  <si>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</si>
  <si>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</si>
  <si>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</si>
  <si>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</si>
  <si>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</si>
  <si>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</si>
  <si>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</si>
  <si>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</si>
  <si>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</si>
  <si>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</si>
  <si>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</si>
  <si>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</si>
  <si>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</si>
  <si>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</si>
  <si>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</si>
  <si>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</si>
  <si>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</si>
  <si>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</si>
  <si>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</si>
  <si>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</si>
  <si>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</si>
  <si>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</si>
  <si>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</si>
  <si>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</si>
  <si>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</si>
  <si>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</si>
  <si>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</si>
  <si>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</si>
  <si>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</si>
  <si>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</si>
  <si>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</si>
  <si>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</si>
  <si>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</si>
  <si>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</si>
  <si>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</si>
  <si>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</si>
  <si>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</si>
  <si>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</si>
  <si>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</si>
  <si>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</si>
  <si>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</si>
  <si>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</si>
  <si>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</si>
  <si>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</si>
  <si>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</si>
  <si>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</si>
  <si>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</si>
  <si>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</si>
  <si>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</si>
  <si>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</si>
  <si>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</si>
  <si>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</si>
  <si>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</si>
  <si>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</si>
  <si>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</si>
  <si>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</si>
  <si>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</si>
  <si>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</si>
  <si>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</si>
  <si>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</si>
  <si>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</si>
  <si>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</si>
  <si>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</si>
  <si>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</si>
  <si>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</si>
  <si>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</si>
  <si>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</si>
  <si>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</si>
  <si>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</si>
  <si>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</si>
  <si>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</si>
  <si>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</si>
  <si>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</si>
  <si>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</si>
  <si>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</si>
  <si>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</si>
  <si>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</si>
  <si>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</si>
  <si>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</si>
  <si>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</si>
  <si>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</si>
  <si>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</si>
  <si>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</si>
  <si>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</si>
  <si>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</si>
  <si>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</si>
  <si>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</si>
  <si>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</si>
  <si>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</si>
  <si>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</si>
  <si>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</si>
  <si>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</si>
  <si>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</si>
  <si>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</si>
  <si>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</si>
  <si>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</si>
  <si>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</si>
  <si>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</si>
  <si>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</si>
  <si>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</si>
  <si>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</si>
  <si>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</si>
  <si>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</si>
  <si>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</si>
  <si>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</si>
  <si>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</si>
  <si>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</si>
  <si>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</si>
  <si>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</si>
  <si>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</si>
  <si>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</si>
  <si>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</si>
  <si>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</si>
  <si>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</si>
  <si>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</si>
  <si>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</si>
  <si>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</si>
  <si>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</si>
  <si>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</si>
  <si>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</si>
  <si>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</si>
  <si>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</si>
  <si>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</si>
  <si>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</si>
  <si>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</si>
  <si>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</si>
  <si>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</si>
  <si>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</si>
  <si>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</si>
  <si>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</si>
  <si>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</si>
  <si>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</si>
  <si>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</si>
  <si>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</si>
  <si>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</si>
  <si>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</si>
  <si>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</si>
  <si>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</si>
  <si>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</si>
  <si>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</si>
  <si>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</si>
  <si>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</si>
  <si>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</si>
  <si>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</si>
  <si>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</si>
  <si>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</si>
  <si>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</si>
  <si>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</si>
  <si>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</si>
  <si>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</si>
  <si>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</si>
  <si>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</si>
  <si>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</si>
  <si>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</si>
  <si>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</si>
  <si>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</si>
  <si>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</si>
  <si>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</si>
  <si>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</si>
  <si>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</si>
  <si>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</si>
  <si>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</si>
  <si>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</si>
  <si>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</si>
  <si>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</si>
  <si>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</si>
  <si>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</si>
  <si>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</si>
  <si>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</si>
  <si>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</si>
  <si>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</si>
  <si>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</si>
  <si>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</si>
  <si>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</si>
  <si>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</si>
  <si>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</si>
  <si>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</si>
  <si>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</si>
  <si>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</si>
  <si>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</si>
  <si>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</si>
  <si>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</si>
  <si>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</si>
  <si>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</si>
  <si>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</si>
  <si>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</si>
  <si>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</si>
  <si>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</si>
  <si>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</si>
  <si>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</si>
  <si>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</si>
  <si>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</si>
  <si>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</si>
  <si>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</si>
  <si>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</si>
  <si>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</si>
  <si>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</si>
  <si>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</si>
  <si>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</si>
  <si>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</si>
  <si>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</si>
  <si>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</si>
  <si>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</si>
  <si>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</si>
  <si>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</si>
  <si>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</si>
  <si>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</si>
  <si>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</si>
  <si>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</si>
  <si>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</si>
  <si>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</si>
  <si>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</si>
  <si>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</si>
  <si>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</si>
  <si>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</si>
  <si>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</si>
  <si>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</si>
  <si>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</si>
  <si>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</si>
  <si>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</si>
  <si>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</si>
  <si>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</si>
  <si>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</si>
  <si>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</si>
  <si>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</si>
  <si>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</si>
  <si>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</si>
  <si>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</si>
  <si>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</si>
  <si>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</si>
  <si>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</si>
  <si>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</si>
  <si>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</si>
  <si>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</si>
  <si>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</si>
  <si>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</si>
  <si>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</si>
  <si>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</si>
  <si>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</si>
  <si>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</si>
  <si>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</si>
  <si>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</si>
  <si>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</si>
  <si>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</si>
  <si>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</si>
  <si>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</si>
  <si>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</si>
  <si>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</si>
  <si>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</si>
  <si>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</si>
  <si>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</si>
  <si>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</si>
  <si>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</si>
  <si>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</si>
  <si>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</si>
  <si>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</si>
  <si>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</si>
  <si>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</si>
  <si>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</si>
  <si>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</si>
  <si>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</si>
  <si>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</si>
  <si>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</si>
  <si>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</si>
  <si>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</si>
  <si>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</si>
  <si>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</si>
  <si>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</si>
  <si>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</si>
  <si>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</si>
  <si>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</si>
  <si>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</si>
  <si>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</si>
  <si>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</si>
  <si>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</si>
  <si>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</si>
  <si>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</si>
  <si>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</si>
  <si>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</si>
  <si>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</si>
  <si>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</si>
  <si>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</si>
  <si>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</si>
  <si>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</si>
  <si>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</si>
  <si>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</si>
  <si>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</si>
  <si>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</si>
  <si>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</si>
  <si>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</si>
  <si>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</si>
  <si>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</si>
  <si>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</si>
  <si>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</si>
  <si>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</si>
  <si>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</si>
  <si>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</si>
  <si>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</si>
  <si>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</si>
  <si>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</si>
  <si>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</si>
  <si>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</si>
  <si>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</si>
  <si>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</si>
  <si>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</si>
  <si>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</si>
  <si>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</si>
  <si>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</si>
  <si>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</si>
  <si>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</si>
  <si>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</si>
  <si>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</si>
  <si>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</si>
  <si>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</si>
  <si>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</si>
  <si>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</si>
  <si>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</si>
  <si>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</si>
  <si>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</si>
  <si>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</si>
  <si>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</si>
  <si>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</si>
  <si>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</si>
  <si>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</si>
  <si>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</si>
  <si>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</si>
  <si>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</si>
  <si>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</si>
  <si>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</si>
  <si>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</si>
  <si>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</si>
  <si>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</si>
  <si>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</si>
  <si>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</si>
  <si>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</si>
  <si>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</si>
  <si>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</si>
  <si>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</si>
  <si>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</si>
  <si>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</si>
  <si>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</si>
  <si>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</si>
  <si>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</si>
  <si>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</si>
  <si>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</si>
  <si>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</si>
  <si>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</si>
  <si>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</si>
  <si>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</si>
  <si>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</si>
  <si>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</si>
  <si>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</si>
  <si>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</si>
  <si>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</si>
  <si>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</si>
  <si>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</si>
  <si>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</si>
  <si>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</si>
  <si>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</si>
  <si>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</si>
  <si>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</si>
  <si>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</si>
  <si>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</si>
  <si>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</si>
  <si>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</si>
  <si>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</si>
  <si>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</si>
  <si>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</si>
  <si>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</si>
  <si>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</si>
  <si>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</si>
  <si>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</si>
  <si>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</si>
  <si>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</si>
  <si>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</si>
  <si>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</si>
  <si>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</si>
  <si>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</si>
  <si>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</si>
  <si>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</si>
  <si>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</si>
  <si>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</si>
  <si>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</si>
  <si>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</si>
  <si>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</si>
  <si>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</si>
  <si>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</si>
  <si>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</si>
  <si>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</si>
  <si>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</si>
  <si>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</si>
  <si>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</si>
  <si>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</si>
  <si>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</si>
  <si>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</si>
  <si>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</si>
  <si>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</si>
  <si>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</si>
  <si>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</si>
  <si>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</si>
  <si>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</si>
  <si>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</si>
  <si>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</si>
  <si>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</si>
  <si>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</si>
  <si>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</si>
  <si>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</si>
  <si>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</si>
  <si>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</si>
  <si>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</si>
  <si>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</si>
  <si>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</si>
  <si>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</si>
  <si>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</si>
  <si>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</si>
  <si>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</si>
  <si>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</si>
  <si>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</si>
  <si>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</si>
  <si>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</si>
  <si>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</si>
  <si>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</si>
  <si>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</si>
  <si>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</si>
  <si>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</si>
  <si>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</si>
  <si>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</si>
  <si>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</si>
  <si>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</si>
  <si>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</si>
  <si>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</si>
  <si>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</si>
  <si>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</si>
  <si>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</si>
  <si>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</si>
  <si>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</si>
  <si>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</si>
  <si>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</si>
  <si>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</si>
  <si>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</si>
  <si>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</si>
  <si>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</si>
  <si>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</si>
  <si>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</si>
  <si>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</si>
  <si>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</si>
  <si>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</si>
  <si>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</si>
  <si>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</si>
  <si>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</si>
  <si>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</si>
  <si>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</si>
  <si>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</si>
  <si>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</si>
  <si>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</si>
  <si>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</si>
  <si>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</si>
  <si>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</si>
  <si>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</si>
  <si>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</si>
  <si>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</si>
  <si>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</si>
  <si>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</si>
  <si>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</si>
  <si>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</si>
  <si>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</si>
  <si>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</si>
  <si>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</si>
  <si>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</si>
  <si>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</si>
  <si>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</si>
  <si>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</si>
  <si>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</si>
  <si>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</si>
  <si>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</si>
  <si>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</si>
  <si>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</si>
  <si>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</si>
  <si>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</si>
  <si>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</si>
  <si>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</si>
  <si>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</si>
  <si>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</si>
  <si>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</si>
  <si>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</si>
  <si>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</si>
  <si>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</si>
  <si>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</si>
  <si>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</si>
  <si>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</si>
  <si>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</si>
  <si>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</si>
  <si>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</si>
  <si>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</si>
  <si>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</si>
  <si>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</si>
  <si>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</si>
  <si>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</si>
  <si>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</si>
  <si>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</si>
  <si>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</si>
  <si>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</si>
  <si>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</si>
  <si>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</si>
  <si>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</si>
  <si>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</si>
  <si>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</si>
  <si>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</si>
  <si>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</si>
  <si>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</si>
  <si>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</si>
  <si>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</si>
  <si>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</si>
  <si>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</si>
  <si>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</si>
  <si>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</si>
  <si>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</si>
  <si>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</si>
  <si>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</si>
  <si>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</si>
  <si>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</si>
  <si>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</si>
  <si>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</si>
  <si>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</si>
  <si>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</si>
  <si>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</si>
  <si>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</si>
  <si>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</si>
  <si>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</si>
  <si>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</si>
  <si>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</si>
  <si>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</si>
  <si>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</si>
  <si>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</si>
  <si>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</si>
  <si>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</si>
  <si>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</si>
  <si>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</si>
  <si>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</si>
  <si>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</si>
  <si>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</si>
  <si>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</si>
  <si>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</si>
  <si>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</si>
  <si>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</si>
  <si>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</si>
  <si>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</si>
  <si>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</si>
  <si>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</si>
  <si>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</si>
  <si>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</si>
  <si>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</si>
  <si>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</si>
  <si>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</si>
  <si>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</si>
  <si>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</si>
  <si>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</si>
  <si>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</si>
  <si>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</si>
  <si>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</si>
  <si>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</si>
  <si>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</si>
  <si>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</si>
  <si>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</si>
  <si>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</si>
  <si>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</si>
  <si>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</si>
  <si>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</si>
  <si>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</si>
  <si>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</si>
  <si>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</si>
  <si>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</si>
  <si>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</si>
  <si>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</si>
  <si>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</si>
  <si>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</si>
  <si>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</si>
  <si>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</si>
  <si>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</si>
  <si>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</si>
  <si>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</si>
  <si>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</si>
  <si>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</si>
  <si>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</si>
  <si>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</si>
  <si>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</si>
  <si>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</si>
  <si>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</si>
  <si>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</si>
  <si>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</si>
  <si>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</si>
  <si>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</si>
  <si>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</si>
  <si>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</si>
  <si>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</si>
  <si>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</si>
  <si>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</si>
  <si>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</si>
  <si>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</si>
  <si>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</si>
  <si>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</si>
  <si>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</si>
  <si>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</si>
  <si>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</si>
  <si>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</si>
  <si>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</si>
  <si>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</si>
  <si>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</si>
  <si>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</si>
  <si>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</si>
  <si>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</si>
  <si>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</si>
  <si>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</si>
  <si>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</si>
  <si>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</si>
  <si>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</si>
  <si>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</si>
  <si>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</si>
  <si>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</si>
  <si>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</si>
  <si>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</si>
  <si>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</si>
  <si>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</si>
  <si>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</si>
  <si>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</si>
  <si>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</si>
  <si>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</si>
  <si>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</si>
  <si>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</si>
  <si>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</si>
  <si>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</si>
  <si>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</si>
  <si>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</si>
  <si>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</si>
  <si>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</si>
  <si>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</si>
  <si>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</si>
  <si>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</si>
  <si>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</si>
  <si>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</si>
  <si>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</si>
  <si>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</si>
  <si>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</si>
  <si>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</si>
  <si>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</si>
  <si>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</si>
  <si>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</si>
  <si>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</si>
  <si>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</si>
  <si>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</si>
  <si>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</si>
  <si>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</si>
  <si>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</si>
  <si>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</si>
  <si>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</si>
  <si>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</si>
  <si>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</si>
  <si>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</si>
  <si>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</si>
  <si>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</si>
  <si>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</si>
  <si>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</si>
  <si>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</si>
  <si>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</si>
  <si>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</si>
  <si>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</si>
  <si>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</si>
  <si>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</si>
  <si>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</si>
  <si>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</si>
  <si>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</si>
  <si>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</si>
  <si>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</si>
  <si>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</si>
  <si>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</si>
  <si>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</si>
  <si>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</si>
  <si>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</si>
  <si>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</si>
  <si>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</si>
  <si>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</si>
  <si>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</si>
  <si>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</si>
  <si>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</si>
  <si>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</si>
  <si>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</si>
  <si>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</si>
  <si>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</si>
  <si>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</si>
  <si>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</si>
  <si>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</si>
  <si>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</si>
  <si>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</si>
  <si>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</si>
  <si>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</si>
  <si>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</si>
  <si>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</si>
  <si>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</si>
  <si>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</si>
  <si>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</si>
  <si>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</si>
  <si>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</si>
  <si>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</si>
  <si>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</si>
  <si>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</si>
  <si>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</si>
  <si>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</si>
  <si>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</si>
  <si>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</si>
  <si>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</si>
  <si>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</si>
  <si>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</si>
  <si>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</si>
  <si>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</si>
  <si>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</si>
  <si>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</si>
  <si>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</si>
  <si>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</si>
  <si>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</si>
  <si>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</si>
  <si>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</si>
  <si>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</si>
  <si>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</si>
  <si>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</si>
  <si>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</si>
  <si>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</si>
  <si>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</si>
  <si>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</si>
  <si>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</si>
  <si>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</si>
  <si>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</si>
  <si>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</si>
  <si>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</si>
  <si>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</si>
  <si>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</si>
  <si>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</si>
  <si>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</si>
  <si>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</si>
  <si>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</si>
  <si>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</si>
  <si>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</si>
  <si>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</si>
  <si>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</si>
  <si>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</si>
  <si>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</si>
  <si>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</si>
  <si>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</si>
  <si>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</si>
  <si>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</si>
  <si>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</si>
  <si>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</si>
  <si>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</si>
  <si>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</si>
  <si>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</si>
  <si>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</si>
  <si>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</si>
  <si>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</si>
  <si>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</si>
  <si>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</si>
  <si>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</si>
  <si>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</si>
  <si>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</si>
  <si>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</si>
  <si>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</si>
  <si>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</si>
  <si>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</si>
  <si>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</si>
  <si>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</si>
  <si>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</si>
  <si>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</si>
  <si>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</si>
  <si>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</si>
  <si>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</si>
  <si>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</si>
  <si>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</si>
  <si>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</si>
  <si>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</si>
  <si>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</si>
  <si>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</si>
  <si>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</si>
  <si>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</si>
  <si>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</si>
  <si>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</si>
  <si>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</si>
  <si>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</si>
  <si>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</si>
  <si>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</si>
  <si>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</si>
  <si>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</si>
  <si>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</si>
  <si>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</si>
  <si>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</si>
  <si>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</si>
  <si>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</si>
  <si>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</si>
  <si>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</si>
  <si>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</si>
  <si>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</si>
  <si>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</si>
  <si>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</si>
  <si>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</si>
  <si>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</si>
  <si>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</si>
  <si>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</si>
  <si>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</si>
  <si>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</si>
  <si>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</si>
  <si>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</si>
  <si>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</si>
  <si>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</si>
  <si>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</si>
  <si>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</si>
  <si>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</si>
  <si>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</si>
  <si>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</si>
  <si>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</si>
  <si>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</si>
  <si>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</si>
  <si>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</si>
  <si>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</si>
  <si>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</si>
  <si>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</si>
  <si>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</si>
  <si>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</si>
  <si>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</si>
  <si>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</si>
  <si>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</si>
  <si>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</si>
  <si>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</si>
  <si>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</si>
  <si>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</si>
  <si>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</si>
  <si>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</si>
  <si>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</si>
  <si>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</si>
  <si>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</si>
  <si>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</si>
  <si>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</si>
  <si>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</si>
  <si>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</si>
  <si>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</si>
  <si>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</si>
  <si>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</si>
  <si>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</si>
  <si>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</si>
  <si>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</si>
  <si>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</si>
  <si>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</si>
  <si>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</si>
  <si>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</si>
  <si>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</si>
  <si>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</si>
  <si>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</si>
  <si>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</si>
  <si>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</si>
  <si>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</si>
  <si>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</si>
  <si>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</si>
  <si>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</si>
  <si>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</si>
  <si>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</si>
  <si>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</si>
  <si>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</si>
  <si>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</si>
  <si>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</si>
  <si>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</si>
  <si>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</si>
  <si>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</si>
  <si>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</si>
  <si>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</si>
  <si>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</si>
  <si>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</si>
  <si>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</si>
  <si>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</si>
  <si>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</si>
  <si>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</si>
  <si>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</si>
  <si>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</si>
  <si>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</si>
  <si>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</si>
  <si>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</si>
  <si>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</si>
  <si>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</si>
  <si>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</si>
  <si>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</si>
  <si>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</si>
  <si>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</si>
  <si>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</si>
  <si>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</si>
  <si>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</si>
  <si>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</si>
  <si>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</si>
  <si>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</si>
  <si>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</si>
  <si>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</si>
  <si>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</si>
  <si>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</si>
  <si>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</si>
  <si>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</si>
  <si>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</si>
  <si>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</si>
  <si>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</si>
  <si>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</si>
  <si>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</si>
  <si>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</si>
  <si>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</si>
  <si>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</si>
  <si>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</si>
  <si>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</si>
  <si>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</si>
  <si>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</si>
  <si>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</si>
  <si>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</si>
  <si>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</si>
  <si>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</si>
  <si>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</si>
  <si>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</si>
  <si>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</si>
  <si>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</si>
  <si>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</si>
  <si>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</si>
  <si>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</si>
  <si>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</si>
  <si>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</si>
  <si>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</si>
  <si>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</si>
  <si>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</si>
  <si>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</si>
  <si>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</si>
  <si>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</si>
  <si>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</si>
  <si>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</si>
  <si>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</si>
  <si>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</si>
  <si>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</si>
  <si>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</si>
  <si>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</si>
  <si>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</si>
  <si>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</si>
  <si>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</si>
  <si>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</si>
  <si>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</si>
  <si>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</si>
  <si>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</si>
  <si>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</si>
  <si>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</si>
  <si>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</si>
  <si>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</si>
  <si>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</si>
  <si>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</si>
  <si>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</si>
  <si>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</si>
  <si>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</si>
  <si>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</si>
  <si>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</si>
  <si>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</si>
  <si>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</si>
  <si>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</si>
  <si>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</si>
  <si>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</si>
  <si>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</si>
  <si>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</si>
  <si>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</si>
  <si>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</si>
  <si>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</si>
  <si>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</si>
  <si>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</si>
  <si>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</si>
  <si>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</si>
  <si>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</si>
  <si>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</si>
  <si>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</si>
  <si>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</si>
  <si>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</si>
  <si>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</si>
  <si>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</si>
  <si>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</si>
  <si>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</si>
  <si>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</si>
  <si>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</si>
  <si>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</si>
  <si>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</si>
  <si>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</si>
  <si>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</si>
  <si>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</si>
  <si>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</si>
  <si>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</si>
  <si>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</si>
  <si>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</si>
  <si>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</si>
  <si>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</si>
  <si>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</si>
  <si>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</si>
  <si>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</si>
  <si>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</si>
  <si>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</si>
  <si>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</si>
  <si>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</si>
  <si>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</si>
  <si>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</si>
  <si>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</si>
  <si>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</si>
  <si>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</si>
  <si>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</si>
  <si>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</si>
  <si>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</si>
  <si>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</si>
  <si>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</si>
  <si>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</si>
  <si>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</si>
  <si>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</si>
  <si>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</si>
  <si>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</si>
  <si>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</si>
  <si>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</si>
  <si>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</si>
  <si>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</si>
  <si>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</si>
  <si>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</si>
  <si>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</si>
  <si>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</si>
  <si>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</si>
  <si>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</si>
  <si>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</si>
  <si>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</si>
  <si>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</si>
  <si>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</si>
  <si>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</si>
  <si>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</si>
  <si>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</si>
  <si>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</si>
  <si>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</si>
  <si>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</si>
  <si>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</si>
  <si>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</si>
  <si>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</si>
  <si>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</si>
  <si>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</si>
  <si>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</si>
  <si>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</si>
  <si>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</si>
  <si>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</si>
  <si>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</si>
  <si>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</si>
  <si>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</si>
  <si>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</si>
  <si>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</si>
  <si>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</si>
  <si>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</si>
  <si>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</si>
  <si>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</si>
  <si>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</si>
  <si>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</si>
  <si>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</si>
  <si>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</si>
  <si>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</si>
  <si>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</si>
  <si>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</si>
  <si>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</si>
  <si>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</si>
  <si>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</si>
  <si>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</si>
  <si>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</si>
  <si>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</si>
  <si>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</si>
  <si>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</si>
  <si>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</si>
  <si>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</si>
  <si>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</si>
  <si>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</si>
  <si>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</si>
  <si>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</si>
  <si>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</si>
  <si>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</si>
  <si>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</si>
  <si>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</si>
  <si>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</si>
  <si>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</si>
  <si>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</si>
  <si>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</si>
  <si>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</si>
  <si>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</si>
  <si>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</si>
  <si>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</si>
  <si>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</si>
  <si>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</si>
  <si>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</si>
  <si>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</si>
  <si>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</si>
  <si>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</si>
  <si>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</si>
  <si>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</si>
  <si>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</si>
  <si>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</si>
  <si>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</si>
  <si>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</si>
  <si>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</si>
  <si>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</si>
  <si>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</si>
  <si>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</si>
  <si>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</si>
  <si>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</si>
  <si>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</si>
  <si>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</si>
  <si>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</si>
  <si>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</si>
  <si>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</si>
  <si>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</si>
  <si>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</si>
  <si>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</si>
  <si>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</si>
  <si>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</si>
  <si>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</si>
  <si>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</si>
  <si>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</si>
  <si>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</si>
  <si>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</si>
  <si>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</si>
  <si>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</si>
  <si>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</si>
  <si>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</si>
  <si>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</si>
  <si>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</si>
  <si>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</si>
  <si>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</si>
  <si>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</si>
  <si>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</si>
  <si>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</si>
  <si>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</si>
  <si>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</si>
  <si>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</si>
  <si>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</si>
  <si>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</si>
  <si>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</si>
  <si>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</si>
  <si>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</si>
  <si>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</si>
  <si>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</si>
  <si>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</si>
  <si>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</si>
  <si>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</si>
  <si>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</si>
  <si>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</si>
  <si>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</si>
  <si>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</si>
  <si>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</si>
  <si>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</si>
  <si>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</si>
  <si>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</si>
  <si>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</si>
  <si>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</si>
  <si>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</si>
  <si>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</si>
  <si>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</si>
  <si>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</si>
  <si>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</si>
  <si>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</si>
  <si>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</si>
  <si>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</si>
  <si>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</si>
  <si>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</si>
  <si>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</si>
  <si>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</si>
  <si>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</si>
  <si>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</si>
  <si>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</si>
  <si>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</si>
  <si>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</si>
  <si>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</si>
  <si>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</si>
  <si>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</si>
  <si>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</si>
  <si>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</si>
  <si>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</si>
  <si>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</si>
  <si>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</si>
  <si>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</si>
  <si>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</si>
  <si>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</si>
  <si>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</si>
  <si>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</si>
  <si>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</si>
  <si>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</si>
  <si>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</si>
  <si>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</si>
  <si>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</si>
  <si>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</si>
  <si>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</si>
  <si>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</si>
  <si>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</si>
  <si>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</si>
  <si>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</si>
  <si>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</si>
  <si>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</si>
  <si>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</si>
  <si>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</si>
  <si>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</si>
  <si>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</si>
  <si>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</si>
  <si>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</si>
  <si>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</si>
  <si>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</si>
  <si>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</si>
  <si>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</si>
  <si>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</si>
  <si>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</si>
  <si>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</si>
  <si>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</si>
  <si>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</si>
  <si>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</si>
  <si>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</si>
  <si>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</si>
  <si>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</si>
  <si>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</si>
  <si>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</si>
  <si>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</si>
  <si>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</si>
  <si>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</si>
  <si>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</si>
  <si>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</si>
  <si>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</si>
  <si>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</si>
  <si>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</si>
  <si>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</si>
  <si>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</si>
  <si>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</si>
  <si>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</si>
  <si>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</si>
  <si>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</si>
  <si>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</si>
  <si>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</si>
  <si>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</si>
  <si>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</si>
  <si>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</si>
  <si>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</si>
  <si>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</si>
  <si>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</si>
  <si>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</si>
  <si>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</si>
  <si>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</si>
  <si>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</si>
  <si>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</si>
  <si>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</si>
  <si>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</si>
  <si>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</si>
  <si>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</si>
  <si>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</si>
  <si>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</si>
  <si>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</si>
  <si>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</si>
  <si>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</si>
  <si>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</si>
  <si>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</si>
  <si>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</si>
  <si>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</si>
  <si>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</si>
  <si>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</si>
  <si>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</si>
  <si>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</si>
  <si>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</si>
  <si>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</si>
  <si>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</si>
  <si>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</si>
  <si>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</si>
  <si>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</si>
  <si>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</si>
  <si>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</si>
  <si>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</si>
  <si>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</si>
  <si>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</si>
  <si>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</si>
  <si>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</si>
  <si>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</si>
  <si>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</si>
  <si>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</si>
  <si>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</si>
  <si>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</si>
  <si>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</si>
  <si>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</si>
  <si>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</si>
  <si>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</si>
  <si>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</si>
  <si>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</si>
  <si>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</si>
  <si>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</si>
  <si>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</si>
  <si>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</si>
  <si>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</si>
  <si>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</si>
  <si>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</si>
  <si>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</si>
  <si>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</si>
  <si>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</si>
  <si>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</si>
  <si>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</si>
  <si>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</si>
  <si>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</si>
  <si>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</si>
  <si>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</si>
  <si>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</si>
  <si>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</si>
  <si>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</si>
  <si>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</si>
  <si>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</si>
  <si>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</si>
  <si>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</si>
  <si>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</si>
  <si>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</si>
  <si>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</si>
  <si>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</si>
  <si>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</si>
  <si>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</si>
  <si>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</si>
  <si>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</si>
  <si>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</si>
  <si>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</si>
  <si>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</si>
  <si>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</si>
  <si>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</si>
  <si>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</si>
  <si>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</si>
  <si>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</si>
  <si>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</si>
  <si>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</si>
  <si>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</si>
  <si>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</si>
  <si>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</si>
  <si>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</si>
  <si>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</si>
  <si>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</si>
  <si>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</si>
  <si>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</si>
  <si>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</si>
  <si>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</si>
  <si>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</si>
  <si>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</si>
  <si>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</si>
  <si>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</si>
  <si>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</si>
  <si>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</si>
  <si>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</si>
  <si>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</si>
  <si>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</si>
  <si>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</si>
  <si>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</si>
  <si>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</si>
  <si>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</si>
  <si>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</si>
  <si>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</si>
  <si>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</si>
  <si>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</si>
  <si>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</si>
  <si>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</si>
  <si>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</si>
  <si>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</si>
  <si>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</si>
  <si>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</si>
  <si>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</si>
  <si>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</si>
  <si>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</si>
  <si>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</si>
  <si>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</si>
  <si>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</si>
  <si>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</si>
  <si>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</si>
  <si>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</si>
  <si>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</si>
  <si>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</si>
  <si>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</si>
  <si>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</si>
  <si>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</si>
  <si>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</si>
  <si>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</si>
  <si>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</si>
  <si>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</si>
  <si>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</si>
  <si>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</si>
  <si>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</si>
  <si>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</si>
  <si>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</si>
  <si>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</si>
  <si>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</si>
  <si>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</si>
  <si>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</si>
  <si>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</si>
  <si>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</si>
  <si>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</si>
  <si>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</si>
  <si>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</si>
  <si>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</si>
  <si>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</si>
  <si>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</si>
  <si>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</si>
  <si>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</si>
  <si>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</si>
  <si>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</si>
  <si>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</si>
  <si>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</si>
  <si>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</si>
  <si>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</si>
  <si>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</si>
  <si>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</si>
  <si>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</si>
  <si>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</si>
  <si>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</si>
  <si>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</si>
  <si>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</si>
  <si>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</si>
  <si>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</si>
  <si>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</si>
  <si>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</si>
  <si>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</si>
  <si>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</si>
  <si>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</si>
  <si>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</si>
  <si>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</si>
  <si>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</si>
  <si>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</si>
  <si>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</si>
  <si>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</si>
  <si>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</si>
  <si>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</si>
  <si>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</si>
  <si>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</si>
  <si>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</si>
  <si>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</si>
  <si>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</si>
  <si>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</si>
  <si>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</si>
  <si>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</si>
  <si>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</si>
  <si>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</si>
  <si>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</si>
  <si>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</si>
  <si>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</si>
  <si>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</si>
  <si>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</si>
  <si>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</si>
  <si>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</si>
  <si>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</si>
  <si>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</si>
  <si>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</si>
  <si>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</si>
  <si>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</si>
  <si>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</si>
  <si>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</si>
  <si>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</si>
  <si>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</si>
  <si>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</si>
  <si>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</si>
  <si>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</si>
  <si>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</si>
  <si>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</si>
  <si>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</si>
  <si>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</si>
  <si>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</si>
  <si>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</si>
  <si>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</si>
  <si>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</si>
  <si>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</si>
  <si>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</si>
  <si>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</si>
  <si>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</si>
  <si>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</si>
  <si>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</si>
  <si>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</si>
  <si>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</si>
  <si>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</si>
  <si>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</si>
  <si>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</si>
  <si>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</si>
  <si>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</si>
  <si>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</si>
  <si>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</si>
  <si>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Lake</t>
  </si>
  <si>
    <t>28855 N. Fremont Center</t>
  </si>
  <si>
    <t>Mundelein</t>
  </si>
  <si>
    <t>Evans, Marshall and Pease, PC</t>
  </si>
  <si>
    <t>Jeffery M. Rollefson, CPA</t>
  </si>
  <si>
    <t>1875 Hicks Road</t>
  </si>
  <si>
    <t>Rolling Meadows</t>
  </si>
  <si>
    <t>IL</t>
  </si>
  <si>
    <t>847-221-5700</t>
  </si>
  <si>
    <t>847-221-5701</t>
  </si>
  <si>
    <t>060-003973</t>
  </si>
  <si>
    <t>jeff@empcpa.com</t>
  </si>
  <si>
    <t>Refunding School Bonds - Series 2015</t>
  </si>
  <si>
    <t>Refunding School Bonds - Series 2016</t>
  </si>
  <si>
    <t>Capital leases</t>
  </si>
  <si>
    <t>var</t>
  </si>
  <si>
    <t>ROE - COMMON CORE PLANNING SD75 SD 120</t>
  </si>
  <si>
    <t>LINCOLN SCHOOL SD 75 SD 73</t>
  </si>
  <si>
    <t>ROE APPLITRACK</t>
  </si>
  <si>
    <t>ADMIN PROF DEVELOPMENT ROE ESC SD 75</t>
  </si>
  <si>
    <t>LINCOLN PRINCIPAL SD 75</t>
  </si>
  <si>
    <t>SEDOL</t>
  </si>
  <si>
    <t>SD75 SD 76 SD 120 SEDOL</t>
  </si>
  <si>
    <t>SD75 SD76 SD120 UMBRELLA AGREEMENT</t>
  </si>
  <si>
    <t>P24 G33 GROSS PROCEEDS FORM CAPITAL LEASE $201,124 LESS PAYMENTS ON CAPITAL LEASES $243,455</t>
  </si>
  <si>
    <t>Fremont SD 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</si>
</sst>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2">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3</xdr:col>
          <xdr:colOff>304800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6</xdr:col>
          <xdr:colOff>304800</xdr:colOff>
          <xdr:row>9</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1" t="s">
        <v>425</v>
      </c>
      <c r="J1" s="2032"/>
      <c r="K1" s="2032"/>
      <c r="L1" s="2032"/>
      <c r="M1" s="2032"/>
      <c r="N1" s="2032"/>
      <c r="O1" s="2032"/>
      <c r="P1" s="2032"/>
      <c r="Q1" s="2032"/>
      <c r="R1" s="2032"/>
      <c r="S1" s="2032"/>
    </row>
    <row r="2" spans="1:28" ht="12" customHeight="1" x14ac:dyDescent="0.2">
      <c r="A2" s="47" t="s">
        <v>1684</v>
      </c>
      <c r="D2" s="48"/>
      <c r="I2" s="2033" t="s">
        <v>1036</v>
      </c>
      <c r="J2" s="2032"/>
      <c r="K2" s="2032"/>
      <c r="L2" s="2032"/>
      <c r="M2" s="2032"/>
      <c r="N2" s="2032"/>
      <c r="O2" s="2032"/>
      <c r="P2" s="2032"/>
      <c r="Q2" s="2032"/>
      <c r="R2" s="2032"/>
      <c r="S2" s="2032"/>
    </row>
    <row r="3" spans="1:28" ht="12" customHeight="1" x14ac:dyDescent="0.2">
      <c r="A3" s="155" t="s">
        <v>1685</v>
      </c>
      <c r="B3" s="156"/>
      <c r="C3" s="156"/>
      <c r="D3" s="157"/>
      <c r="I3" s="2033" t="s">
        <v>54</v>
      </c>
      <c r="J3" s="2032"/>
      <c r="K3" s="2032"/>
      <c r="L3" s="2032"/>
      <c r="M3" s="2032"/>
      <c r="N3" s="2032"/>
      <c r="O3" s="2032"/>
      <c r="P3" s="2032"/>
      <c r="Q3" s="2032"/>
      <c r="R3" s="2032"/>
      <c r="S3" s="2032"/>
    </row>
    <row r="4" spans="1:28" ht="12" customHeight="1" x14ac:dyDescent="0.2">
      <c r="A4" s="37"/>
      <c r="I4" s="2033" t="s">
        <v>545</v>
      </c>
      <c r="J4" s="2032"/>
      <c r="K4" s="2032"/>
      <c r="L4" s="2032"/>
      <c r="M4" s="2032"/>
      <c r="N4" s="2032"/>
      <c r="O4" s="2032"/>
      <c r="P4" s="2032"/>
      <c r="Q4" s="2032"/>
      <c r="R4" s="2032"/>
      <c r="S4" s="2032"/>
    </row>
    <row r="5" spans="1:28" ht="14.1" customHeight="1" x14ac:dyDescent="0.2">
      <c r="B5" s="104" t="s">
        <v>2077</v>
      </c>
      <c r="C5" s="26" t="s">
        <v>966</v>
      </c>
      <c r="D5" s="84"/>
      <c r="E5" s="84"/>
      <c r="H5" s="38"/>
      <c r="I5" s="2040" t="s">
        <v>701</v>
      </c>
      <c r="J5" s="1985"/>
      <c r="K5" s="1985"/>
      <c r="L5" s="1985"/>
      <c r="M5" s="1985"/>
      <c r="N5" s="1985"/>
      <c r="O5" s="1985"/>
      <c r="P5" s="1985"/>
      <c r="Q5" s="1985"/>
      <c r="R5" s="1985"/>
      <c r="S5" s="1985"/>
    </row>
    <row r="6" spans="1:28" ht="14.1" customHeight="1" x14ac:dyDescent="0.2">
      <c r="B6" s="104"/>
      <c r="C6" s="26" t="s">
        <v>967</v>
      </c>
      <c r="D6" s="84"/>
      <c r="E6" s="84"/>
      <c r="I6" s="2039" t="s">
        <v>938</v>
      </c>
      <c r="J6" s="1985"/>
      <c r="K6" s="1985"/>
      <c r="L6" s="1985"/>
      <c r="M6" s="1985"/>
      <c r="N6" s="1985"/>
      <c r="O6" s="1985"/>
      <c r="P6" s="1985"/>
      <c r="Q6" s="1985"/>
      <c r="R6" s="1985"/>
      <c r="S6" s="1985"/>
    </row>
    <row r="7" spans="1:28" ht="12.2" customHeight="1" x14ac:dyDescent="0.2">
      <c r="I7" s="2034">
        <v>43281</v>
      </c>
      <c r="J7" s="2035"/>
      <c r="K7" s="2035"/>
      <c r="L7" s="2035"/>
      <c r="M7" s="2035"/>
      <c r="N7" s="2035"/>
      <c r="O7" s="2035"/>
      <c r="P7" s="2035"/>
      <c r="Q7" s="2035"/>
      <c r="R7" s="2035"/>
      <c r="S7" s="203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6" t="s">
        <v>695</v>
      </c>
      <c r="J9" s="2037"/>
      <c r="K9" s="2037"/>
      <c r="L9" s="2037"/>
      <c r="M9" s="2037"/>
      <c r="N9" s="2037"/>
      <c r="O9" s="2037"/>
      <c r="P9" s="2037"/>
      <c r="Q9" s="2037"/>
      <c r="R9" s="2037"/>
      <c r="S9" s="2038"/>
      <c r="T9" s="1981" t="s">
        <v>554</v>
      </c>
      <c r="U9" s="1982"/>
      <c r="V9" s="1982"/>
      <c r="W9" s="1982"/>
      <c r="X9" s="1982"/>
      <c r="Y9" s="1982"/>
      <c r="Z9" s="1982"/>
      <c r="AA9" s="1983"/>
    </row>
    <row r="10" spans="1:28" ht="13.5" customHeight="1" x14ac:dyDescent="0.2">
      <c r="A10" s="1990" t="s">
        <v>696</v>
      </c>
      <c r="B10" s="1991"/>
      <c r="C10" s="1991"/>
      <c r="D10" s="1991"/>
      <c r="E10" s="1991"/>
      <c r="F10" s="1991"/>
      <c r="G10" s="1991"/>
      <c r="H10" s="1992"/>
      <c r="I10" s="29"/>
      <c r="J10" s="30"/>
      <c r="K10" s="28"/>
      <c r="R10" s="30"/>
      <c r="S10" s="30"/>
      <c r="T10" s="1984"/>
      <c r="U10" s="1985"/>
      <c r="V10" s="1985"/>
      <c r="W10" s="1985"/>
      <c r="X10" s="1985"/>
      <c r="Y10" s="1985"/>
      <c r="Z10" s="1985"/>
      <c r="AA10" s="1986"/>
    </row>
    <row r="11" spans="1:28" ht="14.25" customHeight="1" x14ac:dyDescent="0.2">
      <c r="A11" s="1993" t="s">
        <v>1012</v>
      </c>
      <c r="B11" s="1994"/>
      <c r="C11" s="1994"/>
      <c r="D11" s="1994"/>
      <c r="E11" s="1994"/>
      <c r="F11" s="1994"/>
      <c r="G11" s="1994"/>
      <c r="H11" s="1995"/>
      <c r="I11" s="27"/>
      <c r="J11" s="74"/>
      <c r="K11" s="27"/>
      <c r="O11" s="148"/>
      <c r="P11" s="100" t="s">
        <v>210</v>
      </c>
      <c r="Q11" s="30"/>
      <c r="R11" s="28"/>
      <c r="S11" s="27"/>
      <c r="T11" s="1987"/>
      <c r="U11" s="1988"/>
      <c r="V11" s="1988"/>
      <c r="W11" s="1988"/>
      <c r="X11" s="1988"/>
      <c r="Y11" s="1988"/>
      <c r="Z11" s="1988"/>
      <c r="AA11" s="1989"/>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01">
        <v>34049079002</v>
      </c>
      <c r="B13" s="2002"/>
      <c r="C13" s="2002"/>
      <c r="D13" s="2002"/>
      <c r="E13" s="2002"/>
      <c r="F13" s="2002"/>
      <c r="G13" s="2002"/>
      <c r="H13" s="2003"/>
      <c r="I13" s="31"/>
      <c r="J13" s="30"/>
      <c r="K13" s="28"/>
      <c r="L13" s="30"/>
      <c r="M13" s="30"/>
      <c r="N13" s="30"/>
      <c r="O13" s="30"/>
      <c r="P13" s="30"/>
      <c r="Q13" s="30"/>
      <c r="R13" s="30"/>
      <c r="S13" s="30"/>
      <c r="T13" s="2006" t="s">
        <v>2081</v>
      </c>
      <c r="U13" s="2007"/>
      <c r="V13" s="2007"/>
      <c r="W13" s="2007"/>
      <c r="X13" s="2007"/>
      <c r="Y13" s="2008"/>
      <c r="Z13" s="2008"/>
      <c r="AA13" s="200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9" t="s">
        <v>2078</v>
      </c>
      <c r="B15" s="2004"/>
      <c r="C15" s="2004"/>
      <c r="D15" s="2004"/>
      <c r="E15" s="2004"/>
      <c r="F15" s="2004"/>
      <c r="G15" s="2004"/>
      <c r="H15" s="2005"/>
      <c r="T15" s="1967" t="s">
        <v>2082</v>
      </c>
      <c r="U15" s="1968"/>
      <c r="V15" s="1968"/>
      <c r="W15" s="1968"/>
      <c r="X15" s="1968"/>
      <c r="Y15" s="2010"/>
      <c r="Z15" s="2010"/>
      <c r="AA15" s="201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9" t="s">
        <v>2103</v>
      </c>
      <c r="B17" s="2029"/>
      <c r="C17" s="2029"/>
      <c r="D17" s="2029"/>
      <c r="E17" s="2029"/>
      <c r="F17" s="2029"/>
      <c r="G17" s="2029"/>
      <c r="H17" s="2030"/>
      <c r="T17" s="2016" t="s">
        <v>2083</v>
      </c>
      <c r="U17" s="2017"/>
      <c r="V17" s="2017"/>
      <c r="W17" s="2017"/>
      <c r="X17" s="2017"/>
      <c r="Y17" s="2017"/>
      <c r="Z17" s="2017"/>
      <c r="AA17" s="2018"/>
    </row>
    <row r="18" spans="1:27" ht="13.5" customHeight="1" x14ac:dyDescent="0.2">
      <c r="A18" s="85" t="s">
        <v>551</v>
      </c>
      <c r="B18" s="76"/>
      <c r="C18" s="72"/>
      <c r="D18" s="76"/>
      <c r="E18" s="76"/>
      <c r="F18" s="76"/>
      <c r="G18" s="76"/>
      <c r="H18" s="56"/>
      <c r="I18" s="2026" t="s">
        <v>697</v>
      </c>
      <c r="J18" s="2027"/>
      <c r="K18" s="2027"/>
      <c r="L18" s="2027"/>
      <c r="M18" s="2027"/>
      <c r="N18" s="2027"/>
      <c r="O18" s="2027"/>
      <c r="P18" s="2027"/>
      <c r="Q18" s="2027"/>
      <c r="R18" s="2027"/>
      <c r="S18" s="2028"/>
      <c r="T18" s="85" t="s">
        <v>735</v>
      </c>
      <c r="U18" s="51"/>
      <c r="V18" s="72"/>
      <c r="W18" s="50"/>
      <c r="X18" s="85" t="s">
        <v>284</v>
      </c>
      <c r="Y18" s="81"/>
      <c r="Z18" s="159" t="s">
        <v>698</v>
      </c>
      <c r="AA18" s="46"/>
    </row>
    <row r="19" spans="1:27" ht="13.5" customHeight="1" x14ac:dyDescent="0.2">
      <c r="A19" s="1999" t="s">
        <v>2079</v>
      </c>
      <c r="B19" s="2000"/>
      <c r="C19" s="2000"/>
      <c r="D19" s="2000"/>
      <c r="E19" s="2000"/>
      <c r="F19" s="2000"/>
      <c r="G19" s="2000"/>
      <c r="H19" s="1998"/>
      <c r="I19" s="30"/>
      <c r="J19" s="99"/>
      <c r="K19" s="40"/>
      <c r="L19" s="38"/>
      <c r="M19" s="112" t="s">
        <v>333</v>
      </c>
      <c r="P19" s="27"/>
      <c r="Q19" s="27"/>
      <c r="R19" s="27"/>
      <c r="S19" s="31"/>
      <c r="T19" s="1999" t="s">
        <v>2084</v>
      </c>
      <c r="U19" s="1997"/>
      <c r="V19" s="1997"/>
      <c r="W19" s="1998"/>
      <c r="X19" s="2014" t="s">
        <v>2085</v>
      </c>
      <c r="Y19" s="2015"/>
      <c r="Z19" s="2012">
        <v>60008</v>
      </c>
      <c r="AA19" s="201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6" t="s">
        <v>2080</v>
      </c>
      <c r="B21" s="1997"/>
      <c r="C21" s="1997"/>
      <c r="D21" s="1997"/>
      <c r="E21" s="1997"/>
      <c r="F21" s="1997"/>
      <c r="G21" s="1997"/>
      <c r="H21" s="1998"/>
      <c r="I21" s="2022" t="s">
        <v>699</v>
      </c>
      <c r="J21" s="1985"/>
      <c r="K21" s="1985"/>
      <c r="L21" s="1985"/>
      <c r="M21" s="1985"/>
      <c r="N21" s="1985"/>
      <c r="O21" s="1985"/>
      <c r="P21" s="1985"/>
      <c r="Q21" s="1985"/>
      <c r="R21" s="1985"/>
      <c r="S21" s="1986"/>
      <c r="T21" s="1964" t="s">
        <v>2086</v>
      </c>
      <c r="U21" s="1965"/>
      <c r="V21" s="1965"/>
      <c r="W21" s="1965"/>
      <c r="X21" s="1978" t="s">
        <v>2087</v>
      </c>
      <c r="Y21" s="1979"/>
      <c r="Z21" s="1979"/>
      <c r="AA21" s="1980"/>
    </row>
    <row r="22" spans="1:27" ht="13.5" customHeight="1" x14ac:dyDescent="0.2">
      <c r="A22" s="87" t="s">
        <v>552</v>
      </c>
      <c r="B22" s="59"/>
      <c r="C22" s="59"/>
      <c r="D22" s="59"/>
      <c r="E22" s="59"/>
      <c r="F22" s="59"/>
      <c r="G22" s="59"/>
      <c r="H22" s="60"/>
      <c r="I22" s="2023" t="s">
        <v>1504</v>
      </c>
      <c r="J22" s="2024"/>
      <c r="K22" s="2024"/>
      <c r="L22" s="2024"/>
      <c r="M22" s="2024"/>
      <c r="N22" s="2024"/>
      <c r="O22" s="2024"/>
      <c r="P22" s="2024"/>
      <c r="Q22" s="2024"/>
      <c r="R22" s="2024"/>
      <c r="S22" s="2025"/>
      <c r="T22" s="85" t="s">
        <v>1596</v>
      </c>
      <c r="U22" s="51"/>
      <c r="V22" s="72"/>
      <c r="W22" s="51"/>
      <c r="X22" s="160" t="s">
        <v>1385</v>
      </c>
      <c r="Z22" s="45"/>
      <c r="AA22" s="46"/>
    </row>
    <row r="23" spans="1:27" ht="13.5" customHeight="1" x14ac:dyDescent="0.2">
      <c r="A23" s="2019"/>
      <c r="B23" s="2020"/>
      <c r="C23" s="2020"/>
      <c r="D23" s="2020"/>
      <c r="E23" s="2020"/>
      <c r="F23" s="2020"/>
      <c r="G23" s="2020"/>
      <c r="H23" s="2021"/>
      <c r="T23" s="1959" t="s">
        <v>2088</v>
      </c>
      <c r="U23" s="1960"/>
      <c r="V23" s="1960"/>
      <c r="W23" s="1960"/>
      <c r="X23" s="1975">
        <v>43466</v>
      </c>
      <c r="Y23" s="1976"/>
      <c r="Z23" s="1976"/>
      <c r="AA23" s="1977"/>
    </row>
    <row r="24" spans="1:27" ht="14.1" customHeight="1" x14ac:dyDescent="0.2">
      <c r="A24" s="88" t="s">
        <v>698</v>
      </c>
      <c r="B24" s="49"/>
      <c r="C24" s="49"/>
      <c r="D24" s="49"/>
      <c r="E24" s="49"/>
      <c r="F24" s="49"/>
      <c r="G24" s="49"/>
      <c r="H24" s="61"/>
      <c r="J24" s="2061">
        <f>IF(B5="x",IF(AUDITCHECK!D29="AFR form Incomplete.","",IF(AUDITCHECK!D29="Deficit reduction plan is required.","School District must complete a deficit reduction plan in the 2018-2019 Budget",)),"")</f>
        <v>0</v>
      </c>
      <c r="K24" s="2061"/>
      <c r="L24" s="2061"/>
      <c r="M24" s="2061"/>
      <c r="N24" s="2061"/>
      <c r="O24" s="2061"/>
      <c r="P24" s="2061"/>
      <c r="Q24" s="2061"/>
      <c r="R24" s="2061"/>
      <c r="S24" s="2062"/>
      <c r="T24" s="105" t="s">
        <v>552</v>
      </c>
      <c r="U24" s="106"/>
      <c r="V24" s="106"/>
      <c r="W24" s="106"/>
      <c r="X24" s="107"/>
      <c r="Y24" s="107"/>
      <c r="Z24" s="107"/>
      <c r="AA24" s="108"/>
    </row>
    <row r="25" spans="1:27" ht="14.1" customHeight="1" x14ac:dyDescent="0.2">
      <c r="A25" s="1996">
        <v>60060</v>
      </c>
      <c r="B25" s="1997"/>
      <c r="C25" s="1997"/>
      <c r="D25" s="1997"/>
      <c r="E25" s="1997"/>
      <c r="F25" s="1997"/>
      <c r="G25" s="1997"/>
      <c r="H25" s="1998"/>
      <c r="I25" s="113"/>
      <c r="J25" s="2063"/>
      <c r="K25" s="2063"/>
      <c r="L25" s="2063"/>
      <c r="M25" s="2063"/>
      <c r="N25" s="2063"/>
      <c r="O25" s="2063"/>
      <c r="P25" s="2063"/>
      <c r="Q25" s="2063"/>
      <c r="R25" s="2063"/>
      <c r="S25" s="2064"/>
      <c r="T25" s="1956" t="s">
        <v>2089</v>
      </c>
      <c r="U25" s="1957"/>
      <c r="V25" s="1957"/>
      <c r="W25" s="1957"/>
      <c r="X25" s="1957"/>
      <c r="Y25" s="1957"/>
      <c r="Z25" s="1957"/>
      <c r="AA25" s="19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4" t="s">
        <v>1591</v>
      </c>
      <c r="J27" s="2027"/>
      <c r="K27" s="2027"/>
      <c r="L27" s="2027"/>
      <c r="M27" s="2027"/>
      <c r="N27" s="2027"/>
      <c r="O27" s="2027"/>
      <c r="P27" s="2027"/>
      <c r="Q27" s="2027"/>
      <c r="R27" s="2027"/>
      <c r="S27" s="202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0"/>
      <c r="Q35" s="1997"/>
      <c r="R35" s="199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9"/>
      <c r="B38" s="2029"/>
      <c r="C38" s="2029"/>
      <c r="D38" s="2029"/>
      <c r="E38" s="2029"/>
      <c r="F38" s="1997"/>
      <c r="G38" s="1997"/>
      <c r="H38" s="1998"/>
      <c r="I38" s="2048"/>
      <c r="J38" s="1968"/>
      <c r="K38" s="1968"/>
      <c r="L38" s="1968"/>
      <c r="M38" s="1968"/>
      <c r="N38" s="1968"/>
      <c r="O38" s="1968"/>
      <c r="P38" s="1969"/>
      <c r="Q38" s="1969"/>
      <c r="R38" s="1969"/>
      <c r="S38" s="1970"/>
      <c r="T38" s="1967"/>
      <c r="U38" s="1968"/>
      <c r="V38" s="1968"/>
      <c r="W38" s="1968"/>
      <c r="X38" s="1969"/>
      <c r="Y38" s="1969"/>
      <c r="Z38" s="1969"/>
      <c r="AA38" s="1970"/>
    </row>
    <row r="39" spans="1:27" ht="12" customHeight="1" x14ac:dyDescent="0.2">
      <c r="A39" s="2052" t="s">
        <v>552</v>
      </c>
      <c r="B39" s="2053"/>
      <c r="C39" s="72"/>
      <c r="D39" s="69"/>
      <c r="E39" s="69"/>
      <c r="F39" s="79"/>
      <c r="G39" s="69"/>
      <c r="H39" s="56"/>
      <c r="I39" s="2052" t="s">
        <v>552</v>
      </c>
      <c r="J39" s="2053"/>
      <c r="K39" s="2053"/>
      <c r="L39" s="2053"/>
      <c r="M39" s="2053"/>
      <c r="N39" s="67"/>
      <c r="O39" s="72"/>
      <c r="P39" s="72"/>
      <c r="Q39" s="78"/>
      <c r="R39" s="72"/>
      <c r="S39" s="56"/>
      <c r="T39" s="72" t="s">
        <v>552</v>
      </c>
      <c r="U39" s="51"/>
      <c r="V39" s="72"/>
      <c r="W39" s="50"/>
      <c r="X39" s="78"/>
      <c r="Y39" s="45"/>
      <c r="Z39" s="45"/>
      <c r="AA39" s="46"/>
    </row>
    <row r="40" spans="1:27" ht="13.5" customHeight="1" x14ac:dyDescent="0.2">
      <c r="A40" s="2055"/>
      <c r="B40" s="2056"/>
      <c r="C40" s="2057"/>
      <c r="D40" s="2057"/>
      <c r="E40" s="2057"/>
      <c r="F40" s="2058"/>
      <c r="G40" s="2058"/>
      <c r="H40" s="2059"/>
      <c r="I40" s="1971"/>
      <c r="J40" s="1973"/>
      <c r="K40" s="1973"/>
      <c r="L40" s="1973"/>
      <c r="M40" s="1973"/>
      <c r="N40" s="1973"/>
      <c r="O40" s="1973"/>
      <c r="P40" s="1973"/>
      <c r="Q40" s="1973"/>
      <c r="R40" s="1973"/>
      <c r="S40" s="1974"/>
      <c r="T40" s="1971"/>
      <c r="U40" s="1972"/>
      <c r="V40" s="1973"/>
      <c r="W40" s="1973"/>
      <c r="X40" s="1973"/>
      <c r="Y40" s="1973"/>
      <c r="Z40" s="1973"/>
      <c r="AA40" s="197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5"/>
      <c r="B42" s="2046"/>
      <c r="C42" s="2047"/>
      <c r="D42" s="2060"/>
      <c r="E42" s="2046"/>
      <c r="F42" s="2046"/>
      <c r="G42" s="2046"/>
      <c r="H42" s="2047"/>
      <c r="I42" s="1966"/>
      <c r="J42" s="1962"/>
      <c r="K42" s="1962"/>
      <c r="L42" s="1962"/>
      <c r="M42" s="1962"/>
      <c r="N42" s="1962"/>
      <c r="O42" s="1963"/>
      <c r="P42" s="1961"/>
      <c r="Q42" s="1962"/>
      <c r="R42" s="1962"/>
      <c r="S42" s="1963"/>
      <c r="T42" s="1966"/>
      <c r="U42" s="1962"/>
      <c r="V42" s="1962"/>
      <c r="W42" s="1963"/>
      <c r="X42" s="1961"/>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9"/>
      <c r="B44" s="2050"/>
      <c r="C44" s="2050"/>
      <c r="D44" s="2050"/>
      <c r="E44" s="2050"/>
      <c r="F44" s="2050"/>
      <c r="G44" s="2050"/>
      <c r="H44" s="2051"/>
      <c r="I44" s="2041"/>
      <c r="J44" s="2043"/>
      <c r="K44" s="2043"/>
      <c r="L44" s="2043"/>
      <c r="M44" s="2043"/>
      <c r="N44" s="2043"/>
      <c r="O44" s="2043"/>
      <c r="P44" s="2043"/>
      <c r="Q44" s="2043"/>
      <c r="R44" s="2043"/>
      <c r="S44" s="2044"/>
      <c r="T44" s="2041"/>
      <c r="U44" s="2042"/>
      <c r="V44" s="2042"/>
      <c r="W44" s="2042"/>
      <c r="X44" s="2042"/>
      <c r="Y44" s="2042"/>
      <c r="Z44" s="2043"/>
      <c r="AA44" s="204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6" sqref="B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8" t="s">
        <v>1905</v>
      </c>
      <c r="B2" s="1550" t="s">
        <v>2037</v>
      </c>
      <c r="C2" s="715" t="s">
        <v>1910</v>
      </c>
      <c r="D2" s="715" t="s">
        <v>1911</v>
      </c>
      <c r="E2" s="715" t="s">
        <v>1912</v>
      </c>
      <c r="F2" s="715" t="s">
        <v>1913</v>
      </c>
    </row>
    <row r="3" spans="1:6" ht="12" customHeight="1" x14ac:dyDescent="0.2">
      <c r="A3" s="2199"/>
      <c r="B3" s="1547"/>
      <c r="C3" s="1548"/>
      <c r="D3" s="1549" t="s">
        <v>274</v>
      </c>
      <c r="E3" s="1548"/>
      <c r="F3" s="1549" t="s">
        <v>275</v>
      </c>
    </row>
    <row r="4" spans="1:6" ht="13.7" customHeight="1" x14ac:dyDescent="0.2">
      <c r="A4" s="716" t="s">
        <v>1217</v>
      </c>
      <c r="B4" s="1771">
        <f>'Revenues 9-14'!C5</f>
        <v>20970997</v>
      </c>
      <c r="C4" s="1546">
        <v>11238262</v>
      </c>
      <c r="D4" s="1774">
        <f>B4-C4</f>
        <v>9732735</v>
      </c>
      <c r="E4" s="1546">
        <v>19831816</v>
      </c>
      <c r="F4" s="1774">
        <f>E4-C4</f>
        <v>8593554</v>
      </c>
    </row>
    <row r="5" spans="1:6" ht="13.7" customHeight="1" x14ac:dyDescent="0.2">
      <c r="A5" s="716" t="s">
        <v>925</v>
      </c>
      <c r="B5" s="1772">
        <f>'Revenues 9-14'!D5</f>
        <v>2591533</v>
      </c>
      <c r="C5" s="585">
        <v>1388928</v>
      </c>
      <c r="D5" s="1775">
        <f t="shared" ref="D5:D18" si="0">B5-C5</f>
        <v>1202605</v>
      </c>
      <c r="E5" s="585">
        <v>2450999</v>
      </c>
      <c r="F5" s="1775">
        <f>E5-C5</f>
        <v>1062071</v>
      </c>
    </row>
    <row r="6" spans="1:6" ht="13.7" customHeight="1" x14ac:dyDescent="0.2">
      <c r="A6" s="716" t="s">
        <v>431</v>
      </c>
      <c r="B6" s="1772">
        <f>'Revenues 9-14'!E5</f>
        <v>3275818</v>
      </c>
      <c r="C6" s="585">
        <v>1741993</v>
      </c>
      <c r="D6" s="1775">
        <f t="shared" si="0"/>
        <v>1533825</v>
      </c>
      <c r="E6" s="585">
        <v>3074041</v>
      </c>
      <c r="F6" s="1775">
        <f t="shared" ref="F6:F18" si="1">E6-C6</f>
        <v>1332048</v>
      </c>
    </row>
    <row r="7" spans="1:6" ht="13.7" customHeight="1" x14ac:dyDescent="0.2">
      <c r="A7" s="716" t="s">
        <v>157</v>
      </c>
      <c r="B7" s="1772">
        <f>'Revenues 9-14'!F5</f>
        <v>1273151</v>
      </c>
      <c r="C7" s="585">
        <v>682446</v>
      </c>
      <c r="D7" s="1775">
        <f t="shared" si="0"/>
        <v>590705</v>
      </c>
      <c r="E7" s="585">
        <v>1204292</v>
      </c>
      <c r="F7" s="1775">
        <f t="shared" si="1"/>
        <v>521846</v>
      </c>
    </row>
    <row r="8" spans="1:6" ht="13.7" customHeight="1" x14ac:dyDescent="0.2">
      <c r="A8" s="716" t="s">
        <v>1241</v>
      </c>
      <c r="B8" s="1772">
        <f>'Revenues 9-14'!G5</f>
        <v>195974</v>
      </c>
      <c r="C8" s="585">
        <v>105081</v>
      </c>
      <c r="D8" s="1775">
        <f t="shared" si="0"/>
        <v>90893</v>
      </c>
      <c r="E8" s="585">
        <v>185434</v>
      </c>
      <c r="F8" s="1775">
        <f t="shared" si="1"/>
        <v>80353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563094</v>
      </c>
      <c r="C16" s="585">
        <v>301821</v>
      </c>
      <c r="D16" s="1775">
        <f t="shared" si="0"/>
        <v>261273</v>
      </c>
      <c r="E16" s="585">
        <v>532614</v>
      </c>
      <c r="F16" s="1775">
        <f t="shared" si="1"/>
        <v>230793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64938</v>
      </c>
      <c r="C18" s="585">
        <v>34605</v>
      </c>
      <c r="D18" s="1775">
        <f t="shared" si="0"/>
        <v>30333</v>
      </c>
      <c r="E18" s="585">
        <v>61067</v>
      </c>
      <c r="F18" s="1775">
        <f t="shared" si="1"/>
        <v>26462</v>
      </c>
    </row>
    <row r="19" spans="1:6" ht="13.7" customHeight="1" thickBot="1" x14ac:dyDescent="0.25">
      <c r="A19" s="1776" t="s">
        <v>1223</v>
      </c>
      <c r="B19" s="1773">
        <f>SUM(B4:B18)</f>
        <v>28935505</v>
      </c>
      <c r="C19" s="1773">
        <f>SUM(C4:C18)</f>
        <v>15493136</v>
      </c>
      <c r="D19" s="1773">
        <f>SUM(D4:D18)</f>
        <v>13442369</v>
      </c>
      <c r="E19" s="1773">
        <f>SUM(E4:E18)</f>
        <v>27340263</v>
      </c>
      <c r="F19" s="1773">
        <f>SUM(F4:F18)</f>
        <v>11847127</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9" colorId="8" zoomScale="110" zoomScaleNormal="110" workbookViewId="0">
      <selection activeCell="B6" sqref="B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650</v>
      </c>
      <c r="B1" s="2205"/>
      <c r="C1" s="722"/>
    </row>
    <row r="2" spans="1:7" ht="33.75" x14ac:dyDescent="0.2">
      <c r="A2" s="2213" t="s">
        <v>1905</v>
      </c>
      <c r="B2" s="2214"/>
      <c r="C2" s="1909" t="s">
        <v>2038</v>
      </c>
      <c r="D2" s="724" t="s">
        <v>2045</v>
      </c>
      <c r="E2" s="724" t="s">
        <v>2046</v>
      </c>
      <c r="F2" s="1909" t="s">
        <v>2039</v>
      </c>
    </row>
    <row r="3" spans="1:7" ht="15.75" customHeight="1" x14ac:dyDescent="0.2">
      <c r="A3" s="2217" t="s">
        <v>1176</v>
      </c>
      <c r="B3" s="2218"/>
      <c r="C3" s="2206"/>
      <c r="D3" s="2207"/>
      <c r="E3" s="2207"/>
      <c r="F3" s="2208"/>
    </row>
    <row r="4" spans="1:7" ht="12.75" customHeight="1" thickBot="1" x14ac:dyDescent="0.25">
      <c r="A4" s="2215" t="s">
        <v>651</v>
      </c>
      <c r="B4" s="2216"/>
      <c r="C4" s="581"/>
      <c r="D4" s="581"/>
      <c r="E4" s="581"/>
      <c r="F4" s="1777">
        <f>SUM(C4+D4)-E4</f>
        <v>0</v>
      </c>
    </row>
    <row r="5" spans="1:7" ht="15.75" customHeight="1" thickTop="1" x14ac:dyDescent="0.2">
      <c r="A5" s="2200" t="s">
        <v>1172</v>
      </c>
      <c r="B5" s="2201"/>
      <c r="C5" s="2209"/>
      <c r="D5" s="2210"/>
      <c r="E5" s="2210"/>
      <c r="F5" s="2211"/>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2" t="s">
        <v>652</v>
      </c>
      <c r="B15" s="2203"/>
      <c r="C15" s="1777">
        <f>SUM(C6:C14)</f>
        <v>0</v>
      </c>
      <c r="D15" s="1777">
        <f>SUM(D6:D14)</f>
        <v>0</v>
      </c>
      <c r="E15" s="1777">
        <f>SUM(E6:E14)</f>
        <v>0</v>
      </c>
      <c r="F15" s="1777">
        <f>SUM(F6:F14)</f>
        <v>0</v>
      </c>
      <c r="G15" s="552"/>
    </row>
    <row r="16" spans="1:7" s="202" customFormat="1" ht="15.75" customHeight="1" thickTop="1" x14ac:dyDescent="0.2">
      <c r="A16" s="2212" t="s">
        <v>1173</v>
      </c>
      <c r="B16" s="2201"/>
      <c r="C16" s="2209"/>
      <c r="D16" s="2210"/>
      <c r="E16" s="2210"/>
      <c r="F16" s="2211"/>
    </row>
    <row r="17" spans="1:11" ht="12.75" customHeight="1" thickBot="1" x14ac:dyDescent="0.25">
      <c r="A17" s="2225" t="s">
        <v>66</v>
      </c>
      <c r="B17" s="2226"/>
      <c r="C17" s="727"/>
      <c r="D17" s="585"/>
      <c r="E17" s="727"/>
      <c r="F17" s="1777">
        <f>SUM(C17+D17)-E17</f>
        <v>0</v>
      </c>
    </row>
    <row r="18" spans="1:11" ht="12.75" customHeight="1" thickTop="1" thickBot="1" x14ac:dyDescent="0.25">
      <c r="A18" s="2225" t="s">
        <v>6</v>
      </c>
      <c r="B18" s="2226"/>
      <c r="C18" s="727"/>
      <c r="D18" s="585"/>
      <c r="E18" s="727"/>
      <c r="F18" s="1777">
        <f>SUM(C18+D18)-E18</f>
        <v>0</v>
      </c>
    </row>
    <row r="19" spans="1:11" ht="12.75" customHeight="1" thickTop="1" thickBot="1" x14ac:dyDescent="0.25">
      <c r="A19" s="2225" t="s">
        <v>406</v>
      </c>
      <c r="B19" s="2226"/>
      <c r="C19" s="727"/>
      <c r="D19" s="585"/>
      <c r="E19" s="727"/>
      <c r="F19" s="1777">
        <f>SUM(C19+D19)-E19</f>
        <v>0</v>
      </c>
    </row>
    <row r="20" spans="1:11" ht="12.75" customHeight="1" thickTop="1" thickBot="1" x14ac:dyDescent="0.25">
      <c r="A20" s="2225" t="s">
        <v>468</v>
      </c>
      <c r="B20" s="2226"/>
      <c r="C20" s="727"/>
      <c r="D20" s="585"/>
      <c r="E20" s="727"/>
      <c r="F20" s="1777">
        <f>SUM(C20+D20)-E20</f>
        <v>0</v>
      </c>
    </row>
    <row r="21" spans="1:11" ht="14.25" thickTop="1" thickBot="1" x14ac:dyDescent="0.25">
      <c r="A21" s="2202" t="s">
        <v>653</v>
      </c>
      <c r="B21" s="2203"/>
      <c r="C21" s="1777">
        <f>SUM(C17:C20)</f>
        <v>0</v>
      </c>
      <c r="D21" s="1777">
        <f>SUM(D17:D20)</f>
        <v>0</v>
      </c>
      <c r="E21" s="1777">
        <f>SUM(E17:E20)</f>
        <v>0</v>
      </c>
      <c r="F21" s="1777">
        <f>SUM(F17:F20)</f>
        <v>0</v>
      </c>
      <c r="G21" s="552"/>
    </row>
    <row r="22" spans="1:11" ht="15.75" customHeight="1" thickTop="1" x14ac:dyDescent="0.2">
      <c r="A22" s="2227" t="s">
        <v>1174</v>
      </c>
      <c r="B22" s="2201"/>
      <c r="C22" s="2209"/>
      <c r="D22" s="2210"/>
      <c r="E22" s="2210"/>
      <c r="F22" s="2211"/>
    </row>
    <row r="23" spans="1:11" ht="13.5" thickBot="1" x14ac:dyDescent="0.25">
      <c r="A23" s="2215" t="s">
        <v>654</v>
      </c>
      <c r="B23" s="2216"/>
      <c r="C23" s="581"/>
      <c r="D23" s="581"/>
      <c r="E23" s="581"/>
      <c r="F23" s="1777">
        <f>SUM(C23+D23)-E23</f>
        <v>0</v>
      </c>
      <c r="G23" s="552"/>
    </row>
    <row r="24" spans="1:11" ht="15.75" customHeight="1" thickTop="1" x14ac:dyDescent="0.2">
      <c r="A24" s="2227" t="s">
        <v>1175</v>
      </c>
      <c r="B24" s="2201"/>
      <c r="C24" s="2209"/>
      <c r="D24" s="2210"/>
      <c r="E24" s="2210"/>
      <c r="F24" s="2211"/>
    </row>
    <row r="25" spans="1:11" ht="13.5" thickBot="1" x14ac:dyDescent="0.25">
      <c r="A25" s="2215" t="s">
        <v>655</v>
      </c>
      <c r="B25" s="2216"/>
      <c r="C25" s="581"/>
      <c r="D25" s="581"/>
      <c r="E25" s="581"/>
      <c r="F25" s="1777">
        <f>SUM(C25+D25)-E25</f>
        <v>0</v>
      </c>
      <c r="G25" s="552"/>
    </row>
    <row r="26" spans="1:11" ht="15.75" customHeight="1" thickTop="1" x14ac:dyDescent="0.2">
      <c r="A26" s="2200" t="s">
        <v>678</v>
      </c>
      <c r="B26" s="2201"/>
      <c r="C26" s="728"/>
      <c r="D26" s="728"/>
      <c r="E26" s="728"/>
      <c r="F26" s="729"/>
    </row>
    <row r="27" spans="1:11" ht="13.5" thickBot="1" x14ac:dyDescent="0.25">
      <c r="A27" s="2202" t="s">
        <v>1130</v>
      </c>
      <c r="B27" s="2203"/>
      <c r="C27" s="585"/>
      <c r="D27" s="585"/>
      <c r="E27" s="585"/>
      <c r="F27" s="1777">
        <f>SUM(C27+D27)-E27</f>
        <v>0</v>
      </c>
      <c r="G27" s="552"/>
    </row>
    <row r="28" spans="1:11" ht="7.5" customHeight="1" thickTop="1" x14ac:dyDescent="0.2">
      <c r="A28" s="594"/>
    </row>
    <row r="29" spans="1:11" ht="23.25" customHeight="1" x14ac:dyDescent="0.2">
      <c r="A29" s="2228" t="s">
        <v>603</v>
      </c>
      <c r="B29" s="2205"/>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2090</v>
      </c>
      <c r="B31" s="734">
        <v>42332</v>
      </c>
      <c r="C31" s="735">
        <v>7835000</v>
      </c>
      <c r="D31" s="736">
        <v>3</v>
      </c>
      <c r="E31" s="735">
        <v>7835000</v>
      </c>
      <c r="F31" s="735"/>
      <c r="G31" s="735"/>
      <c r="H31" s="735"/>
      <c r="I31" s="1778">
        <f>((E31+F31)-H31)+G31</f>
        <v>7835000</v>
      </c>
      <c r="J31" s="735">
        <v>6633887</v>
      </c>
      <c r="K31" s="737"/>
    </row>
    <row r="32" spans="1:11" ht="12" customHeight="1" x14ac:dyDescent="0.2">
      <c r="A32" s="733" t="s">
        <v>2091</v>
      </c>
      <c r="B32" s="734">
        <v>42647</v>
      </c>
      <c r="C32" s="735">
        <v>10840000</v>
      </c>
      <c r="D32" s="736">
        <v>3</v>
      </c>
      <c r="E32" s="735">
        <v>10840000</v>
      </c>
      <c r="F32" s="735"/>
      <c r="G32" s="735"/>
      <c r="H32" s="735">
        <v>2415000</v>
      </c>
      <c r="I32" s="1778">
        <f>((E32+F32)-H32)+G32</f>
        <v>8425000</v>
      </c>
      <c r="J32" s="735">
        <v>7133439</v>
      </c>
      <c r="K32" s="737"/>
    </row>
    <row r="33" spans="1:11" ht="12" customHeight="1" x14ac:dyDescent="0.2">
      <c r="A33" s="733" t="s">
        <v>2092</v>
      </c>
      <c r="B33" s="734" t="s">
        <v>2093</v>
      </c>
      <c r="C33" s="735"/>
      <c r="D33" s="736">
        <v>7</v>
      </c>
      <c r="E33" s="735">
        <v>475521</v>
      </c>
      <c r="F33" s="735"/>
      <c r="G33" s="735">
        <f>201124-243455</f>
        <v>-42331</v>
      </c>
      <c r="H33" s="735"/>
      <c r="I33" s="1778">
        <f t="shared" ref="I33:I48" si="1">((E33+F33)-H33)+G33</f>
        <v>433190</v>
      </c>
      <c r="J33" s="735">
        <v>433190</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18675000</v>
      </c>
      <c r="D49" s="746"/>
      <c r="E49" s="1778">
        <f t="shared" ref="E49:J49" si="2">SUM(E31:E48)</f>
        <v>19150521</v>
      </c>
      <c r="F49" s="1778">
        <f t="shared" si="2"/>
        <v>0</v>
      </c>
      <c r="G49" s="1778">
        <f t="shared" si="2"/>
        <v>-42331</v>
      </c>
      <c r="H49" s="1778">
        <f t="shared" si="2"/>
        <v>2415000</v>
      </c>
      <c r="I49" s="1778">
        <f t="shared" si="2"/>
        <v>16693190</v>
      </c>
      <c r="J49" s="1778">
        <f t="shared" si="2"/>
        <v>14200516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9" t="s">
        <v>605</v>
      </c>
      <c r="C52" s="2220"/>
      <c r="D52" s="2220"/>
      <c r="E52" s="750" t="s">
        <v>900</v>
      </c>
      <c r="F52" s="2221"/>
      <c r="G52" s="2222"/>
      <c r="H52" s="737"/>
      <c r="I52" s="737"/>
      <c r="J52" s="747"/>
    </row>
    <row r="53" spans="1:11" ht="11.25" customHeight="1" x14ac:dyDescent="0.2">
      <c r="A53" s="751" t="s">
        <v>969</v>
      </c>
      <c r="B53" s="752" t="s">
        <v>1008</v>
      </c>
      <c r="C53" s="747"/>
      <c r="D53" s="738"/>
      <c r="E53" s="750" t="s">
        <v>518</v>
      </c>
      <c r="F53" s="2223"/>
      <c r="G53" s="2224"/>
      <c r="H53" s="737"/>
      <c r="I53" s="737"/>
      <c r="J53" s="747"/>
    </row>
    <row r="54" spans="1:11" ht="11.25" customHeight="1" x14ac:dyDescent="0.2">
      <c r="A54" s="753" t="s">
        <v>970</v>
      </c>
      <c r="B54" s="748" t="s">
        <v>1009</v>
      </c>
      <c r="C54" s="747"/>
      <c r="D54" s="738"/>
      <c r="E54" s="750" t="s">
        <v>519</v>
      </c>
      <c r="F54" s="2223"/>
      <c r="G54" s="222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9" colorId="8" zoomScale="110" zoomScaleNormal="110" workbookViewId="0">
      <selection activeCell="B6" sqref="B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3" t="s">
        <v>911</v>
      </c>
      <c r="B1" s="2254"/>
      <c r="C1" s="2254"/>
      <c r="D1" s="2254"/>
      <c r="E1" s="2254"/>
      <c r="F1" s="2254"/>
      <c r="G1" s="2255"/>
      <c r="H1" s="1552"/>
      <c r="I1" s="761"/>
      <c r="J1" s="433"/>
    </row>
    <row r="2" spans="1:11" ht="26.25" x14ac:dyDescent="0.2">
      <c r="A2" s="2232" t="s">
        <v>1776</v>
      </c>
      <c r="B2" s="2233"/>
      <c r="C2" s="2233"/>
      <c r="D2" s="2233"/>
      <c r="E2" s="2234"/>
      <c r="F2" s="762" t="s">
        <v>960</v>
      </c>
      <c r="G2" s="763" t="s">
        <v>1773</v>
      </c>
      <c r="H2" s="763" t="s">
        <v>430</v>
      </c>
      <c r="I2" s="763" t="s">
        <v>1220</v>
      </c>
      <c r="J2" s="763" t="s">
        <v>1919</v>
      </c>
      <c r="K2" s="763" t="s">
        <v>140</v>
      </c>
    </row>
    <row r="3" spans="1:11" x14ac:dyDescent="0.2">
      <c r="A3" s="2235" t="s">
        <v>1698</v>
      </c>
      <c r="B3" s="2236"/>
      <c r="C3" s="2236"/>
      <c r="D3" s="2236"/>
      <c r="E3" s="2237"/>
      <c r="F3" s="764"/>
      <c r="G3" s="765"/>
      <c r="H3" s="765"/>
      <c r="I3" s="765"/>
      <c r="J3" s="766"/>
      <c r="K3" s="766"/>
    </row>
    <row r="4" spans="1:11" x14ac:dyDescent="0.2">
      <c r="A4" s="2238" t="s">
        <v>387</v>
      </c>
      <c r="B4" s="2239"/>
      <c r="C4" s="2239"/>
      <c r="D4" s="2239"/>
      <c r="E4" s="2220"/>
      <c r="F4" s="767"/>
      <c r="G4" s="768"/>
      <c r="H4" s="769"/>
      <c r="I4" s="768"/>
      <c r="J4" s="770"/>
      <c r="K4" s="770"/>
    </row>
    <row r="5" spans="1:11" x14ac:dyDescent="0.2">
      <c r="A5" s="2256" t="s">
        <v>1129</v>
      </c>
      <c r="B5" s="2229"/>
      <c r="C5" s="2229"/>
      <c r="D5" s="2229"/>
      <c r="E5" s="225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6" t="s">
        <v>1920</v>
      </c>
      <c r="B10" s="2229"/>
      <c r="C10" s="2229"/>
      <c r="D10" s="2229"/>
      <c r="E10" s="2258"/>
      <c r="F10" s="784" t="s">
        <v>917</v>
      </c>
      <c r="G10" s="783"/>
      <c r="H10" s="785"/>
      <c r="I10" s="765"/>
      <c r="J10" s="766"/>
      <c r="K10" s="766"/>
    </row>
    <row r="11" spans="1:11" x14ac:dyDescent="0.2">
      <c r="A11" s="2256" t="s">
        <v>162</v>
      </c>
      <c r="B11" s="2229"/>
      <c r="C11" s="2229"/>
      <c r="D11" s="2229"/>
      <c r="E11" s="2257"/>
      <c r="F11" s="771" t="s">
        <v>907</v>
      </c>
      <c r="G11" s="772"/>
      <c r="H11" s="765"/>
      <c r="I11" s="765"/>
      <c r="J11" s="766"/>
      <c r="K11" s="774"/>
    </row>
    <row r="12" spans="1:11" ht="13.5" thickBot="1" x14ac:dyDescent="0.25">
      <c r="A12" s="2246" t="s">
        <v>961</v>
      </c>
      <c r="B12" s="2247"/>
      <c r="C12" s="2247"/>
      <c r="D12" s="2247"/>
      <c r="E12" s="2248"/>
      <c r="F12" s="1779"/>
      <c r="G12" s="1780">
        <f>SUM(G5:G11)</f>
        <v>0</v>
      </c>
      <c r="H12" s="1780">
        <f>SUM(H5:H11)</f>
        <v>0</v>
      </c>
      <c r="I12" s="1780">
        <f>SUM(I5:I11)</f>
        <v>0</v>
      </c>
      <c r="J12" s="1780">
        <f>SUM(J5:J11)</f>
        <v>0</v>
      </c>
      <c r="K12" s="1780">
        <f>SUM(K5:K11)</f>
        <v>0</v>
      </c>
    </row>
    <row r="13" spans="1:11" ht="13.5" thickTop="1" x14ac:dyDescent="0.2">
      <c r="A13" s="2240" t="s">
        <v>388</v>
      </c>
      <c r="B13" s="2241"/>
      <c r="C13" s="2241"/>
      <c r="D13" s="2241"/>
      <c r="E13" s="2242"/>
      <c r="F13" s="786"/>
      <c r="G13" s="787"/>
      <c r="H13" s="788"/>
      <c r="I13" s="789"/>
      <c r="J13" s="789"/>
      <c r="K13" s="789"/>
    </row>
    <row r="14" spans="1:11" x14ac:dyDescent="0.2">
      <c r="A14" s="2262" t="s">
        <v>476</v>
      </c>
      <c r="B14" s="2262"/>
      <c r="C14" s="2262"/>
      <c r="D14" s="2262"/>
      <c r="E14" s="2263"/>
      <c r="F14" s="790" t="s">
        <v>909</v>
      </c>
      <c r="G14" s="783"/>
      <c r="H14" s="765"/>
      <c r="I14" s="772"/>
      <c r="J14" s="774"/>
      <c r="K14" s="766"/>
    </row>
    <row r="15" spans="1:11" x14ac:dyDescent="0.2">
      <c r="A15" s="2229" t="s">
        <v>4</v>
      </c>
      <c r="B15" s="2229"/>
      <c r="C15" s="2229"/>
      <c r="D15" s="2229"/>
      <c r="E15" s="2257"/>
      <c r="F15" s="790" t="s">
        <v>910</v>
      </c>
      <c r="G15" s="772"/>
      <c r="H15" s="765"/>
      <c r="I15" s="765"/>
      <c r="J15" s="766"/>
      <c r="K15" s="766"/>
    </row>
    <row r="16" spans="1:11" x14ac:dyDescent="0.2">
      <c r="A16" s="2229" t="s">
        <v>316</v>
      </c>
      <c r="B16" s="2229"/>
      <c r="C16" s="2229"/>
      <c r="D16" s="2229"/>
      <c r="E16" s="2257"/>
      <c r="F16" s="790" t="s">
        <v>980</v>
      </c>
      <c r="G16" s="773"/>
      <c r="H16" s="768"/>
      <c r="I16" s="768"/>
      <c r="J16" s="770"/>
      <c r="K16" s="770"/>
    </row>
    <row r="17" spans="1:11" x14ac:dyDescent="0.2">
      <c r="A17" s="2251" t="s">
        <v>992</v>
      </c>
      <c r="B17" s="2251"/>
      <c r="C17" s="2251"/>
      <c r="D17" s="2251"/>
      <c r="E17" s="2252"/>
      <c r="F17" s="791"/>
      <c r="G17" s="792"/>
      <c r="H17" s="793"/>
      <c r="I17" s="793"/>
      <c r="J17" s="794"/>
      <c r="K17" s="795"/>
    </row>
    <row r="18" spans="1:11" x14ac:dyDescent="0.2">
      <c r="A18" s="2243" t="s">
        <v>386</v>
      </c>
      <c r="B18" s="2244"/>
      <c r="C18" s="2244"/>
      <c r="D18" s="2244"/>
      <c r="E18" s="2245"/>
      <c r="F18" s="790" t="s">
        <v>989</v>
      </c>
      <c r="G18" s="783"/>
      <c r="H18" s="783"/>
      <c r="I18" s="783"/>
      <c r="J18" s="766"/>
      <c r="K18" s="796"/>
    </row>
    <row r="19" spans="1:11" ht="21.75" customHeight="1" x14ac:dyDescent="0.2">
      <c r="A19" s="2264" t="s">
        <v>1916</v>
      </c>
      <c r="B19" s="2264"/>
      <c r="C19" s="2264"/>
      <c r="D19" s="2264"/>
      <c r="E19" s="2265"/>
      <c r="F19" s="790" t="s">
        <v>990</v>
      </c>
      <c r="G19" s="783"/>
      <c r="H19" s="783"/>
      <c r="I19" s="783"/>
      <c r="J19" s="766"/>
      <c r="K19" s="796"/>
    </row>
    <row r="20" spans="1:11" x14ac:dyDescent="0.2">
      <c r="A20" s="2243" t="s">
        <v>1921</v>
      </c>
      <c r="B20" s="2244"/>
      <c r="C20" s="2244"/>
      <c r="D20" s="2244"/>
      <c r="E20" s="2245"/>
      <c r="F20" s="790" t="s">
        <v>991</v>
      </c>
      <c r="G20" s="783"/>
      <c r="H20" s="783"/>
      <c r="I20" s="783"/>
      <c r="J20" s="766"/>
      <c r="K20" s="796"/>
    </row>
    <row r="21" spans="1:11" ht="13.5" thickBot="1" x14ac:dyDescent="0.25">
      <c r="A21" s="2249" t="s">
        <v>659</v>
      </c>
      <c r="B21" s="2249"/>
      <c r="C21" s="2249"/>
      <c r="D21" s="2249"/>
      <c r="E21" s="2249"/>
      <c r="F21" s="1781"/>
      <c r="G21" s="793"/>
      <c r="H21" s="797"/>
      <c r="I21" s="797"/>
      <c r="J21" s="1782">
        <f>SUM(J18:J20)</f>
        <v>0</v>
      </c>
      <c r="K21" s="794"/>
    </row>
    <row r="22" spans="1:11" ht="13.5" thickTop="1" x14ac:dyDescent="0.2">
      <c r="A22" s="2229" t="s">
        <v>1922</v>
      </c>
      <c r="B22" s="2229"/>
      <c r="C22" s="2229"/>
      <c r="D22" s="2229"/>
      <c r="E22" s="2257"/>
      <c r="F22" s="790" t="s">
        <v>917</v>
      </c>
      <c r="G22" s="783"/>
      <c r="H22" s="765"/>
      <c r="I22" s="765"/>
      <c r="J22" s="798"/>
      <c r="K22" s="766"/>
    </row>
    <row r="23" spans="1:11" ht="13.5" thickBot="1" x14ac:dyDescent="0.25">
      <c r="A23" s="2250" t="s">
        <v>962</v>
      </c>
      <c r="B23" s="2249"/>
      <c r="C23" s="2249"/>
      <c r="D23" s="2249"/>
      <c r="E23" s="2249"/>
      <c r="F23" s="1783"/>
      <c r="G23" s="1780">
        <f>SUM(G14:G16,G21,G22)</f>
        <v>0</v>
      </c>
      <c r="H23" s="1780">
        <f>SUM(H14:H16,H21,H22)</f>
        <v>0</v>
      </c>
      <c r="I23" s="1780">
        <f>SUM(I14:I16,I21,I22)</f>
        <v>0</v>
      </c>
      <c r="J23" s="1780">
        <f>SUM(J14:J16,J21,J22)</f>
        <v>0</v>
      </c>
      <c r="K23" s="1780">
        <f>SUM(K14:K16,K21,K22)</f>
        <v>0</v>
      </c>
    </row>
    <row r="24" spans="1:11" ht="14.25" thickTop="1" thickBot="1" x14ac:dyDescent="0.25">
      <c r="A24" s="2250" t="s">
        <v>2026</v>
      </c>
      <c r="B24" s="2249"/>
      <c r="C24" s="2249"/>
      <c r="D24" s="2249"/>
      <c r="E24" s="2249"/>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9"/>
      <c r="I31" s="2260"/>
      <c r="J31" s="2260"/>
      <c r="K31" s="2260"/>
    </row>
    <row r="32" spans="1:11" x14ac:dyDescent="0.2">
      <c r="A32" s="810"/>
      <c r="B32" s="237"/>
      <c r="C32" s="237"/>
      <c r="D32" s="237"/>
      <c r="E32" s="806"/>
      <c r="F32" s="812" t="s">
        <v>561</v>
      </c>
      <c r="G32" s="765"/>
      <c r="H32" s="2261"/>
      <c r="I32" s="2260"/>
      <c r="J32" s="2260"/>
      <c r="K32" s="2260"/>
    </row>
    <row r="33" spans="1:11" ht="1.5" customHeight="1" x14ac:dyDescent="0.2">
      <c r="A33" s="813" t="s">
        <v>1231</v>
      </c>
      <c r="B33" s="364"/>
      <c r="C33" s="364"/>
      <c r="D33" s="364"/>
      <c r="E33" s="364"/>
      <c r="F33" s="364"/>
      <c r="G33" s="814"/>
      <c r="H33" s="2261"/>
      <c r="I33" s="2260"/>
      <c r="J33" s="2260"/>
      <c r="K33" s="226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137126</v>
      </c>
    </row>
    <row r="37" spans="1:11" x14ac:dyDescent="0.2">
      <c r="A37" s="821" t="s">
        <v>952</v>
      </c>
      <c r="B37" s="819"/>
      <c r="C37" s="819"/>
      <c r="D37" s="819"/>
      <c r="E37" s="819"/>
      <c r="F37" s="820"/>
      <c r="G37" s="766">
        <v>2707</v>
      </c>
    </row>
    <row r="38" spans="1:11" x14ac:dyDescent="0.2">
      <c r="A38" s="821" t="s">
        <v>1050</v>
      </c>
      <c r="B38" s="819"/>
      <c r="C38" s="819"/>
      <c r="D38" s="819"/>
      <c r="E38" s="819"/>
      <c r="F38" s="820"/>
      <c r="G38" s="766">
        <v>118711</v>
      </c>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29" t="s">
        <v>562</v>
      </c>
      <c r="B41" s="2230"/>
      <c r="C41" s="2230"/>
      <c r="D41" s="2230"/>
      <c r="E41" s="2230"/>
      <c r="F41" s="223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B6" sqref="B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2035</v>
      </c>
      <c r="B1" s="2269"/>
      <c r="C1" s="2270"/>
      <c r="D1" s="827"/>
      <c r="E1" s="828"/>
      <c r="F1" s="828"/>
      <c r="G1" s="829"/>
      <c r="H1" s="830"/>
      <c r="I1" s="831"/>
      <c r="J1" s="2266"/>
      <c r="K1" s="2267"/>
      <c r="L1" s="2267"/>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4698697</v>
      </c>
      <c r="D5" s="842"/>
      <c r="E5" s="842"/>
      <c r="F5" s="1782">
        <f>(C5+D5)-E5</f>
        <v>4698697</v>
      </c>
      <c r="G5" s="838"/>
      <c r="H5" s="843"/>
      <c r="I5" s="843"/>
      <c r="J5" s="843"/>
      <c r="K5" s="794"/>
      <c r="L5" s="1791">
        <f>F5-K5</f>
        <v>4698697</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49491516</v>
      </c>
      <c r="D8" s="845">
        <v>219699</v>
      </c>
      <c r="E8" s="845"/>
      <c r="F8" s="1782">
        <f>(C8+D8)-E8</f>
        <v>49711215</v>
      </c>
      <c r="G8" s="844">
        <v>50</v>
      </c>
      <c r="H8" s="766">
        <v>14993535</v>
      </c>
      <c r="I8" s="766">
        <v>1159625</v>
      </c>
      <c r="J8" s="766"/>
      <c r="K8" s="1791">
        <f>(H8+I8)-J8</f>
        <v>16153160</v>
      </c>
      <c r="L8" s="1791">
        <f>F8-K8</f>
        <v>33558055</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4045743</v>
      </c>
      <c r="D10" s="847"/>
      <c r="E10" s="847"/>
      <c r="F10" s="1786">
        <f>(C10+D10)-E10</f>
        <v>4045743</v>
      </c>
      <c r="G10" s="844">
        <v>20</v>
      </c>
      <c r="H10" s="848">
        <v>2117757</v>
      </c>
      <c r="I10" s="848">
        <v>173530</v>
      </c>
      <c r="J10" s="848"/>
      <c r="K10" s="1791">
        <f>(H10+I10)-J10</f>
        <v>2291287</v>
      </c>
      <c r="L10" s="1791">
        <f>F10-K10</f>
        <v>1754456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c r="D12" s="845"/>
      <c r="E12" s="845"/>
      <c r="F12" s="1782">
        <f>(C12+D12)-E12</f>
        <v>0</v>
      </c>
      <c r="G12" s="844">
        <v>10</v>
      </c>
      <c r="H12" s="766"/>
      <c r="I12" s="766"/>
      <c r="J12" s="766"/>
      <c r="K12" s="1791">
        <f>(H12+I12)-J12</f>
        <v>0</v>
      </c>
      <c r="L12" s="1791">
        <f>F12-K12</f>
        <v>0</v>
      </c>
    </row>
    <row r="13" spans="1:14" ht="14.25" thickTop="1" thickBot="1" x14ac:dyDescent="0.25">
      <c r="A13" s="849" t="s">
        <v>1184</v>
      </c>
      <c r="B13" s="841">
        <v>252</v>
      </c>
      <c r="C13" s="845">
        <v>6254723</v>
      </c>
      <c r="D13" s="845">
        <f>682261+12606</f>
        <v>694867</v>
      </c>
      <c r="E13" s="845">
        <v>253880</v>
      </c>
      <c r="F13" s="1782">
        <f>(C13+D13)-E13</f>
        <v>6695710</v>
      </c>
      <c r="G13" s="844">
        <v>5</v>
      </c>
      <c r="H13" s="766">
        <v>3571691</v>
      </c>
      <c r="I13" s="766">
        <f>377201+292402</f>
        <v>669603</v>
      </c>
      <c r="J13" s="766">
        <v>170802</v>
      </c>
      <c r="K13" s="1791">
        <f>(H13+I13)-J13</f>
        <v>4070492</v>
      </c>
      <c r="L13" s="1791">
        <f>F13-K13</f>
        <v>2625218</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v>931579</v>
      </c>
      <c r="E15" s="845"/>
      <c r="F15" s="1782">
        <f>(C15+D15)-E15</f>
        <v>931579</v>
      </c>
      <c r="G15" s="850" t="s">
        <v>917</v>
      </c>
      <c r="H15" s="782"/>
      <c r="I15" s="782"/>
      <c r="J15" s="782"/>
      <c r="K15" s="782"/>
      <c r="L15" s="1791">
        <f>F15-K15</f>
        <v>931579</v>
      </c>
    </row>
    <row r="16" spans="1:14" ht="15" customHeight="1" thickTop="1" thickBot="1" x14ac:dyDescent="0.25">
      <c r="A16" s="1787" t="s">
        <v>664</v>
      </c>
      <c r="B16" s="1788">
        <v>200</v>
      </c>
      <c r="C16" s="1782">
        <f>SUM(C3,C5:C6,C8:C10,C12:C15)</f>
        <v>64490679</v>
      </c>
      <c r="D16" s="1782">
        <f>SUM(D3,D5:D6,D8:D10,D12:D15)</f>
        <v>1846145</v>
      </c>
      <c r="E16" s="1782">
        <f>SUM(E3,E5:E6,E8:E10,E12:E15)</f>
        <v>253880</v>
      </c>
      <c r="F16" s="1782">
        <f>SUM(F3,F5:F6,F8:F10,F12:F15)</f>
        <v>66082944</v>
      </c>
      <c r="G16" s="844"/>
      <c r="H16" s="1782">
        <f>SUM(H3,H6,H8:H10,H12:H14,)</f>
        <v>20682983</v>
      </c>
      <c r="I16" s="1782">
        <f>SUM(I3,I6,I8:I10,I12:I14,)</f>
        <v>2002758</v>
      </c>
      <c r="J16" s="1782">
        <f>SUM(J3,J6,J8:J10,J12:J14,)</f>
        <v>170802</v>
      </c>
      <c r="K16" s="1782">
        <f>(H16+I16)-J16</f>
        <v>22514939</v>
      </c>
      <c r="L16" s="1782">
        <f>F16-K16</f>
        <v>43568005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2002758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39" activePane="bottomLeft" state="frozen"/>
      <selection activeCell="B6" sqref="B6"/>
      <selection pane="bottomLeft" activeCell="B6" sqref="B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4" t="s">
        <v>1699</v>
      </c>
      <c r="B1" s="2275"/>
      <c r="C1" s="2275"/>
      <c r="D1" s="2275"/>
      <c r="E1" s="2275"/>
      <c r="F1" s="2276"/>
      <c r="G1" s="856"/>
    </row>
    <row r="2" spans="1:7" ht="15" customHeight="1" thickBot="1" x14ac:dyDescent="0.25">
      <c r="A2" s="2277" t="s">
        <v>498</v>
      </c>
      <c r="B2" s="2278"/>
      <c r="C2" s="2278"/>
      <c r="D2" s="2278"/>
      <c r="E2" s="2278"/>
      <c r="F2" s="227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0"/>
      <c r="B5" s="2281"/>
      <c r="C5" s="2281"/>
      <c r="D5" s="2281"/>
      <c r="E5" s="2281"/>
      <c r="F5" s="2281"/>
    </row>
    <row r="6" spans="1:7" ht="13.5" customHeight="1" thickBot="1" x14ac:dyDescent="0.25">
      <c r="A6" s="2271" t="s">
        <v>1166</v>
      </c>
      <c r="B6" s="2272"/>
      <c r="C6" s="2272"/>
      <c r="D6" s="2272"/>
      <c r="E6" s="2272"/>
      <c r="F6" s="227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22567433</v>
      </c>
      <c r="G8" s="866"/>
    </row>
    <row r="9" spans="1:7" x14ac:dyDescent="0.2">
      <c r="A9" s="870" t="s">
        <v>480</v>
      </c>
      <c r="B9" s="871" t="s">
        <v>1989</v>
      </c>
      <c r="C9" s="872"/>
      <c r="D9" s="870" t="s">
        <v>522</v>
      </c>
      <c r="E9" s="869"/>
      <c r="F9" s="1935">
        <f>'Expenditures 15-22'!K151</f>
        <v>2364691</v>
      </c>
      <c r="G9" s="873"/>
    </row>
    <row r="10" spans="1:7" x14ac:dyDescent="0.2">
      <c r="A10" s="870" t="s">
        <v>520</v>
      </c>
      <c r="B10" s="871" t="s">
        <v>1990</v>
      </c>
      <c r="C10" s="872"/>
      <c r="D10" s="870" t="s">
        <v>522</v>
      </c>
      <c r="E10" s="869"/>
      <c r="F10" s="1935">
        <f>'Expenditures 15-22'!K174</f>
        <v>3043150</v>
      </c>
      <c r="G10" s="873"/>
    </row>
    <row r="11" spans="1:7" x14ac:dyDescent="0.2">
      <c r="A11" s="870" t="s">
        <v>481</v>
      </c>
      <c r="B11" s="871" t="s">
        <v>1991</v>
      </c>
      <c r="C11" s="872"/>
      <c r="D11" s="870" t="s">
        <v>522</v>
      </c>
      <c r="E11" s="869"/>
      <c r="F11" s="1935">
        <f>'Expenditures 15-22'!K210</f>
        <v>2440993</v>
      </c>
      <c r="G11" s="873"/>
    </row>
    <row r="12" spans="1:7" x14ac:dyDescent="0.2">
      <c r="A12" s="870" t="s">
        <v>482</v>
      </c>
      <c r="B12" s="871" t="s">
        <v>1992</v>
      </c>
      <c r="C12" s="872"/>
      <c r="D12" s="870" t="s">
        <v>522</v>
      </c>
      <c r="E12" s="869"/>
      <c r="F12" s="1935">
        <f>'Expenditures 15-22'!K295</f>
        <v>789651</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31205918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192018</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155798</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32917</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8152</v>
      </c>
      <c r="G52" s="866"/>
    </row>
    <row r="53" spans="1:7" x14ac:dyDescent="0.2">
      <c r="A53" s="870" t="s">
        <v>479</v>
      </c>
      <c r="B53" s="870" t="s">
        <v>1551</v>
      </c>
      <c r="C53" s="890">
        <f>'Expenditures 15-22'!B102</f>
        <v>4000</v>
      </c>
      <c r="D53" s="889" t="str">
        <f>'Expenditures 15-22'!A102</f>
        <v>Total Payments to Other Govt Units</v>
      </c>
      <c r="E53" s="869"/>
      <c r="F53" s="1939">
        <f>'Expenditures 15-22'!K102</f>
        <v>909558</v>
      </c>
      <c r="G53" s="866"/>
    </row>
    <row r="54" spans="1:7" x14ac:dyDescent="0.2">
      <c r="A54" s="870" t="s">
        <v>479</v>
      </c>
      <c r="B54" s="870" t="s">
        <v>1552</v>
      </c>
      <c r="C54" s="890" t="s">
        <v>1039</v>
      </c>
      <c r="D54" s="886" t="s">
        <v>1157</v>
      </c>
      <c r="E54" s="869"/>
      <c r="F54" s="1939">
        <f>'Expenditures 15-22'!G114</f>
        <v>393799</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93915</v>
      </c>
      <c r="G57" s="866"/>
    </row>
    <row r="58" spans="1:7" x14ac:dyDescent="0.2">
      <c r="A58" s="870" t="s">
        <v>480</v>
      </c>
      <c r="B58" s="870" t="s">
        <v>1995</v>
      </c>
      <c r="C58" s="887" t="s">
        <v>1039</v>
      </c>
      <c r="D58" s="886" t="s">
        <v>1157</v>
      </c>
      <c r="E58" s="869"/>
      <c r="F58" s="1941">
        <f>'Expenditures 15-22'!G151</f>
        <v>250386</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2415000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243455</v>
      </c>
      <c r="G64" s="866"/>
    </row>
    <row r="65" spans="1:8" x14ac:dyDescent="0.2">
      <c r="A65" s="870" t="s">
        <v>481</v>
      </c>
      <c r="B65" s="870" t="s">
        <v>2002</v>
      </c>
      <c r="C65" s="887" t="s">
        <v>1039</v>
      </c>
      <c r="D65" s="886" t="s">
        <v>1157</v>
      </c>
      <c r="E65" s="869"/>
      <c r="F65" s="1939">
        <f>'Expenditures 15-22'!G210</f>
        <v>201124</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1952</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1681</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672</v>
      </c>
      <c r="G71" s="866"/>
    </row>
    <row r="72" spans="1:8" x14ac:dyDescent="0.2">
      <c r="A72" s="870" t="s">
        <v>482</v>
      </c>
      <c r="B72" s="870" t="s">
        <v>2008</v>
      </c>
      <c r="C72" s="887">
        <f>'Expenditures 15-22'!B280</f>
        <v>3000</v>
      </c>
      <c r="D72" s="877" t="s">
        <v>469</v>
      </c>
      <c r="E72" s="869"/>
      <c r="F72" s="1939">
        <f>'Expenditures 15-22'!K280</f>
        <v>547</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60741</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4961715</v>
      </c>
      <c r="G76" s="866"/>
    </row>
    <row r="77" spans="1:8" s="894" customFormat="1" ht="12" customHeight="1" thickTop="1" thickBot="1" x14ac:dyDescent="0.25">
      <c r="A77" s="1801"/>
      <c r="B77" s="1798"/>
      <c r="C77" s="1794"/>
      <c r="D77" s="1799" t="s">
        <v>2012</v>
      </c>
      <c r="E77" s="1796"/>
      <c r="F77" s="1802">
        <f>(F14-F76)</f>
        <v>26244203</v>
      </c>
      <c r="G77" s="870"/>
    </row>
    <row r="78" spans="1:8" s="894" customFormat="1" ht="12" customHeight="1" thickTop="1" x14ac:dyDescent="0.2">
      <c r="A78" s="1803"/>
      <c r="B78" s="1798"/>
      <c r="C78" s="1794"/>
      <c r="D78" s="1799" t="s">
        <v>2059</v>
      </c>
      <c r="E78" s="1796"/>
      <c r="F78" s="899">
        <v>1954.06</v>
      </c>
      <c r="G78" s="900"/>
      <c r="H78" s="870"/>
    </row>
    <row r="79" spans="1:8" s="894" customFormat="1" ht="12" customHeight="1" thickBot="1" x14ac:dyDescent="0.25">
      <c r="A79" s="1804"/>
      <c r="B79" s="1798"/>
      <c r="C79" s="1794"/>
      <c r="D79" s="1799" t="s">
        <v>2013</v>
      </c>
      <c r="E79" s="1796" t="s">
        <v>1015</v>
      </c>
      <c r="F79" s="1805">
        <f>IF(F78&gt;0,F77/F78," Complete Line 78")</f>
        <v>13430.60243800088</v>
      </c>
      <c r="G79" s="870"/>
    </row>
    <row r="80" spans="1:8" s="894" customFormat="1" ht="8.25" customHeight="1" thickTop="1" x14ac:dyDescent="0.2">
      <c r="A80" s="901"/>
      <c r="B80" s="870"/>
      <c r="C80" s="872"/>
      <c r="D80" s="902"/>
      <c r="E80" s="869"/>
      <c r="F80" s="903"/>
      <c r="G80" s="870"/>
    </row>
    <row r="81" spans="1:7" s="894" customFormat="1" ht="12" thickBot="1" x14ac:dyDescent="0.25">
      <c r="A81" s="2271" t="s">
        <v>1167</v>
      </c>
      <c r="B81" s="2272"/>
      <c r="C81" s="2272"/>
      <c r="D81" s="2272"/>
      <c r="E81" s="2272"/>
      <c r="F81" s="227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630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5434</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41703</v>
      </c>
      <c r="G95" s="913"/>
    </row>
    <row r="96" spans="1:7" x14ac:dyDescent="0.2">
      <c r="A96" s="909" t="s">
        <v>479</v>
      </c>
      <c r="B96" s="909" t="s">
        <v>178</v>
      </c>
      <c r="C96" s="911">
        <f>'Revenues 9-14'!B84</f>
        <v>1811</v>
      </c>
      <c r="D96" s="912" t="str">
        <f>'Revenues 9-14'!A84</f>
        <v>Rentals - Regular Textbooks</v>
      </c>
      <c r="E96" s="907"/>
      <c r="F96" s="1811">
        <f>'Revenues 9-14'!C84</f>
        <v>490603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7596</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302092</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138562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17070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765495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9990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14237</v>
      </c>
      <c r="G129" s="931"/>
    </row>
    <row r="130" spans="1:7" x14ac:dyDescent="0.2">
      <c r="A130" s="928" t="s">
        <v>689</v>
      </c>
      <c r="B130" s="928" t="s">
        <v>804</v>
      </c>
      <c r="C130" s="933">
        <v>4300</v>
      </c>
      <c r="D130" s="934" t="str">
        <f>'Revenues 9-14'!A211</f>
        <v>Total Title I</v>
      </c>
      <c r="E130" s="907"/>
      <c r="F130" s="1811">
        <f>SUM('Revenues 9-14'!C211,'Revenues 9-14'!D211,'Revenues 9-14'!F211,'Revenues 9-14'!G211)</f>
        <v>180174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232471</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22569</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40295</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17278</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57046</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3018</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2346263</v>
      </c>
    </row>
    <row r="179" spans="1:7" ht="12" customHeight="1" x14ac:dyDescent="0.2">
      <c r="A179" s="1792"/>
      <c r="B179" s="1806"/>
      <c r="C179" s="1807"/>
      <c r="D179" s="1808" t="s">
        <v>2015</v>
      </c>
      <c r="E179" s="1809"/>
      <c r="F179" s="1811">
        <f>'PCTC-OEPP 27-28'!F77-F178</f>
        <v>23897940</v>
      </c>
    </row>
    <row r="180" spans="1:7" ht="12" customHeight="1" x14ac:dyDescent="0.2">
      <c r="A180" s="1792"/>
      <c r="B180" s="1806"/>
      <c r="C180" s="1807"/>
      <c r="D180" s="1808" t="s">
        <v>1924</v>
      </c>
      <c r="E180" s="1809"/>
      <c r="F180" s="1811">
        <f>'Cap Outlay Deprec 26'!I18</f>
        <v>2002758</v>
      </c>
    </row>
    <row r="181" spans="1:7" ht="12" customHeight="1" x14ac:dyDescent="0.2">
      <c r="A181" s="1792"/>
      <c r="B181" s="1806"/>
      <c r="C181" s="1807"/>
      <c r="D181" s="1808" t="s">
        <v>2016</v>
      </c>
      <c r="E181" s="1809"/>
      <c r="F181" s="1811">
        <f>F179+F180</f>
        <v>25900698</v>
      </c>
    </row>
    <row r="182" spans="1:7" ht="12" customHeight="1" x14ac:dyDescent="0.2">
      <c r="A182" s="1792"/>
      <c r="B182" s="1812"/>
      <c r="C182" s="1807"/>
      <c r="D182" s="1808" t="str">
        <f>D78</f>
        <v>9 Month ADA from District Average Daily Attendance/Prior General State Aid Inquiry 2017-2018</v>
      </c>
      <c r="E182" s="1809"/>
      <c r="F182" s="1813">
        <f>'PCTC-OEPP 27-28'!F78</f>
        <v>1954.06</v>
      </c>
      <c r="G182" s="931"/>
    </row>
    <row r="183" spans="1:7" ht="12" customHeight="1" thickBot="1" x14ac:dyDescent="0.25">
      <c r="A183" s="1792"/>
      <c r="B183" s="1812"/>
      <c r="C183" s="1807"/>
      <c r="D183" s="1808" t="s">
        <v>2017</v>
      </c>
      <c r="E183" s="1809" t="s">
        <v>1626</v>
      </c>
      <c r="F183" s="1814">
        <f>F181/F182</f>
        <v>13254.812032383858</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3" sqref="A3"/>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5" t="s">
        <v>1925</v>
      </c>
      <c r="B4" s="2286"/>
      <c r="C4" s="2286"/>
      <c r="D4" s="2286"/>
      <c r="E4" s="2286"/>
      <c r="F4" s="2286"/>
      <c r="G4" s="2287"/>
    </row>
    <row r="5" spans="1:7" x14ac:dyDescent="0.25">
      <c r="A5" s="2288"/>
      <c r="B5" s="2289"/>
      <c r="C5" s="2289"/>
      <c r="D5" s="2289"/>
      <c r="E5" s="2289"/>
      <c r="F5" s="2289"/>
      <c r="G5" s="2290"/>
    </row>
    <row r="6" spans="1:7" ht="18.75" x14ac:dyDescent="0.25">
      <c r="A6" s="1556" t="s">
        <v>1926</v>
      </c>
      <c r="B6" s="1557"/>
      <c r="C6" s="1557"/>
      <c r="D6" s="1557"/>
      <c r="E6" s="1557"/>
      <c r="F6" s="1557"/>
      <c r="G6" s="1558"/>
    </row>
    <row r="7" spans="1:7" ht="30.75" customHeight="1" x14ac:dyDescent="0.25">
      <c r="A7" s="2291" t="s">
        <v>2075</v>
      </c>
      <c r="B7" s="2292"/>
      <c r="C7" s="2292"/>
      <c r="D7" s="2292"/>
      <c r="E7" s="2292"/>
      <c r="F7" s="2292"/>
      <c r="G7" s="2293"/>
    </row>
    <row r="8" spans="1:7" ht="15.75" customHeight="1" x14ac:dyDescent="0.25">
      <c r="A8" s="2294" t="s">
        <v>2024</v>
      </c>
      <c r="B8" s="2295"/>
      <c r="C8" s="2295"/>
      <c r="D8" s="2295"/>
      <c r="E8" s="2295"/>
      <c r="F8" s="2295"/>
      <c r="G8" s="2296"/>
    </row>
    <row r="9" spans="1:7" ht="35.25" customHeight="1" x14ac:dyDescent="0.25">
      <c r="A9" s="2291" t="s">
        <v>2023</v>
      </c>
      <c r="B9" s="2292"/>
      <c r="C9" s="2292"/>
      <c r="D9" s="2292"/>
      <c r="E9" s="2292"/>
      <c r="F9" s="2292"/>
      <c r="G9" s="2293"/>
    </row>
    <row r="10" spans="1:7" ht="15" customHeight="1" x14ac:dyDescent="0.25">
      <c r="A10" s="1559" t="s">
        <v>1927</v>
      </c>
      <c r="B10" s="1560"/>
      <c r="C10" s="1560"/>
      <c r="D10" s="1560"/>
      <c r="E10" s="1560"/>
      <c r="F10" s="1560"/>
      <c r="G10" s="1561"/>
    </row>
    <row r="11" spans="1:7" ht="17.25" customHeight="1" x14ac:dyDescent="0.25">
      <c r="A11" s="2291" t="s">
        <v>1941</v>
      </c>
      <c r="B11" s="2292"/>
      <c r="C11" s="2292"/>
      <c r="D11" s="2292"/>
      <c r="E11" s="2292"/>
      <c r="F11" s="2292"/>
      <c r="G11" s="2293"/>
    </row>
    <row r="12" spans="1:7" ht="15" customHeight="1" x14ac:dyDescent="0.25">
      <c r="A12" s="1559" t="s">
        <v>1932</v>
      </c>
      <c r="B12" s="1560"/>
      <c r="C12" s="1560"/>
      <c r="D12" s="1560"/>
      <c r="E12" s="1560"/>
      <c r="F12" s="1560"/>
      <c r="G12" s="1561"/>
    </row>
    <row r="13" spans="1:7" ht="32.25" customHeight="1" x14ac:dyDescent="0.25">
      <c r="A13" s="2282" t="s">
        <v>1933</v>
      </c>
      <c r="B13" s="2283"/>
      <c r="C13" s="2283"/>
      <c r="D13" s="2283"/>
      <c r="E13" s="2283"/>
      <c r="F13" s="2283"/>
      <c r="G13" s="2284"/>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B6" sqref="B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7" t="s">
        <v>1778</v>
      </c>
      <c r="B5" s="2298"/>
      <c r="C5" s="2298"/>
      <c r="D5" s="2298"/>
      <c r="E5" s="2298"/>
      <c r="F5" s="2298"/>
      <c r="G5" s="2299"/>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2" t="s">
        <v>1945</v>
      </c>
      <c r="B11" s="2303"/>
      <c r="C11" s="2303"/>
      <c r="D11" s="2304"/>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14614114</v>
      </c>
      <c r="F19" s="1822"/>
      <c r="G19" s="1824">
        <f>'Expenditures 15-22'!K33-SUM('Expenditures 15-22'!G33,'Expenditures 15-22'!I33)+'Expenditures 15-22'!D229</f>
        <v>14614114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1442213</v>
      </c>
      <c r="F21" s="1825"/>
      <c r="G21" s="1828">
        <f>'Expenditures 15-22'!K42-SUM('Expenditures 15-22'!G42,'Expenditures 15-22'!I42)+'Expenditures 15-22'!K120-SUM('Expenditures 15-22'!G120,'Expenditures 15-22'!I120)+'Expenditures 15-22'!K180-SUM('Expenditures 15-22'!G180,'Expenditures 15-22'!I180)+'Expenditures 15-22'!D238</f>
        <v>1442213</v>
      </c>
      <c r="H21" s="988"/>
      <c r="I21" s="162"/>
    </row>
    <row r="22" spans="1:9" s="669" customFormat="1" ht="12" customHeight="1" x14ac:dyDescent="0.2">
      <c r="A22" s="995" t="s">
        <v>585</v>
      </c>
      <c r="B22" s="996"/>
      <c r="C22" s="994">
        <v>2200</v>
      </c>
      <c r="D22" s="1825"/>
      <c r="E22" s="1827">
        <f>'Expenditures 15-22'!K47-SUM('Expenditures 15-22'!G47,'Expenditures 15-22'!I47)+'Expenditures 15-22'!D243</f>
        <v>2125078</v>
      </c>
      <c r="F22" s="1825"/>
      <c r="G22" s="1828">
        <f>'Expenditures 15-22'!K47-SUM('Expenditures 15-22'!G47,'Expenditures 15-22'!I47)+'Expenditures 15-22'!D243</f>
        <v>2125078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1091079</v>
      </c>
      <c r="F23" s="1825"/>
      <c r="G23" s="1827">
        <f>'Expenditures 15-22'!K53-SUM('Expenditures 15-22'!G53,'Expenditures 15-22'!I53)+'Expenditures 15-22'!D257+'Expenditures 15-22'!K330-SUM('Expenditures 15-22'!G330,'Expenditures 15-22'!I330)</f>
        <v>1091079</v>
      </c>
      <c r="H23" s="988"/>
      <c r="I23" s="162"/>
    </row>
    <row r="24" spans="1:9" s="669" customFormat="1" ht="12" customHeight="1" x14ac:dyDescent="0.2">
      <c r="A24" s="995" t="s">
        <v>587</v>
      </c>
      <c r="B24" s="996"/>
      <c r="C24" s="994">
        <v>2400</v>
      </c>
      <c r="D24" s="1825"/>
      <c r="E24" s="1827">
        <f>'Expenditures 15-22'!K57-SUM('Expenditures 15-22'!G57,'Expenditures 15-22'!I57)+'Expenditures 15-22'!D261</f>
        <v>1441479</v>
      </c>
      <c r="F24" s="1825"/>
      <c r="G24" s="1828">
        <f>'Expenditures 15-22'!K57-SUM('Expenditures 15-22'!G57,'Expenditures 15-22'!I57)+'Expenditures 15-22'!D261</f>
        <v>1441479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578403</v>
      </c>
      <c r="E26" s="1827">
        <f>'Expenditures 15-22'!K122-SUM('Expenditures 15-22'!G122,'Expenditures 15-22'!I122)+E7</f>
        <v>0</v>
      </c>
      <c r="F26" s="1827">
        <f>'Expenditures 15-22'!K59-SUM('Expenditures 15-22'!G59,'Expenditures 15-22'!I59)+'Expenditures 15-22'!D263-E7</f>
        <v>578403</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2081150</v>
      </c>
      <c r="F28" s="1829">
        <f>'Expenditures 15-22'!K61-SUM('Expenditures 15-22'!G61,'Expenditures 15-22'!I61)+'Expenditures 15-22'!K124-SUM('Expenditures 15-22'!G124,'Expenditures 15-22'!I124)+'Expenditures 15-22'!D266-E9</f>
        <v>2081150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2191072</v>
      </c>
      <c r="F29" s="1825"/>
      <c r="G29" s="1828">
        <f>'Expenditures 15-22'!K62-SUM('Expenditures 15-22'!G62,'Expenditures 15-22'!I62)+'Expenditures 15-22'!K125-SUM('Expenditures 15-22'!G125,'Expenditures 15-22'!I125)+'Expenditures 15-22'!K182-SUM('Expenditures 15-22'!G182,'Expenditures 15-22'!I182)+'Expenditures 15-22'!D267</f>
        <v>2191072</v>
      </c>
      <c r="H29" s="986"/>
    </row>
    <row r="30" spans="1:9" ht="12" customHeight="1" x14ac:dyDescent="0.2">
      <c r="A30" s="995" t="s">
        <v>102</v>
      </c>
      <c r="B30" s="998"/>
      <c r="C30" s="994">
        <v>2560</v>
      </c>
      <c r="D30" s="1825"/>
      <c r="E30" s="1827">
        <f>'Expenditures 15-22'!K63-SUM('Expenditures 15-22'!G63,'Expenditures 15-22'!I63)+'Expenditures 15-22'!D268-E10</f>
        <v>117342</v>
      </c>
      <c r="F30" s="1825"/>
      <c r="G30" s="1827">
        <f>'Expenditures 15-22'!K63-SUM('Expenditures 15-22'!G63,'Expenditures 15-22'!I63)+'Expenditures 15-22'!D268-E10</f>
        <v>117342</v>
      </c>
    </row>
    <row r="31" spans="1:9" ht="12" customHeight="1" x14ac:dyDescent="0.2">
      <c r="A31" s="995" t="s">
        <v>103</v>
      </c>
      <c r="B31" s="998"/>
      <c r="C31" s="994">
        <v>2570</v>
      </c>
      <c r="D31" s="1827">
        <f>'Expenditures 15-22'!K64-SUM('Expenditures 15-22'!G64,'Expenditures 15-22'!I64)+'Expenditures 15-22'!D269-E12</f>
        <v>190284</v>
      </c>
      <c r="E31" s="1827">
        <f>E12</f>
        <v>0</v>
      </c>
      <c r="F31" s="1827">
        <f>'Expenditures 15-22'!K64-SUM('Expenditures 15-22'!G64,'Expenditures 15-22'!I64)+'Expenditures 15-22'!D269-E12</f>
        <v>190284</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106299</v>
      </c>
      <c r="F35" s="1825"/>
      <c r="G35" s="1827">
        <f>'Expenditures 15-22'!K69-SUM('Expenditures 15-22'!G69,'Expenditures 15-22'!I69)+'Expenditures 15-22'!D274</f>
        <v>106299</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10175</v>
      </c>
      <c r="E37" s="1827">
        <f>E14</f>
        <v>0</v>
      </c>
      <c r="F37" s="1827">
        <f>'Expenditures 15-22'!K71-SUM('Expenditures 15-22'!G71,'Expenditures 15-22'!I71)+'Expenditures 15-22'!D276-E14</f>
        <v>10175</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8699</v>
      </c>
      <c r="F39" s="1825"/>
      <c r="G39" s="1827">
        <f>'Expenditures 15-22'!K75-SUM('Expenditures 15-22'!G75,'Expenditures 15-22'!I75)+'Expenditures 15-22'!K130-SUM('Expenditures 15-22'!G130,'Expenditures 15-22'!I130)+'Expenditures 15-22'!K185-SUM('Expenditures 15-22'!G185,'Expenditures 15-22'!I185)+'Expenditures 15-22'!D280</f>
        <v>8699</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778862</v>
      </c>
      <c r="E41" s="1829">
        <f>SUM(E19:E40)</f>
        <v>25218525</v>
      </c>
      <c r="F41" s="1829">
        <f>SUM(F19:F39)</f>
        <v>2860012</v>
      </c>
      <c r="G41" s="1829">
        <f>SUM(G19:G40)</f>
        <v>23137375</v>
      </c>
    </row>
    <row r="42" spans="1:7" x14ac:dyDescent="0.2">
      <c r="A42" s="988"/>
      <c r="B42" s="162"/>
      <c r="C42" s="1002"/>
      <c r="D42" s="2300" t="s">
        <v>543</v>
      </c>
      <c r="E42" s="2301"/>
      <c r="F42" s="1003" t="s">
        <v>544</v>
      </c>
      <c r="G42" s="1004"/>
    </row>
    <row r="43" spans="1:7" ht="12" customHeight="1" x14ac:dyDescent="0.2">
      <c r="A43" s="988"/>
      <c r="B43" s="162"/>
      <c r="C43" s="1002"/>
      <c r="D43" s="1830" t="s">
        <v>493</v>
      </c>
      <c r="E43" s="1831">
        <f>D41</f>
        <v>778862</v>
      </c>
      <c r="F43" s="1830" t="s">
        <v>495</v>
      </c>
      <c r="G43" s="1831">
        <f>F41</f>
        <v>2860012</v>
      </c>
    </row>
    <row r="44" spans="1:7" ht="12" customHeight="1" x14ac:dyDescent="0.2">
      <c r="A44" s="988"/>
      <c r="B44" s="162"/>
      <c r="C44" s="1002"/>
      <c r="D44" s="1830" t="s">
        <v>494</v>
      </c>
      <c r="E44" s="1831">
        <f>E41</f>
        <v>25218525</v>
      </c>
      <c r="F44" s="1830" t="s">
        <v>494</v>
      </c>
      <c r="G44" s="1831">
        <f>G41</f>
        <v>23137375</v>
      </c>
    </row>
    <row r="45" spans="1:7" ht="12" customHeight="1" x14ac:dyDescent="0.2">
      <c r="A45" s="988"/>
      <c r="B45" s="162"/>
      <c r="C45" s="162"/>
      <c r="D45" s="1832" t="s">
        <v>1063</v>
      </c>
      <c r="E45" s="1833">
        <f>(E43/E44)</f>
        <v>3.0884518424451866E-2</v>
      </c>
      <c r="F45" s="1832" t="s">
        <v>1063</v>
      </c>
      <c r="G45" s="1833">
        <f>(G43/G44)</f>
        <v>0.12361004651564839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B6" sqref="B6"/>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08" t="s">
        <v>1446</v>
      </c>
      <c r="B1" s="2308"/>
      <c r="C1" s="2308"/>
      <c r="D1" s="2308"/>
      <c r="E1" s="2308"/>
      <c r="F1" s="2308"/>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09" t="s">
        <v>1627</v>
      </c>
      <c r="B5" s="2310"/>
      <c r="C5" s="2311"/>
      <c r="D5" s="2311"/>
      <c r="E5" s="2311"/>
      <c r="F5" s="2311"/>
    </row>
    <row r="6" spans="1:10" ht="12" customHeight="1" x14ac:dyDescent="0.25">
      <c r="A6" s="1875"/>
      <c r="B6" s="1876"/>
      <c r="C6" s="2312" t="str">
        <f>COVER!A17</f>
        <v>Fremont SD 79</v>
      </c>
      <c r="D6" s="2312"/>
      <c r="E6" s="2312"/>
      <c r="F6" s="1877"/>
    </row>
    <row r="7" spans="1:10" ht="11.25" customHeight="1" thickBot="1" x14ac:dyDescent="0.3">
      <c r="A7" s="1875"/>
      <c r="B7" s="1876"/>
      <c r="C7" s="2313">
        <f>COVER!A13</f>
        <v>34049079002</v>
      </c>
      <c r="D7" s="2313"/>
      <c r="E7" s="2313"/>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t="s">
        <v>2077</v>
      </c>
      <c r="D11" s="1890" t="s">
        <v>2077</v>
      </c>
      <c r="E11" s="1891" t="s">
        <v>2077</v>
      </c>
      <c r="F11" s="1892" t="s">
        <v>2094</v>
      </c>
      <c r="H11" s="1903">
        <f>IF(C11="X",5,0)</f>
        <v>5</v>
      </c>
      <c r="I11" s="1903">
        <f>IF(D11="X",5,0)</f>
        <v>5</v>
      </c>
      <c r="J11" s="1903">
        <f>IF(E11="X",5,0)</f>
        <v>5</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2077</v>
      </c>
      <c r="D13" s="1890" t="s">
        <v>2077</v>
      </c>
      <c r="E13" s="1893" t="s">
        <v>2077</v>
      </c>
      <c r="F13" s="1892" t="s">
        <v>2095</v>
      </c>
      <c r="H13" s="1903">
        <f t="shared" si="0"/>
        <v>5</v>
      </c>
      <c r="I13" s="1903">
        <f t="shared" si="1"/>
        <v>5</v>
      </c>
      <c r="J13" s="1903">
        <f t="shared" si="2"/>
        <v>5</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t="s">
        <v>2077</v>
      </c>
      <c r="D23" s="1890" t="s">
        <v>2077</v>
      </c>
      <c r="E23" s="1893" t="s">
        <v>2077</v>
      </c>
      <c r="F23" s="1892" t="s">
        <v>2096</v>
      </c>
      <c r="H23" s="1903">
        <f t="shared" si="0"/>
        <v>5</v>
      </c>
      <c r="I23" s="1903">
        <f t="shared" si="1"/>
        <v>5</v>
      </c>
      <c r="J23" s="1903">
        <f t="shared" si="2"/>
        <v>5</v>
      </c>
    </row>
    <row r="24" spans="1:12" ht="12" customHeight="1" x14ac:dyDescent="0.2">
      <c r="A24" s="1888" t="s">
        <v>1613</v>
      </c>
      <c r="B24" s="1889"/>
      <c r="C24" s="1890" t="s">
        <v>2077</v>
      </c>
      <c r="D24" s="1890" t="s">
        <v>2077</v>
      </c>
      <c r="E24" s="1893" t="s">
        <v>2077</v>
      </c>
      <c r="F24" s="1892" t="s">
        <v>2097</v>
      </c>
      <c r="H24" s="1903">
        <f t="shared" si="0"/>
        <v>5</v>
      </c>
      <c r="I24" s="1903">
        <f t="shared" si="1"/>
        <v>5</v>
      </c>
      <c r="J24" s="1903">
        <f t="shared" si="2"/>
        <v>5</v>
      </c>
    </row>
    <row r="25" spans="1:12" ht="12" customHeight="1" x14ac:dyDescent="0.2">
      <c r="A25" s="1888" t="s">
        <v>1614</v>
      </c>
      <c r="B25" s="1889"/>
      <c r="C25" s="1890" t="s">
        <v>2077</v>
      </c>
      <c r="D25" s="1890" t="s">
        <v>2077</v>
      </c>
      <c r="E25" s="1893" t="s">
        <v>2077</v>
      </c>
      <c r="F25" s="1892" t="s">
        <v>2098</v>
      </c>
      <c r="H25" s="1903">
        <f t="shared" si="0"/>
        <v>5</v>
      </c>
      <c r="I25" s="1903">
        <f t="shared" si="1"/>
        <v>5</v>
      </c>
      <c r="J25" s="1903">
        <f t="shared" si="2"/>
        <v>5</v>
      </c>
    </row>
    <row r="26" spans="1:12" ht="12" customHeight="1" x14ac:dyDescent="0.2">
      <c r="A26" s="1888" t="s">
        <v>1615</v>
      </c>
      <c r="B26" s="1889"/>
      <c r="C26" s="1890" t="s">
        <v>2077</v>
      </c>
      <c r="D26" s="1890" t="s">
        <v>2077</v>
      </c>
      <c r="E26" s="1893" t="s">
        <v>2077</v>
      </c>
      <c r="F26" s="1892" t="s">
        <v>2099</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t="s">
        <v>2077</v>
      </c>
      <c r="F30" s="1892" t="s">
        <v>2100</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2077</v>
      </c>
      <c r="D32" s="1890" t="s">
        <v>2077</v>
      </c>
      <c r="E32" s="1893" t="s">
        <v>2077</v>
      </c>
      <c r="F32" s="1892" t="s">
        <v>2101</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40</v>
      </c>
      <c r="I34" s="1903">
        <f>SUM(I11:I32)</f>
        <v>40</v>
      </c>
      <c r="J34" s="1903">
        <f>SUM(J11:J32)</f>
        <v>40</v>
      </c>
      <c r="K34" s="1903">
        <f>SUM(H34:J34)</f>
        <v>120</v>
      </c>
    </row>
    <row r="35" spans="1:11" ht="12" customHeight="1" x14ac:dyDescent="0.2">
      <c r="A35" s="1896" t="s">
        <v>1459</v>
      </c>
      <c r="B35" s="1897"/>
      <c r="C35" s="2314"/>
      <c r="D35" s="2314"/>
      <c r="E35" s="2314"/>
      <c r="F35" s="2315"/>
    </row>
    <row r="36" spans="1:11" ht="12" customHeight="1" x14ac:dyDescent="0.2">
      <c r="A36" s="2305"/>
      <c r="B36" s="2306"/>
      <c r="C36" s="2306"/>
      <c r="D36" s="2306"/>
      <c r="E36" s="2306"/>
      <c r="F36" s="2307"/>
    </row>
    <row r="37" spans="1:11" ht="12" customHeight="1" x14ac:dyDescent="0.2">
      <c r="A37" s="2305"/>
      <c r="B37" s="2306"/>
      <c r="C37" s="2306"/>
      <c r="D37" s="2306"/>
      <c r="E37" s="2306"/>
      <c r="F37" s="2307"/>
    </row>
    <row r="38" spans="1:11" ht="12" customHeight="1" x14ac:dyDescent="0.2">
      <c r="A38" s="2319"/>
      <c r="B38" s="2320"/>
      <c r="C38" s="2320"/>
      <c r="D38" s="2320"/>
      <c r="E38" s="2320"/>
      <c r="F38" s="2321"/>
    </row>
    <row r="39" spans="1:11" ht="4.5" hidden="1" customHeight="1" x14ac:dyDescent="0.2">
      <c r="A39" s="1898"/>
      <c r="B39" s="1898"/>
      <c r="C39" s="1898"/>
      <c r="D39" s="1898"/>
      <c r="E39" s="1898"/>
      <c r="F39" s="1898"/>
    </row>
    <row r="40" spans="1:11" s="1895" customFormat="1" ht="12" customHeight="1" x14ac:dyDescent="0.25">
      <c r="A40" s="1899" t="s">
        <v>1458</v>
      </c>
      <c r="B40" s="1900"/>
      <c r="C40" s="2322"/>
      <c r="D40" s="2322"/>
      <c r="E40" s="2322"/>
      <c r="F40" s="2323"/>
      <c r="H40" s="1904"/>
      <c r="I40" s="1904"/>
      <c r="J40" s="1904"/>
      <c r="K40" s="1904"/>
    </row>
    <row r="41" spans="1:11" s="1895" customFormat="1" ht="12" customHeight="1" x14ac:dyDescent="0.25">
      <c r="A41" s="2324"/>
      <c r="B41" s="2325"/>
      <c r="C41" s="2325"/>
      <c r="D41" s="2325"/>
      <c r="E41" s="2325"/>
      <c r="F41" s="2326"/>
      <c r="H41" s="1904"/>
      <c r="I41" s="1904"/>
      <c r="J41" s="1904"/>
      <c r="K41" s="1904"/>
    </row>
    <row r="42" spans="1:11" s="1895" customFormat="1" ht="12" customHeight="1" x14ac:dyDescent="0.25">
      <c r="A42" s="2324"/>
      <c r="B42" s="2325"/>
      <c r="C42" s="2325"/>
      <c r="D42" s="2325"/>
      <c r="E42" s="2325"/>
      <c r="F42" s="2326"/>
      <c r="H42" s="1904"/>
      <c r="I42" s="1904"/>
      <c r="J42" s="1904"/>
      <c r="K42" s="1904"/>
    </row>
    <row r="43" spans="1:11" s="1895" customFormat="1" ht="15" x14ac:dyDescent="0.25">
      <c r="A43" s="2316"/>
      <c r="B43" s="2317"/>
      <c r="C43" s="2317"/>
      <c r="D43" s="2317"/>
      <c r="E43" s="2317"/>
      <c r="F43" s="2318"/>
      <c r="H43" s="1904"/>
      <c r="I43" s="1904"/>
      <c r="J43" s="1904"/>
      <c r="K43" s="1904"/>
    </row>
    <row r="44" spans="1:11" s="1895" customFormat="1" ht="12" hidden="1" customHeight="1" x14ac:dyDescent="0.25">
      <c r="A44" s="2316"/>
      <c r="B44" s="2317"/>
      <c r="C44" s="2317"/>
      <c r="D44" s="2317"/>
      <c r="E44" s="2317"/>
      <c r="F44" s="2318"/>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B6" sqref="B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2" t="str">
        <f>COVER!A17</f>
        <v>Fremont SD 79</v>
      </c>
      <c r="J6" s="2333"/>
      <c r="Q6" s="1686"/>
    </row>
    <row r="7" spans="1:17" x14ac:dyDescent="0.2">
      <c r="A7" s="2334" t="s">
        <v>924</v>
      </c>
      <c r="B7" s="2335"/>
      <c r="C7" s="2335"/>
      <c r="D7" s="2335"/>
      <c r="E7" s="2336"/>
      <c r="F7" s="1018"/>
      <c r="G7" s="1010"/>
      <c r="H7" s="1017" t="s">
        <v>390</v>
      </c>
      <c r="I7" s="2337">
        <f>COVER!A13</f>
        <v>34049079002</v>
      </c>
      <c r="J7" s="2337"/>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8" t="s">
        <v>502</v>
      </c>
      <c r="B11" s="2339"/>
      <c r="C11" s="234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354572</v>
      </c>
      <c r="F12" s="1040"/>
      <c r="G12" s="1834">
        <f t="shared" ref="G12:G18" si="0">SUM(E12:F12)</f>
        <v>354572</v>
      </c>
      <c r="H12" s="1041">
        <v>391500</v>
      </c>
      <c r="I12" s="1040"/>
      <c r="J12" s="1834">
        <f t="shared" ref="J12:J18" si="1">SUM(H12:I12)</f>
        <v>391500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255173</v>
      </c>
      <c r="F14" s="1040"/>
      <c r="G14" s="1834">
        <f t="shared" si="0"/>
        <v>255173</v>
      </c>
      <c r="H14" s="1041">
        <v>253500</v>
      </c>
      <c r="I14" s="1040"/>
      <c r="J14" s="1834">
        <f t="shared" si="1"/>
        <v>253500</v>
      </c>
    </row>
    <row r="15" spans="1:17" ht="15" customHeight="1" x14ac:dyDescent="0.2">
      <c r="A15" s="1036">
        <v>4</v>
      </c>
      <c r="B15" s="1037" t="s">
        <v>1128</v>
      </c>
      <c r="C15" s="1038"/>
      <c r="D15" s="1039">
        <v>2510</v>
      </c>
      <c r="E15" s="1834">
        <f>'Expenditures 15-22'!K59</f>
        <v>542765</v>
      </c>
      <c r="F15" s="1834">
        <f>'Expenditures 15-22'!K122</f>
        <v>0</v>
      </c>
      <c r="G15" s="1834">
        <f t="shared" si="0"/>
        <v>542765</v>
      </c>
      <c r="H15" s="1041">
        <v>552200</v>
      </c>
      <c r="I15" s="1041"/>
      <c r="J15" s="1834">
        <f t="shared" si="1"/>
        <v>552200</v>
      </c>
    </row>
    <row r="16" spans="1:17" ht="15" customHeight="1" x14ac:dyDescent="0.2">
      <c r="A16" s="1036">
        <v>5</v>
      </c>
      <c r="B16" s="1037" t="s">
        <v>103</v>
      </c>
      <c r="C16" s="1038"/>
      <c r="D16" s="1039">
        <v>2570</v>
      </c>
      <c r="E16" s="1834">
        <f>'Expenditures 15-22'!K64</f>
        <v>190284</v>
      </c>
      <c r="F16" s="1040"/>
      <c r="G16" s="1834">
        <f t="shared" si="0"/>
        <v>190284</v>
      </c>
      <c r="H16" s="1041">
        <v>140000</v>
      </c>
      <c r="I16" s="1040"/>
      <c r="J16" s="1834">
        <f t="shared" si="1"/>
        <v>140000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1" t="s">
        <v>7</v>
      </c>
      <c r="C18" s="2342"/>
      <c r="D18" s="2343"/>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1342794</v>
      </c>
      <c r="F19" s="1836">
        <f t="shared" si="2"/>
        <v>0</v>
      </c>
      <c r="G19" s="1836">
        <f t="shared" si="2"/>
        <v>1342794</v>
      </c>
      <c r="H19" s="1836">
        <f t="shared" si="2"/>
        <v>1337200</v>
      </c>
      <c r="I19" s="1836">
        <f t="shared" si="2"/>
        <v>0</v>
      </c>
      <c r="J19" s="1836">
        <f t="shared" si="2"/>
        <v>1337200</v>
      </c>
    </row>
    <row r="20" spans="1:10" ht="13.5" thickTop="1" x14ac:dyDescent="0.2">
      <c r="A20" s="1036">
        <v>9</v>
      </c>
      <c r="B20" s="2344" t="s">
        <v>1703</v>
      </c>
      <c r="C20" s="2344"/>
      <c r="D20" s="2345"/>
      <c r="E20" s="1047"/>
      <c r="F20" s="1047"/>
      <c r="G20" s="1047"/>
      <c r="H20" s="1047"/>
      <c r="I20" s="1047"/>
      <c r="J20" s="1837">
        <f>IF(AND(G19&gt;0,J19&gt;0),(((J19-G19)/G19)),"Enter Budget Data")</f>
        <v>-4.1659405686948255E-3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0"/>
      <c r="D26" s="2350"/>
      <c r="E26" s="1051"/>
      <c r="F26" s="2349"/>
      <c r="G26" s="2349"/>
    </row>
    <row r="27" spans="1:10" x14ac:dyDescent="0.2">
      <c r="B27" s="1048"/>
      <c r="C27" s="1052" t="s">
        <v>1093</v>
      </c>
      <c r="D27" s="1053"/>
      <c r="E27" s="1054"/>
      <c r="F27" s="2346" t="s">
        <v>1589</v>
      </c>
      <c r="G27" s="2346"/>
    </row>
    <row r="28" spans="1:10" ht="28.5" customHeight="1" x14ac:dyDescent="0.2">
      <c r="B28" s="1048"/>
      <c r="C28" s="2348"/>
      <c r="D28" s="2348"/>
      <c r="E28" s="1055"/>
      <c r="F28" s="2348"/>
      <c r="G28" s="2348"/>
    </row>
    <row r="29" spans="1:10" x14ac:dyDescent="0.2">
      <c r="B29" s="1048"/>
      <c r="C29" s="1056" t="s">
        <v>1642</v>
      </c>
      <c r="E29" s="1057"/>
      <c r="F29" s="2347" t="s">
        <v>1590</v>
      </c>
      <c r="G29" s="234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9" t="s">
        <v>134</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3"/>
    </row>
    <row r="36" spans="1:10" ht="13.5" customHeight="1" x14ac:dyDescent="0.2">
      <c r="B36" s="1062"/>
      <c r="C36" s="2331" t="s">
        <v>1944</v>
      </c>
      <c r="D36" s="2330"/>
      <c r="E36" s="2330"/>
      <c r="F36" s="2330"/>
      <c r="G36" s="2330"/>
      <c r="H36" s="2330"/>
      <c r="I36" s="2330"/>
      <c r="J36" s="1064"/>
    </row>
    <row r="37" spans="1:10" ht="22.5" customHeight="1" x14ac:dyDescent="0.2">
      <c r="C37" s="2330"/>
      <c r="D37" s="2330"/>
      <c r="E37" s="2330"/>
      <c r="F37" s="2330"/>
      <c r="G37" s="2330"/>
      <c r="H37" s="2330"/>
      <c r="I37" s="2330"/>
      <c r="J37" s="1064"/>
    </row>
    <row r="38" spans="1:10" ht="7.5" customHeight="1" x14ac:dyDescent="0.2">
      <c r="C38" s="1063"/>
      <c r="D38" s="1065"/>
      <c r="E38" s="1066"/>
      <c r="F38" s="1067"/>
      <c r="G38" s="1066"/>
    </row>
    <row r="39" spans="1:10" ht="13.5" customHeight="1" x14ac:dyDescent="0.2">
      <c r="B39" s="1062"/>
      <c r="C39" s="2327" t="s">
        <v>937</v>
      </c>
      <c r="D39" s="2328"/>
      <c r="E39" s="2328"/>
      <c r="F39" s="2328"/>
      <c r="G39" s="2328"/>
      <c r="H39" s="2328"/>
      <c r="I39" s="232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2102</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Fremont SD 79</v>
      </c>
    </row>
    <row r="65" spans="2:2" x14ac:dyDescent="0.2">
      <c r="B65" s="1071">
        <f>COVER!A13</f>
        <v>34049079002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B6" sqref="B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1" t="s">
        <v>1784</v>
      </c>
      <c r="B18" s="2351"/>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3</xdr:row>
                <xdr:rowOff>0</xdr:rowOff>
              </from>
              <to>
                <xdr:col>3</xdr:col>
                <xdr:colOff>304800</xdr:colOff>
                <xdr:row>7</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5</xdr:col>
                <xdr:colOff>0</xdr:colOff>
                <xdr:row>5</xdr:row>
                <xdr:rowOff>0</xdr:rowOff>
              </from>
              <to>
                <xdr:col>6</xdr:col>
                <xdr:colOff>304800</xdr:colOff>
                <xdr:row>9</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1790</v>
      </c>
      <c r="B1" s="2353"/>
      <c r="C1" s="2353"/>
      <c r="D1" s="2353"/>
      <c r="E1" s="2353"/>
      <c r="F1" s="2354"/>
    </row>
    <row r="2" spans="1:8" ht="45" customHeight="1" x14ac:dyDescent="0.2">
      <c r="A2" s="2362" t="s">
        <v>1791</v>
      </c>
      <c r="B2" s="2363"/>
      <c r="C2" s="2363"/>
      <c r="D2" s="2363"/>
      <c r="E2" s="2363"/>
      <c r="F2" s="2364"/>
      <c r="G2" s="1075"/>
      <c r="H2" s="1075"/>
    </row>
    <row r="3" spans="1:8" ht="57" customHeight="1" x14ac:dyDescent="0.2">
      <c r="A3" s="2365" t="s">
        <v>1786</v>
      </c>
      <c r="B3" s="2366"/>
      <c r="C3" s="2366"/>
      <c r="D3" s="2366"/>
      <c r="E3" s="2366"/>
      <c r="F3" s="2367"/>
      <c r="G3" s="1075"/>
      <c r="H3" s="1075"/>
    </row>
    <row r="4" spans="1:8" ht="14.25" customHeight="1" x14ac:dyDescent="0.2">
      <c r="A4" s="2371" t="s">
        <v>2056</v>
      </c>
      <c r="B4" s="2372"/>
      <c r="C4" s="2372"/>
      <c r="D4" s="2372"/>
      <c r="E4" s="2372"/>
      <c r="F4" s="2373"/>
      <c r="G4" s="1075"/>
      <c r="H4" s="1075"/>
    </row>
    <row r="5" spans="1:8" ht="14.25" customHeight="1" x14ac:dyDescent="0.2">
      <c r="A5" s="2374" t="s">
        <v>2057</v>
      </c>
      <c r="B5" s="2375"/>
      <c r="C5" s="2375"/>
      <c r="D5" s="2375"/>
      <c r="E5" s="2375"/>
      <c r="F5" s="2376"/>
      <c r="G5" s="1075"/>
      <c r="H5" s="1075"/>
    </row>
    <row r="6" spans="1:8" s="1076" customFormat="1" ht="41.25" customHeight="1" x14ac:dyDescent="0.2">
      <c r="A6" s="2368" t="s">
        <v>1792</v>
      </c>
      <c r="B6" s="2369"/>
      <c r="C6" s="2369"/>
      <c r="D6" s="2369"/>
      <c r="E6" s="2369"/>
      <c r="F6" s="2370"/>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24414093</v>
      </c>
      <c r="C8" s="1838">
        <f>'Acct Summary 7-8'!D8</f>
        <v>2702027</v>
      </c>
      <c r="D8" s="1838">
        <f>'Acct Summary 7-8'!F8</f>
        <v>2360830</v>
      </c>
      <c r="E8" s="1838">
        <f>'Acct Summary 7-8'!I8</f>
        <v>52430</v>
      </c>
      <c r="F8" s="1838">
        <f>SUM(B8:E8)</f>
        <v>29529380</v>
      </c>
    </row>
    <row r="9" spans="1:8" s="1080" customFormat="1" ht="14.25" customHeight="1" thickBot="1" x14ac:dyDescent="0.25">
      <c r="A9" s="1079" t="s">
        <v>1436</v>
      </c>
      <c r="B9" s="1839">
        <f>'Acct Summary 7-8'!C17</f>
        <v>22567433</v>
      </c>
      <c r="C9" s="1839">
        <f>'Acct Summary 7-8'!D17</f>
        <v>2364691</v>
      </c>
      <c r="D9" s="1839">
        <f>'Acct Summary 7-8'!F17</f>
        <v>2440993</v>
      </c>
      <c r="E9" s="1838"/>
      <c r="F9" s="1838">
        <f>SUM(B9:E9)</f>
        <v>27373117</v>
      </c>
    </row>
    <row r="10" spans="1:8" s="1080" customFormat="1" ht="14.25" thickTop="1" thickBot="1" x14ac:dyDescent="0.25">
      <c r="A10" s="1081" t="s">
        <v>1437</v>
      </c>
      <c r="B10" s="1840">
        <f>(B8-B9)</f>
        <v>1846660</v>
      </c>
      <c r="C10" s="1840">
        <f>(C8-C9)</f>
        <v>337336</v>
      </c>
      <c r="D10" s="1840">
        <f>(D8-D9)</f>
        <v>-80163</v>
      </c>
      <c r="E10" s="1839">
        <f>(E8-E9)</f>
        <v>52430</v>
      </c>
      <c r="F10" s="1841">
        <f>SUM(F8-F9)</f>
        <v>2156263</v>
      </c>
    </row>
    <row r="11" spans="1:8" s="1080" customFormat="1" ht="14.25" thickTop="1" thickBot="1" x14ac:dyDescent="0.25">
      <c r="A11" s="1082" t="s">
        <v>1785</v>
      </c>
      <c r="B11" s="1842">
        <f>'Acct Summary 7-8'!C81</f>
        <v>22906110</v>
      </c>
      <c r="C11" s="1842">
        <f>'Acct Summary 7-8'!D81</f>
        <v>3005372</v>
      </c>
      <c r="D11" s="1842">
        <f>'Acct Summary 7-8'!F81</f>
        <v>2268652</v>
      </c>
      <c r="E11" s="1842">
        <f>'Acct Summary 7-8'!I81</f>
        <v>3281791</v>
      </c>
      <c r="F11" s="1843">
        <f>SUM(B11:E11)</f>
        <v>31461925</v>
      </c>
    </row>
    <row r="12" spans="1:8" ht="16.5" customHeight="1" thickTop="1" x14ac:dyDescent="0.2">
      <c r="A12" s="1083"/>
      <c r="B12" s="1084"/>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5"/>
      <c r="B13" s="1086"/>
      <c r="C13" s="2356"/>
      <c r="D13" s="2357"/>
      <c r="E13" s="2357"/>
      <c r="F13" s="2358"/>
      <c r="H13" s="1075"/>
    </row>
    <row r="14" spans="1:8" ht="19.5" customHeight="1" x14ac:dyDescent="0.2">
      <c r="A14" s="1085"/>
      <c r="B14" s="1086"/>
      <c r="C14" s="2356"/>
      <c r="D14" s="2357"/>
      <c r="E14" s="2357"/>
      <c r="F14" s="2358"/>
      <c r="H14" s="1075"/>
    </row>
    <row r="15" spans="1:8" ht="17.25" customHeight="1" x14ac:dyDescent="0.2">
      <c r="A15" s="1085"/>
      <c r="B15" s="1086"/>
      <c r="C15" s="2359"/>
      <c r="D15" s="2360"/>
      <c r="E15" s="2360"/>
      <c r="F15" s="2361"/>
      <c r="H15" s="1075"/>
    </row>
    <row r="16" spans="1:8" s="310" customFormat="1" ht="51.75" hidden="1" customHeight="1" x14ac:dyDescent="0.2">
      <c r="A16" s="2355" t="s">
        <v>1787</v>
      </c>
      <c r="B16" s="2355"/>
      <c r="C16" s="2355"/>
      <c r="D16" s="2355"/>
      <c r="E16" s="2355"/>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7" t="s">
        <v>686</v>
      </c>
      <c r="B3" s="2378"/>
      <c r="C3" s="2378"/>
      <c r="D3" s="2379"/>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8" t="s">
        <v>1584</v>
      </c>
      <c r="D7" s="2389"/>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0" t="s">
        <v>1065</v>
      </c>
      <c r="B15" s="2381"/>
      <c r="C15" s="2381"/>
      <c r="D15" s="2382"/>
    </row>
    <row r="16" spans="1:4" s="669" customFormat="1" ht="24" customHeight="1" x14ac:dyDescent="0.2">
      <c r="A16" s="2383" t="s">
        <v>684</v>
      </c>
      <c r="B16" s="2384"/>
      <c r="C16" s="2384"/>
      <c r="D16" s="238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2" t="s">
        <v>332</v>
      </c>
      <c r="D21" s="2393"/>
    </row>
    <row r="22" spans="1:10" ht="12.75" x14ac:dyDescent="0.2">
      <c r="A22" s="1140"/>
      <c r="B22" s="1141">
        <v>2</v>
      </c>
      <c r="C22" s="2390" t="s">
        <v>1605</v>
      </c>
      <c r="D22" s="2391"/>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4" t="s">
        <v>557</v>
      </c>
      <c r="D43" s="239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6" t="s">
        <v>817</v>
      </c>
      <c r="D56" s="238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6" t="s">
        <v>1797</v>
      </c>
      <c r="D70" s="238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34049079002</v>
      </c>
    </row>
    <row r="3" spans="1:2" x14ac:dyDescent="0.2">
      <c r="A3" t="s">
        <v>1013</v>
      </c>
      <c r="B3" s="138" t="str">
        <f>COVER!A15</f>
        <v>Lake</v>
      </c>
    </row>
    <row r="4" spans="1:2" x14ac:dyDescent="0.2">
      <c r="A4" t="s">
        <v>1064</v>
      </c>
      <c r="B4" s="138" t="str">
        <f>COVER!A17</f>
        <v>Fremont SD 79</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and Pease, PC</v>
      </c>
    </row>
    <row r="17" spans="1:2" x14ac:dyDescent="0.2">
      <c r="A17" t="s">
        <v>939</v>
      </c>
      <c r="B17" s="138" t="str">
        <f>COVER!T15</f>
        <v>Jeffery M. Rollefson,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Rolling Meadows</v>
      </c>
    </row>
    <row r="21" spans="1:2" x14ac:dyDescent="0.2">
      <c r="A21" t="s">
        <v>500</v>
      </c>
      <c r="B21" s="138" t="str">
        <f>COVER!X19</f>
        <v>IL</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8395236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30572406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7504002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7666296</v>
      </c>
      <c r="C91" s="2" t="s">
        <v>594</v>
      </c>
      <c r="D91" s="2" t="str">
        <f t="shared" si="0"/>
        <v>Error?</v>
      </c>
    </row>
    <row r="92" spans="1:4" x14ac:dyDescent="0.2">
      <c r="A92" s="5">
        <v>31</v>
      </c>
      <c r="B92" s="138">
        <f>'Assets-Liab 5-6'!C39</f>
        <v>22906110</v>
      </c>
      <c r="D92" s="2" t="str">
        <f t="shared" si="0"/>
        <v>Error?</v>
      </c>
    </row>
    <row r="93" spans="1:4" x14ac:dyDescent="0.2">
      <c r="A93" s="5">
        <v>32</v>
      </c>
      <c r="B93" s="138">
        <f>'Assets-Liab 5-6'!C41</f>
        <v>30572406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1037561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3940653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927414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935281</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3940653</v>
      </c>
      <c r="C124" s="2" t="s">
        <v>594</v>
      </c>
      <c r="D124" s="2" t="str">
        <f t="shared" si="0"/>
        <v>Error?</v>
      </c>
    </row>
    <row r="125" spans="1:4" x14ac:dyDescent="0.2">
      <c r="A125" s="10">
        <v>64</v>
      </c>
      <c r="D125" s="2" t="str">
        <f t="shared" si="0"/>
        <v>OK</v>
      </c>
    </row>
    <row r="126" spans="1:4" x14ac:dyDescent="0.2">
      <c r="A126" s="5">
        <v>65</v>
      </c>
      <c r="B126" s="138">
        <f>'Assets-Liab 5-6'!E6</f>
        <v>1301308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3655836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1163162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1163162</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3655836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509803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2725738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455682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457086</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2725738</v>
      </c>
      <c r="C171" s="2" t="s">
        <v>594</v>
      </c>
      <c r="D171" s="2" t="str">
        <f t="shared" si="1"/>
        <v>Error?</v>
      </c>
    </row>
    <row r="172" spans="1:4" x14ac:dyDescent="0.2">
      <c r="A172" s="10">
        <v>111</v>
      </c>
      <c r="D172" s="2" t="str">
        <f t="shared" si="1"/>
        <v>OK</v>
      </c>
    </row>
    <row r="173" spans="1:4" x14ac:dyDescent="0.2">
      <c r="A173" s="5">
        <v>112</v>
      </c>
      <c r="B173" s="138">
        <f>'Assets-Liab 5-6'!G6</f>
        <v>329816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593251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294803</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294746</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593251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2056632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33000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2056632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4698697</v>
      </c>
      <c r="D273" s="2" t="str">
        <f t="shared" si="3"/>
        <v>Error?</v>
      </c>
    </row>
    <row r="274" spans="1:4" x14ac:dyDescent="0.2">
      <c r="A274" s="5">
        <v>213</v>
      </c>
      <c r="B274" s="138">
        <f>'Assets-Liab 5-6'!M17</f>
        <v>49711215</v>
      </c>
      <c r="D274" s="2" t="str">
        <f t="shared" si="3"/>
        <v>Error?</v>
      </c>
    </row>
    <row r="275" spans="1:4" x14ac:dyDescent="0.2">
      <c r="A275" s="5">
        <v>214</v>
      </c>
      <c r="B275" s="138">
        <f>'Assets-Liab 5-6'!M18</f>
        <v>4045743</v>
      </c>
      <c r="D275" s="2" t="str">
        <f t="shared" si="3"/>
        <v>Error?</v>
      </c>
    </row>
    <row r="276" spans="1:4" x14ac:dyDescent="0.2">
      <c r="A276" s="5">
        <v>215</v>
      </c>
      <c r="B276" s="138">
        <f>'Assets-Liab 5-6'!M19</f>
        <v>6695710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66082944</v>
      </c>
      <c r="C279" s="2" t="s">
        <v>594</v>
      </c>
      <c r="D279" s="2" t="str">
        <f t="shared" si="3"/>
        <v>Error?</v>
      </c>
    </row>
    <row r="280" spans="1:4" x14ac:dyDescent="0.2">
      <c r="A280" s="5">
        <v>219</v>
      </c>
      <c r="B280" s="138">
        <f>'Assets-Liab 5-6'!M40</f>
        <v>66082944</v>
      </c>
      <c r="D280" s="2" t="str">
        <f t="shared" si="3"/>
        <v>Error?</v>
      </c>
    </row>
    <row r="281" spans="1:4" x14ac:dyDescent="0.2">
      <c r="A281" s="5">
        <v>220</v>
      </c>
      <c r="B281" s="138">
        <f>'Assets-Liab 5-6'!M41</f>
        <v>66082944</v>
      </c>
      <c r="C281" s="2" t="s">
        <v>594</v>
      </c>
      <c r="D281" s="2" t="str">
        <f t="shared" si="3"/>
        <v>Error?</v>
      </c>
    </row>
    <row r="282" spans="1:4" x14ac:dyDescent="0.2">
      <c r="A282" s="5">
        <v>221</v>
      </c>
      <c r="B282" s="138">
        <f>'Assets-Liab 5-6'!N21</f>
        <v>2492674</v>
      </c>
      <c r="D282" s="2" t="str">
        <f t="shared" si="3"/>
        <v>Error?</v>
      </c>
    </row>
    <row r="283" spans="1:4" x14ac:dyDescent="0.2">
      <c r="A283" s="5">
        <v>222</v>
      </c>
      <c r="B283" s="138">
        <f>'Assets-Liab 5-6'!N22</f>
        <v>14200516</v>
      </c>
      <c r="D283" s="2" t="str">
        <f t="shared" si="3"/>
        <v>Error?</v>
      </c>
    </row>
    <row r="284" spans="1:4" x14ac:dyDescent="0.2">
      <c r="A284" s="5">
        <v>223</v>
      </c>
      <c r="B284" s="138">
        <f>'Assets-Liab 5-6'!N23</f>
        <v>16693190</v>
      </c>
      <c r="C284" s="2" t="s">
        <v>594</v>
      </c>
      <c r="D284" s="2" t="str">
        <f t="shared" si="3"/>
        <v>Error?</v>
      </c>
    </row>
    <row r="285" spans="1:4" x14ac:dyDescent="0.2">
      <c r="A285" s="5">
        <v>224</v>
      </c>
      <c r="B285" s="138">
        <f>'Assets-Liab 5-6'!N36</f>
        <v>16693190</v>
      </c>
      <c r="D285" s="2" t="str">
        <f t="shared" si="3"/>
        <v>Error?</v>
      </c>
    </row>
    <row r="286" spans="1:4" x14ac:dyDescent="0.2">
      <c r="A286" s="10">
        <v>225</v>
      </c>
      <c r="D286" s="2" t="str">
        <f t="shared" si="3"/>
        <v>OK</v>
      </c>
    </row>
    <row r="287" spans="1:4" x14ac:dyDescent="0.2">
      <c r="A287" s="5">
        <v>226</v>
      </c>
      <c r="B287" s="138">
        <f>'Assets-Liab 5-6'!N37</f>
        <v>16693190</v>
      </c>
      <c r="C287" s="2" t="s">
        <v>594</v>
      </c>
      <c r="D287" s="2" t="str">
        <f t="shared" si="3"/>
        <v>Error?</v>
      </c>
    </row>
    <row r="288" spans="1:4" x14ac:dyDescent="0.2">
      <c r="A288" s="5">
        <v>227</v>
      </c>
      <c r="B288" s="138">
        <f>'Assets-Liab 5-6'!N41</f>
        <v>16693190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7790270</v>
      </c>
      <c r="D705" s="2" t="str">
        <f t="shared" si="10"/>
        <v>Error?</v>
      </c>
    </row>
    <row r="706" spans="1:4" x14ac:dyDescent="0.2">
      <c r="A706" s="5">
        <v>645</v>
      </c>
      <c r="B706" s="138">
        <f>'Expenditures 15-22'!C16</f>
        <v>161626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486790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172029</v>
      </c>
      <c r="D718" s="2" t="str">
        <f t="shared" si="10"/>
        <v>Error?</v>
      </c>
    </row>
    <row r="719" spans="1:4" x14ac:dyDescent="0.2">
      <c r="A719" s="5">
        <v>658</v>
      </c>
      <c r="B719" s="138">
        <f>'Expenditures 15-22'!C15</f>
        <v>25120</v>
      </c>
      <c r="D719" s="2" t="str">
        <f t="shared" si="10"/>
        <v>Error?</v>
      </c>
    </row>
    <row r="720" spans="1:4" x14ac:dyDescent="0.2">
      <c r="A720" s="5">
        <v>659</v>
      </c>
      <c r="B720" s="138">
        <f>'Expenditures 15-22'!C33</f>
        <v>10642452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197548</v>
      </c>
      <c r="D722" s="2" t="str">
        <f t="shared" si="10"/>
        <v>Error?</v>
      </c>
    </row>
    <row r="723" spans="1:4" x14ac:dyDescent="0.2">
      <c r="A723" s="5">
        <v>662</v>
      </c>
      <c r="B723" s="138">
        <f>'Expenditures 15-22'!C38</f>
        <v>121590</v>
      </c>
      <c r="D723" s="2" t="str">
        <f t="shared" si="10"/>
        <v>Error?</v>
      </c>
    </row>
    <row r="724" spans="1:4" x14ac:dyDescent="0.2">
      <c r="A724" s="5">
        <v>663</v>
      </c>
      <c r="B724" s="138">
        <f>'Expenditures 15-22'!C39</f>
        <v>270569</v>
      </c>
      <c r="D724" s="2" t="str">
        <f t="shared" si="10"/>
        <v>Error?</v>
      </c>
    </row>
    <row r="725" spans="1:4" x14ac:dyDescent="0.2">
      <c r="A725" s="5">
        <v>664</v>
      </c>
      <c r="B725" s="138">
        <f>'Expenditures 15-22'!C40</f>
        <v>324807</v>
      </c>
      <c r="D725" s="2" t="str">
        <f t="shared" si="10"/>
        <v>Error?</v>
      </c>
    </row>
    <row r="726" spans="1:4" x14ac:dyDescent="0.2">
      <c r="A726" s="5">
        <v>665</v>
      </c>
      <c r="B726" s="138">
        <f>'Expenditures 15-22'!C41</f>
        <v>220857</v>
      </c>
      <c r="D726" s="2" t="str">
        <f t="shared" si="10"/>
        <v>Error?</v>
      </c>
    </row>
    <row r="727" spans="1:4" x14ac:dyDescent="0.2">
      <c r="A727" s="5">
        <v>666</v>
      </c>
      <c r="B727" s="138">
        <f>'Expenditures 15-22'!C42</f>
        <v>1135371</v>
      </c>
      <c r="C727" s="2" t="s">
        <v>594</v>
      </c>
      <c r="D727" s="2" t="str">
        <f t="shared" si="10"/>
        <v>Error?</v>
      </c>
    </row>
    <row r="728" spans="1:4" x14ac:dyDescent="0.2">
      <c r="A728" s="5">
        <v>667</v>
      </c>
      <c r="B728" s="138">
        <f>'Expenditures 15-22'!C44</f>
        <v>156651</v>
      </c>
      <c r="D728" s="2" t="str">
        <f t="shared" si="10"/>
        <v>Error?</v>
      </c>
    </row>
    <row r="729" spans="1:4" x14ac:dyDescent="0.2">
      <c r="A729" s="5">
        <v>668</v>
      </c>
      <c r="B729" s="138">
        <f>'Expenditures 15-22'!C45</f>
        <v>600702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757353</v>
      </c>
      <c r="C731" s="2" t="s">
        <v>594</v>
      </c>
      <c r="D731" s="2" t="str">
        <f t="shared" si="10"/>
        <v>Error?</v>
      </c>
    </row>
    <row r="732" spans="1:4" x14ac:dyDescent="0.2">
      <c r="A732" s="5">
        <v>671</v>
      </c>
      <c r="B732" s="138">
        <f>'Expenditures 15-22'!C49</f>
        <v>13200</v>
      </c>
      <c r="D732" s="2" t="str">
        <f t="shared" si="10"/>
        <v>Error?</v>
      </c>
    </row>
    <row r="733" spans="1:4" x14ac:dyDescent="0.2">
      <c r="A733" s="5">
        <v>672</v>
      </c>
      <c r="B733" s="138">
        <f>'Expenditures 15-22'!C50</f>
        <v>272013</v>
      </c>
      <c r="D733" s="2" t="str">
        <f t="shared" si="10"/>
        <v>Error?</v>
      </c>
    </row>
    <row r="734" spans="1:4" x14ac:dyDescent="0.2">
      <c r="A734" s="5">
        <v>673</v>
      </c>
      <c r="B734" s="138">
        <f>'Expenditures 15-22'!C53</f>
        <v>285213</v>
      </c>
      <c r="C734" s="2" t="s">
        <v>594</v>
      </c>
      <c r="D734" s="2" t="str">
        <f t="shared" si="10"/>
        <v>Error?</v>
      </c>
    </row>
    <row r="735" spans="1:4" x14ac:dyDescent="0.2">
      <c r="A735" s="5">
        <v>674</v>
      </c>
      <c r="B735" s="138">
        <f>'Expenditures 15-22'!C55</f>
        <v>768778</v>
      </c>
      <c r="D735" s="2" t="str">
        <f t="shared" si="10"/>
        <v>Error?</v>
      </c>
    </row>
    <row r="736" spans="1:4" x14ac:dyDescent="0.2">
      <c r="A736" s="5">
        <v>675</v>
      </c>
      <c r="B736" s="138">
        <f>'Expenditures 15-22'!C56</f>
        <v>188406</v>
      </c>
      <c r="D736" s="2" t="str">
        <f t="shared" si="10"/>
        <v>Error?</v>
      </c>
    </row>
    <row r="737" spans="1:4" x14ac:dyDescent="0.2">
      <c r="A737" s="5">
        <v>676</v>
      </c>
      <c r="B737" s="138">
        <f>'Expenditures 15-22'!C57</f>
        <v>957184</v>
      </c>
      <c r="C737" s="2" t="s">
        <v>594</v>
      </c>
      <c r="D737" s="2" t="str">
        <f t="shared" si="10"/>
        <v>Error?</v>
      </c>
    </row>
    <row r="738" spans="1:4" x14ac:dyDescent="0.2">
      <c r="A738" s="5">
        <v>677</v>
      </c>
      <c r="B738" s="138">
        <f>'Expenditures 15-22'!C59</f>
        <v>366936</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94760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461696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69327</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69327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3666144</v>
      </c>
      <c r="C755" s="2" t="s">
        <v>594</v>
      </c>
      <c r="D755" s="2" t="str">
        <f t="shared" si="10"/>
        <v>Error?</v>
      </c>
    </row>
    <row r="756" spans="1:4" x14ac:dyDescent="0.2">
      <c r="A756" s="5">
        <v>695</v>
      </c>
      <c r="B756" s="138">
        <f>'Expenditures 15-22'!C75</f>
        <v>7560</v>
      </c>
      <c r="D756" s="2" t="str">
        <f t="shared" si="10"/>
        <v>Error?</v>
      </c>
    </row>
    <row r="757" spans="1:4" x14ac:dyDescent="0.2">
      <c r="A757" s="5">
        <v>696</v>
      </c>
      <c r="B757" s="138">
        <f>'Expenditures 15-22'!C114</f>
        <v>14316156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1947681</v>
      </c>
      <c r="D763" s="2" t="str">
        <f t="shared" si="10"/>
        <v>Error?</v>
      </c>
    </row>
    <row r="764" spans="1:4" x14ac:dyDescent="0.2">
      <c r="A764" s="5">
        <v>703</v>
      </c>
      <c r="B764" s="138">
        <f>'Expenditures 15-22'!D16</f>
        <v>36031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123297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3486</v>
      </c>
      <c r="D776" s="2" t="str">
        <f t="shared" si="11"/>
        <v>Error?</v>
      </c>
    </row>
    <row r="777" spans="1:4" x14ac:dyDescent="0.2">
      <c r="A777" s="5">
        <v>716</v>
      </c>
      <c r="B777" s="138">
        <f>'Expenditures 15-22'!D15</f>
        <v>5</v>
      </c>
      <c r="D777" s="2" t="str">
        <f t="shared" si="11"/>
        <v>Error?</v>
      </c>
    </row>
    <row r="778" spans="1:4" x14ac:dyDescent="0.2">
      <c r="A778" s="5">
        <v>717</v>
      </c>
      <c r="B778" s="138">
        <f>'Expenditures 15-22'!D33</f>
        <v>2907261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41721</v>
      </c>
      <c r="D780" s="2" t="str">
        <f t="shared" si="11"/>
        <v>Error?</v>
      </c>
    </row>
    <row r="781" spans="1:4" x14ac:dyDescent="0.2">
      <c r="A781" s="5">
        <v>720</v>
      </c>
      <c r="B781" s="138">
        <f>'Expenditures 15-22'!D38</f>
        <v>50784</v>
      </c>
      <c r="D781" s="2" t="str">
        <f t="shared" si="11"/>
        <v>Error?</v>
      </c>
    </row>
    <row r="782" spans="1:4" x14ac:dyDescent="0.2">
      <c r="A782" s="5">
        <v>721</v>
      </c>
      <c r="B782" s="138">
        <f>'Expenditures 15-22'!D39</f>
        <v>64171</v>
      </c>
      <c r="D782" s="2" t="str">
        <f t="shared" si="11"/>
        <v>Error?</v>
      </c>
    </row>
    <row r="783" spans="1:4" x14ac:dyDescent="0.2">
      <c r="A783" s="5">
        <v>722</v>
      </c>
      <c r="B783" s="138">
        <f>'Expenditures 15-22'!D40</f>
        <v>72482</v>
      </c>
      <c r="D783" s="2" t="str">
        <f t="shared" si="11"/>
        <v>Error?</v>
      </c>
    </row>
    <row r="784" spans="1:4" x14ac:dyDescent="0.2">
      <c r="A784" s="5">
        <v>723</v>
      </c>
      <c r="B784" s="138">
        <f>'Expenditures 15-22'!D41</f>
        <v>2564</v>
      </c>
      <c r="D784" s="2" t="str">
        <f t="shared" si="11"/>
        <v>Error?</v>
      </c>
    </row>
    <row r="785" spans="1:4" x14ac:dyDescent="0.2">
      <c r="A785" s="5">
        <v>724</v>
      </c>
      <c r="B785" s="138">
        <f>'Expenditures 15-22'!D42</f>
        <v>231722</v>
      </c>
      <c r="C785" s="2" t="s">
        <v>594</v>
      </c>
      <c r="D785" s="2" t="str">
        <f t="shared" si="11"/>
        <v>Error?</v>
      </c>
    </row>
    <row r="786" spans="1:4" x14ac:dyDescent="0.2">
      <c r="A786" s="5">
        <v>725</v>
      </c>
      <c r="B786" s="138">
        <f>'Expenditures 15-22'!D44</f>
        <v>35916</v>
      </c>
      <c r="D786" s="2" t="str">
        <f t="shared" si="11"/>
        <v>Error?</v>
      </c>
    </row>
    <row r="787" spans="1:4" x14ac:dyDescent="0.2">
      <c r="A787" s="5">
        <v>726</v>
      </c>
      <c r="B787" s="138">
        <f>'Expenditures 15-22'!D45</f>
        <v>145400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181316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65111</v>
      </c>
      <c r="D791" s="2" t="str">
        <f t="shared" si="11"/>
        <v>Error?</v>
      </c>
    </row>
    <row r="792" spans="1:4" x14ac:dyDescent="0.2">
      <c r="A792" s="5">
        <v>731</v>
      </c>
      <c r="B792" s="138">
        <f>'Expenditures 15-22'!D53</f>
        <v>65111</v>
      </c>
      <c r="C792" s="2" t="s">
        <v>594</v>
      </c>
      <c r="D792" s="2" t="str">
        <f t="shared" si="11"/>
        <v>Error?</v>
      </c>
    </row>
    <row r="793" spans="1:4" x14ac:dyDescent="0.2">
      <c r="A793" s="5">
        <v>732</v>
      </c>
      <c r="B793" s="138">
        <f>'Expenditures 15-22'!D55</f>
        <v>346795</v>
      </c>
      <c r="D793" s="2" t="str">
        <f t="shared" si="11"/>
        <v>Error?</v>
      </c>
    </row>
    <row r="794" spans="1:4" x14ac:dyDescent="0.2">
      <c r="A794" s="5">
        <v>733</v>
      </c>
      <c r="B794" s="138">
        <f>'Expenditures 15-22'!D56</f>
        <v>50833</v>
      </c>
      <c r="D794" s="2" t="str">
        <f t="shared" si="11"/>
        <v>Error?</v>
      </c>
    </row>
    <row r="795" spans="1:4" x14ac:dyDescent="0.2">
      <c r="A795" s="5">
        <v>734</v>
      </c>
      <c r="B795" s="138">
        <f>'Expenditures 15-22'!D57</f>
        <v>397628</v>
      </c>
      <c r="C795" s="2" t="s">
        <v>594</v>
      </c>
      <c r="D795" s="2" t="str">
        <f t="shared" si="11"/>
        <v>Error?</v>
      </c>
    </row>
    <row r="796" spans="1:4" x14ac:dyDescent="0.2">
      <c r="A796" s="5">
        <v>735</v>
      </c>
      <c r="B796" s="138">
        <f>'Expenditures 15-22'!D59</f>
        <v>119459</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119459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17243</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17243</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1012479</v>
      </c>
      <c r="C813" s="2" t="s">
        <v>594</v>
      </c>
      <c r="D813" s="2" t="str">
        <f t="shared" si="11"/>
        <v>Error?</v>
      </c>
    </row>
    <row r="814" spans="1:4" x14ac:dyDescent="0.2">
      <c r="A814" s="5">
        <v>753</v>
      </c>
      <c r="B814" s="138">
        <f>'Expenditures 15-22'!D75</f>
        <v>592</v>
      </c>
      <c r="D814" s="2" t="str">
        <f t="shared" si="11"/>
        <v>Error?</v>
      </c>
    </row>
    <row r="815" spans="1:4" x14ac:dyDescent="0.2">
      <c r="A815" s="5">
        <v>754</v>
      </c>
      <c r="B815" s="138">
        <f>'Expenditures 15-22'!D114</f>
        <v>3920332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9638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1315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6339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574381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13173</v>
      </c>
      <c r="D839" s="2" t="str">
        <f t="shared" si="12"/>
        <v>Error?</v>
      </c>
    </row>
    <row r="840" spans="1:4" x14ac:dyDescent="0.2">
      <c r="A840" s="5">
        <v>779</v>
      </c>
      <c r="B840" s="138">
        <f>'Expenditures 15-22'!E39</f>
        <v>880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14053</v>
      </c>
      <c r="C843" s="2" t="s">
        <v>594</v>
      </c>
      <c r="D843" s="2" t="str">
        <f t="shared" si="12"/>
        <v>Error?</v>
      </c>
    </row>
    <row r="844" spans="1:4" x14ac:dyDescent="0.2">
      <c r="A844" s="5">
        <v>783</v>
      </c>
      <c r="B844" s="138">
        <f>'Expenditures 15-22'!E44</f>
        <v>149685</v>
      </c>
      <c r="D844" s="2" t="str">
        <f t="shared" si="12"/>
        <v>Error?</v>
      </c>
    </row>
    <row r="845" spans="1:4" x14ac:dyDescent="0.2">
      <c r="A845" s="5">
        <v>784</v>
      </c>
      <c r="B845" s="138">
        <f>'Expenditures 15-22'!E45</f>
        <v>649225</v>
      </c>
      <c r="D845" s="2" t="str">
        <f t="shared" si="12"/>
        <v>Error?</v>
      </c>
    </row>
    <row r="846" spans="1:4" x14ac:dyDescent="0.2">
      <c r="A846" s="5">
        <v>785</v>
      </c>
      <c r="B846" s="138">
        <f>'Expenditures 15-22'!E46</f>
        <v>109188</v>
      </c>
      <c r="D846" s="2" t="str">
        <f t="shared" si="12"/>
        <v>Error?</v>
      </c>
    </row>
    <row r="847" spans="1:4" x14ac:dyDescent="0.2">
      <c r="A847" s="5">
        <v>786</v>
      </c>
      <c r="B847" s="138">
        <f>'Expenditures 15-22'!E47</f>
        <v>908098</v>
      </c>
      <c r="C847" s="2" t="s">
        <v>594</v>
      </c>
      <c r="D847" s="2" t="str">
        <f t="shared" si="12"/>
        <v>Error?</v>
      </c>
    </row>
    <row r="848" spans="1:4" x14ac:dyDescent="0.2">
      <c r="A848" s="5">
        <v>787</v>
      </c>
      <c r="B848" s="138">
        <f>'Expenditures 15-22'!E49</f>
        <v>614785</v>
      </c>
      <c r="D848" s="2" t="str">
        <f t="shared" si="12"/>
        <v>Error?</v>
      </c>
    </row>
    <row r="849" spans="1:4" x14ac:dyDescent="0.2">
      <c r="A849" s="5">
        <v>788</v>
      </c>
      <c r="B849" s="138">
        <f>'Expenditures 15-22'!E50</f>
        <v>13351</v>
      </c>
      <c r="D849" s="2" t="str">
        <f t="shared" si="12"/>
        <v>Error?</v>
      </c>
    </row>
    <row r="850" spans="1:4" x14ac:dyDescent="0.2">
      <c r="A850" s="5">
        <v>789</v>
      </c>
      <c r="B850" s="138">
        <f>'Expenditures 15-22'!E53</f>
        <v>628136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9859</v>
      </c>
      <c r="D852" s="2" t="str">
        <f t="shared" si="12"/>
        <v>Error?</v>
      </c>
    </row>
    <row r="853" spans="1:4" x14ac:dyDescent="0.2">
      <c r="A853" s="5">
        <v>792</v>
      </c>
      <c r="B853" s="138">
        <f>'Expenditures 15-22'!E57</f>
        <v>9859</v>
      </c>
      <c r="C853" s="2" t="s">
        <v>594</v>
      </c>
      <c r="D853" s="2" t="str">
        <f t="shared" si="12"/>
        <v>Error?</v>
      </c>
    </row>
    <row r="854" spans="1:4" x14ac:dyDescent="0.2">
      <c r="A854" s="5">
        <v>793</v>
      </c>
      <c r="B854" s="138">
        <f>'Expenditures 15-22'!E59</f>
        <v>4824</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190284</v>
      </c>
      <c r="D859" s="2" t="str">
        <f t="shared" si="12"/>
        <v>Error?</v>
      </c>
    </row>
    <row r="860" spans="1:4" x14ac:dyDescent="0.2">
      <c r="A860" s="10">
        <v>799</v>
      </c>
      <c r="D860" s="2" t="str">
        <f t="shared" si="12"/>
        <v>OK</v>
      </c>
    </row>
    <row r="861" spans="1:4" x14ac:dyDescent="0.2">
      <c r="A861" s="5">
        <v>800</v>
      </c>
      <c r="B861" s="138">
        <f>'Expenditures 15-22'!E65</f>
        <v>195108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5983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10175</v>
      </c>
      <c r="D867" s="2" t="str">
        <f t="shared" si="12"/>
        <v>Error?</v>
      </c>
    </row>
    <row r="868" spans="1:4" x14ac:dyDescent="0.2">
      <c r="A868" s="10">
        <v>807</v>
      </c>
      <c r="D868" s="2" t="str">
        <f t="shared" si="12"/>
        <v>OK</v>
      </c>
    </row>
    <row r="869" spans="1:4" x14ac:dyDescent="0.2">
      <c r="A869" s="5">
        <v>808</v>
      </c>
      <c r="B869" s="138">
        <f>'Expenditures 15-22'!E72</f>
        <v>16158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1771412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2345793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144486</v>
      </c>
      <c r="D879" s="2" t="str">
        <f t="shared" si="12"/>
        <v>Error?</v>
      </c>
    </row>
    <row r="880" spans="1:4" x14ac:dyDescent="0.2">
      <c r="A880" s="5">
        <v>819</v>
      </c>
      <c r="B880" s="138">
        <f>'Expenditures 15-22'!F16</f>
        <v>1217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9915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3893</v>
      </c>
      <c r="D892" s="2" t="str">
        <f t="shared" si="12"/>
        <v>Error?</v>
      </c>
    </row>
    <row r="893" spans="1:4" x14ac:dyDescent="0.2">
      <c r="A893" s="5">
        <v>832</v>
      </c>
      <c r="B893" s="138">
        <f>'Expenditures 15-22'!F15</f>
        <v>7792</v>
      </c>
      <c r="D893" s="2" t="str">
        <f t="shared" si="12"/>
        <v>Error?</v>
      </c>
    </row>
    <row r="894" spans="1:4" x14ac:dyDescent="0.2">
      <c r="A894" s="5">
        <v>833</v>
      </c>
      <c r="B894" s="138">
        <f>'Expenditures 15-22'!F33</f>
        <v>210432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1603</v>
      </c>
      <c r="D896" s="2" t="str">
        <f t="shared" si="13"/>
        <v>Error?</v>
      </c>
    </row>
    <row r="897" spans="1:4" x14ac:dyDescent="0.2">
      <c r="A897" s="5">
        <v>836</v>
      </c>
      <c r="B897" s="138">
        <f>'Expenditures 15-22'!F38</f>
        <v>4822</v>
      </c>
      <c r="D897" s="2" t="str">
        <f t="shared" si="13"/>
        <v>Error?</v>
      </c>
    </row>
    <row r="898" spans="1:4" x14ac:dyDescent="0.2">
      <c r="A898" s="5">
        <v>837</v>
      </c>
      <c r="B898" s="138">
        <f>'Expenditures 15-22'!F39</f>
        <v>3127</v>
      </c>
      <c r="D898" s="2" t="str">
        <f t="shared" si="13"/>
        <v>Error?</v>
      </c>
    </row>
    <row r="899" spans="1:4" x14ac:dyDescent="0.2">
      <c r="A899" s="5">
        <v>838</v>
      </c>
      <c r="B899" s="138">
        <f>'Expenditures 15-22'!F40</f>
        <v>4725</v>
      </c>
      <c r="D899" s="2" t="str">
        <f t="shared" si="13"/>
        <v>Error?</v>
      </c>
    </row>
    <row r="900" spans="1:4" x14ac:dyDescent="0.2">
      <c r="A900" s="5">
        <v>839</v>
      </c>
      <c r="B900" s="138">
        <f>'Expenditures 15-22'!F41</f>
        <v>6506</v>
      </c>
      <c r="D900" s="2" t="str">
        <f t="shared" si="13"/>
        <v>Error?</v>
      </c>
    </row>
    <row r="901" spans="1:4" x14ac:dyDescent="0.2">
      <c r="A901" s="5">
        <v>840</v>
      </c>
      <c r="B901" s="138">
        <f>'Expenditures 15-22'!F42</f>
        <v>20783</v>
      </c>
      <c r="C901" s="2" t="s">
        <v>594</v>
      </c>
      <c r="D901" s="2" t="str">
        <f t="shared" si="13"/>
        <v>Error?</v>
      </c>
    </row>
    <row r="902" spans="1:4" x14ac:dyDescent="0.2">
      <c r="A902" s="5">
        <v>841</v>
      </c>
      <c r="B902" s="138">
        <f>'Expenditures 15-22'!F44</f>
        <v>132558</v>
      </c>
      <c r="D902" s="2" t="str">
        <f t="shared" si="13"/>
        <v>Error?</v>
      </c>
    </row>
    <row r="903" spans="1:4" x14ac:dyDescent="0.2">
      <c r="A903" s="5">
        <v>842</v>
      </c>
      <c r="B903" s="138">
        <f>'Expenditures 15-22'!F45</f>
        <v>127765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260323</v>
      </c>
      <c r="C905" s="2" t="s">
        <v>594</v>
      </c>
      <c r="D905" s="2" t="str">
        <f t="shared" si="13"/>
        <v>Error?</v>
      </c>
    </row>
    <row r="906" spans="1:4" x14ac:dyDescent="0.2">
      <c r="A906" s="5">
        <v>845</v>
      </c>
      <c r="B906" s="138">
        <f>'Expenditures 15-22'!F49</f>
        <v>15167</v>
      </c>
      <c r="D906" s="2" t="str">
        <f t="shared" si="13"/>
        <v>Error?</v>
      </c>
    </row>
    <row r="907" spans="1:4" x14ac:dyDescent="0.2">
      <c r="A907" s="5">
        <v>846</v>
      </c>
      <c r="B907" s="138">
        <f>'Expenditures 15-22'!F50</f>
        <v>1282</v>
      </c>
      <c r="D907" s="2" t="str">
        <f t="shared" si="13"/>
        <v>Error?</v>
      </c>
    </row>
    <row r="908" spans="1:4" x14ac:dyDescent="0.2">
      <c r="A908" s="5">
        <v>847</v>
      </c>
      <c r="B908" s="138">
        <f>'Expenditures 15-22'!F53</f>
        <v>16449</v>
      </c>
      <c r="C908" s="2" t="s">
        <v>594</v>
      </c>
      <c r="D908" s="2" t="str">
        <f t="shared" si="13"/>
        <v>Error?</v>
      </c>
    </row>
    <row r="909" spans="1:4" x14ac:dyDescent="0.2">
      <c r="A909" s="5">
        <v>848</v>
      </c>
      <c r="B909" s="138">
        <f>'Expenditures 15-22'!F55</f>
        <v>7491</v>
      </c>
      <c r="D909" s="2" t="str">
        <f t="shared" si="13"/>
        <v>Error?</v>
      </c>
    </row>
    <row r="910" spans="1:4" x14ac:dyDescent="0.2">
      <c r="A910" s="5">
        <v>849</v>
      </c>
      <c r="B910" s="138">
        <f>'Expenditures 15-22'!F56</f>
        <v>3956</v>
      </c>
      <c r="D910" s="2" t="str">
        <f t="shared" si="13"/>
        <v>Error?</v>
      </c>
    </row>
    <row r="911" spans="1:4" x14ac:dyDescent="0.2">
      <c r="A911" s="5">
        <v>850</v>
      </c>
      <c r="B911" s="138">
        <f>'Expenditures 15-22'!F57</f>
        <v>11447</v>
      </c>
      <c r="C911" s="2" t="s">
        <v>594</v>
      </c>
      <c r="D911" s="2" t="str">
        <f t="shared" si="13"/>
        <v>Error?</v>
      </c>
    </row>
    <row r="912" spans="1:4" x14ac:dyDescent="0.2">
      <c r="A912" s="5">
        <v>851</v>
      </c>
      <c r="B912" s="138">
        <f>'Expenditures 15-22'!F59</f>
        <v>3934</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14308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18242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1145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1145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328389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538821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2299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2299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391500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391500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391500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393799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9871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13982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49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49</v>
      </c>
      <c r="C1021" s="2" t="s">
        <v>594</v>
      </c>
      <c r="D1021" s="2" t="str">
        <f t="shared" si="14"/>
        <v>Error?</v>
      </c>
    </row>
    <row r="1022" spans="1:4" x14ac:dyDescent="0.2">
      <c r="A1022" s="5">
        <v>961</v>
      </c>
      <c r="B1022" s="138">
        <f>'Expenditures 15-22'!H49</f>
        <v>33590</v>
      </c>
      <c r="D1022" s="2" t="str">
        <f t="shared" si="14"/>
        <v>Error?</v>
      </c>
    </row>
    <row r="1023" spans="1:4" x14ac:dyDescent="0.2">
      <c r="A1023" s="5">
        <v>962</v>
      </c>
      <c r="B1023" s="138">
        <f>'Expenditures 15-22'!H50</f>
        <v>2815</v>
      </c>
      <c r="D1023" s="2" t="str">
        <f t="shared" ref="D1023:D1086" si="15">IF(ISBLANK(B1023),"OK",IF(A1023-B1023=0,"OK","Error?"))</f>
        <v>Error?</v>
      </c>
    </row>
    <row r="1024" spans="1:4" x14ac:dyDescent="0.2">
      <c r="A1024" s="5">
        <v>963</v>
      </c>
      <c r="B1024" s="138">
        <f>'Expenditures 15-22'!H53</f>
        <v>36405</v>
      </c>
      <c r="C1024" s="2" t="s">
        <v>594</v>
      </c>
      <c r="D1024" s="2" t="str">
        <f t="shared" si="15"/>
        <v>Error?</v>
      </c>
    </row>
    <row r="1025" spans="1:4" x14ac:dyDescent="0.2">
      <c r="A1025" s="5">
        <v>964</v>
      </c>
      <c r="B1025" s="138">
        <f>'Expenditures 15-22'!H55</f>
        <v>3688</v>
      </c>
      <c r="D1025" s="2" t="str">
        <f t="shared" si="15"/>
        <v>Error?</v>
      </c>
    </row>
    <row r="1026" spans="1:4" x14ac:dyDescent="0.2">
      <c r="A1026" s="5">
        <v>965</v>
      </c>
      <c r="B1026" s="138">
        <f>'Expenditures 15-22'!H56</f>
        <v>2119</v>
      </c>
      <c r="D1026" s="2" t="str">
        <f t="shared" si="15"/>
        <v>Error?</v>
      </c>
    </row>
    <row r="1027" spans="1:4" x14ac:dyDescent="0.2">
      <c r="A1027" s="5">
        <v>966</v>
      </c>
      <c r="B1027" s="138">
        <f>'Expenditures 15-22'!H57</f>
        <v>5807</v>
      </c>
      <c r="C1027" s="2" t="s">
        <v>594</v>
      </c>
      <c r="D1027" s="2" t="str">
        <f t="shared" si="15"/>
        <v>Error?</v>
      </c>
    </row>
    <row r="1028" spans="1:4" x14ac:dyDescent="0.2">
      <c r="A1028" s="5">
        <v>967</v>
      </c>
      <c r="B1028" s="138">
        <f>'Expenditures 15-22'!H59</f>
        <v>47612</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47612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89873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909558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1013413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9904245</v>
      </c>
      <c r="C1093" s="2" t="s">
        <v>594</v>
      </c>
      <c r="D1093" s="2" t="str">
        <f t="shared" si="16"/>
        <v>Error?</v>
      </c>
    </row>
    <row r="1094" spans="1:4" x14ac:dyDescent="0.2">
      <c r="A1094" s="5">
        <v>1033</v>
      </c>
      <c r="B1094" s="138">
        <f>'Expenditures 15-22'!K16</f>
        <v>198874</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621317</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185747</v>
      </c>
      <c r="C1106" s="2" t="s">
        <v>594</v>
      </c>
      <c r="D1106" s="2" t="str">
        <f t="shared" si="16"/>
        <v>Error?</v>
      </c>
    </row>
    <row r="1107" spans="1:4" x14ac:dyDescent="0.2">
      <c r="A1107" s="5">
        <v>1046</v>
      </c>
      <c r="B1107" s="138">
        <f>'Expenditures 15-22'!K15</f>
        <v>32917</v>
      </c>
      <c r="C1107" s="2" t="s">
        <v>594</v>
      </c>
      <c r="D1107" s="2" t="str">
        <f t="shared" si="16"/>
        <v>Error?</v>
      </c>
    </row>
    <row r="1108" spans="1:4" x14ac:dyDescent="0.2">
      <c r="A1108" s="5">
        <v>1047</v>
      </c>
      <c r="B1108" s="138">
        <f>'Expenditures 15-22'!K33</f>
        <v>14350807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240872</v>
      </c>
      <c r="C1110" s="2" t="s">
        <v>594</v>
      </c>
      <c r="D1110" s="2" t="str">
        <f t="shared" si="16"/>
        <v>Error?</v>
      </c>
    </row>
    <row r="1111" spans="1:4" x14ac:dyDescent="0.2">
      <c r="A1111" s="5">
        <v>1050</v>
      </c>
      <c r="B1111" s="138">
        <f>'Expenditures 15-22'!K38</f>
        <v>190369</v>
      </c>
      <c r="C1111" s="2" t="s">
        <v>594</v>
      </c>
      <c r="D1111" s="2" t="str">
        <f t="shared" si="16"/>
        <v>Error?</v>
      </c>
    </row>
    <row r="1112" spans="1:4" x14ac:dyDescent="0.2">
      <c r="A1112" s="5">
        <v>1051</v>
      </c>
      <c r="B1112" s="138">
        <f>'Expenditures 15-22'!K39</f>
        <v>338747</v>
      </c>
      <c r="C1112" s="2" t="s">
        <v>594</v>
      </c>
      <c r="D1112" s="2" t="str">
        <f t="shared" si="16"/>
        <v>Error?</v>
      </c>
    </row>
    <row r="1113" spans="1:4" x14ac:dyDescent="0.2">
      <c r="A1113" s="5">
        <v>1052</v>
      </c>
      <c r="B1113" s="138">
        <f>'Expenditures 15-22'!K40</f>
        <v>402014</v>
      </c>
      <c r="C1113" s="2" t="s">
        <v>594</v>
      </c>
      <c r="D1113" s="2" t="str">
        <f t="shared" si="16"/>
        <v>Error?</v>
      </c>
    </row>
    <row r="1114" spans="1:4" x14ac:dyDescent="0.2">
      <c r="A1114" s="5">
        <v>1053</v>
      </c>
      <c r="B1114" s="138">
        <f>'Expenditures 15-22'!K41</f>
        <v>229927</v>
      </c>
      <c r="C1114" s="2" t="s">
        <v>594</v>
      </c>
      <c r="D1114" s="2" t="str">
        <f t="shared" si="16"/>
        <v>Error?</v>
      </c>
    </row>
    <row r="1115" spans="1:4" x14ac:dyDescent="0.2">
      <c r="A1115" s="5">
        <v>1054</v>
      </c>
      <c r="B1115" s="138">
        <f>'Expenditures 15-22'!K42</f>
        <v>1401929</v>
      </c>
      <c r="C1115" s="2" t="s">
        <v>594</v>
      </c>
      <c r="D1115" s="2" t="str">
        <f t="shared" si="16"/>
        <v>Error?</v>
      </c>
    </row>
    <row r="1116" spans="1:4" x14ac:dyDescent="0.2">
      <c r="A1116" s="5">
        <v>1055</v>
      </c>
      <c r="B1116" s="138">
        <f>'Expenditures 15-22'!K44</f>
        <v>474859</v>
      </c>
      <c r="C1116" s="2" t="s">
        <v>594</v>
      </c>
      <c r="D1116" s="2" t="str">
        <f t="shared" si="16"/>
        <v>Error?</v>
      </c>
    </row>
    <row r="1117" spans="1:4" x14ac:dyDescent="0.2">
      <c r="A1117" s="5">
        <v>1056</v>
      </c>
      <c r="B1117" s="138">
        <f>'Expenditures 15-22'!K45</f>
        <v>1914592</v>
      </c>
      <c r="C1117" s="2" t="s">
        <v>594</v>
      </c>
      <c r="D1117" s="2" t="str">
        <f t="shared" si="16"/>
        <v>Error?</v>
      </c>
    </row>
    <row r="1118" spans="1:4" x14ac:dyDescent="0.2">
      <c r="A1118" s="5">
        <v>1057</v>
      </c>
      <c r="B1118" s="138">
        <f>'Expenditures 15-22'!K46</f>
        <v>109188</v>
      </c>
      <c r="C1118" s="2" t="s">
        <v>594</v>
      </c>
      <c r="D1118" s="2" t="str">
        <f t="shared" si="16"/>
        <v>Error?</v>
      </c>
    </row>
    <row r="1119" spans="1:4" x14ac:dyDescent="0.2">
      <c r="A1119" s="5">
        <v>1058</v>
      </c>
      <c r="B1119" s="138">
        <f>'Expenditures 15-22'!K47</f>
        <v>2498639</v>
      </c>
      <c r="C1119" s="2" t="s">
        <v>594</v>
      </c>
      <c r="D1119" s="2" t="str">
        <f t="shared" si="16"/>
        <v>Error?</v>
      </c>
    </row>
    <row r="1120" spans="1:4" x14ac:dyDescent="0.2">
      <c r="A1120" s="5">
        <v>1059</v>
      </c>
      <c r="B1120" s="138">
        <f>'Expenditures 15-22'!K49</f>
        <v>715861</v>
      </c>
      <c r="C1120" s="2" t="s">
        <v>594</v>
      </c>
      <c r="D1120" s="2" t="str">
        <f t="shared" si="16"/>
        <v>Error?</v>
      </c>
    </row>
    <row r="1121" spans="1:4" x14ac:dyDescent="0.2">
      <c r="A1121" s="5">
        <v>1060</v>
      </c>
      <c r="B1121" s="138">
        <f>'Expenditures 15-22'!K50</f>
        <v>354572</v>
      </c>
      <c r="C1121" s="2" t="s">
        <v>594</v>
      </c>
      <c r="D1121" s="2" t="str">
        <f t="shared" si="16"/>
        <v>Error?</v>
      </c>
    </row>
    <row r="1122" spans="1:4" x14ac:dyDescent="0.2">
      <c r="A1122" s="5">
        <v>1061</v>
      </c>
      <c r="B1122" s="138">
        <f>'Expenditures 15-22'!K53</f>
        <v>1070433</v>
      </c>
      <c r="C1122" s="2" t="s">
        <v>594</v>
      </c>
      <c r="D1122" s="2" t="str">
        <f t="shared" si="16"/>
        <v>Error?</v>
      </c>
    </row>
    <row r="1123" spans="1:4" x14ac:dyDescent="0.2">
      <c r="A1123" s="5">
        <v>1062</v>
      </c>
      <c r="B1123" s="138">
        <f>'Expenditures 15-22'!K55</f>
        <v>1126752</v>
      </c>
      <c r="C1123" s="2" t="s">
        <v>594</v>
      </c>
      <c r="D1123" s="2" t="str">
        <f t="shared" si="16"/>
        <v>Error?</v>
      </c>
    </row>
    <row r="1124" spans="1:4" x14ac:dyDescent="0.2">
      <c r="A1124" s="5">
        <v>1063</v>
      </c>
      <c r="B1124" s="138">
        <f>'Expenditures 15-22'!K56</f>
        <v>255173</v>
      </c>
      <c r="C1124" s="2" t="s">
        <v>594</v>
      </c>
      <c r="D1124" s="2" t="str">
        <f t="shared" si="16"/>
        <v>Error?</v>
      </c>
    </row>
    <row r="1125" spans="1:4" x14ac:dyDescent="0.2">
      <c r="A1125" s="5">
        <v>1064</v>
      </c>
      <c r="B1125" s="138">
        <f>'Expenditures 15-22'!K57</f>
        <v>1381925</v>
      </c>
      <c r="C1125" s="2" t="s">
        <v>594</v>
      </c>
      <c r="D1125" s="2" t="str">
        <f t="shared" si="16"/>
        <v>Error?</v>
      </c>
    </row>
    <row r="1126" spans="1:4" x14ac:dyDescent="0.2">
      <c r="A1126" s="5">
        <v>1065</v>
      </c>
      <c r="B1126" s="138">
        <f>'Expenditures 15-22'!K59</f>
        <v>542765</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109068</v>
      </c>
      <c r="C1130" s="2" t="s">
        <v>594</v>
      </c>
      <c r="D1130" s="2" t="str">
        <f t="shared" si="16"/>
        <v>Error?</v>
      </c>
    </row>
    <row r="1131" spans="1:4" x14ac:dyDescent="0.2">
      <c r="A1131" s="5">
        <v>1070</v>
      </c>
      <c r="B1131" s="138">
        <f>'Expenditures 15-22'!K64</f>
        <v>190284</v>
      </c>
      <c r="C1131" s="2" t="s">
        <v>594</v>
      </c>
      <c r="D1131" s="2" t="str">
        <f t="shared" si="16"/>
        <v>Error?</v>
      </c>
    </row>
    <row r="1132" spans="1:4" x14ac:dyDescent="0.2">
      <c r="A1132" s="10">
        <v>1071</v>
      </c>
      <c r="D1132" s="2" t="str">
        <f t="shared" si="16"/>
        <v>OK</v>
      </c>
    </row>
    <row r="1133" spans="1:4" x14ac:dyDescent="0.2">
      <c r="A1133" s="5">
        <v>1072</v>
      </c>
      <c r="B1133" s="138">
        <f>'Expenditures 15-22'!K65</f>
        <v>842117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93698</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10175</v>
      </c>
      <c r="C1139" s="2" t="s">
        <v>594</v>
      </c>
      <c r="D1139" s="2" t="str">
        <f t="shared" si="16"/>
        <v>Error?</v>
      </c>
    </row>
    <row r="1140" spans="1:4" x14ac:dyDescent="0.2">
      <c r="A1140" s="10">
        <v>1079</v>
      </c>
      <c r="D1140" s="2" t="str">
        <f t="shared" si="16"/>
        <v>OK</v>
      </c>
    </row>
    <row r="1141" spans="1:4" x14ac:dyDescent="0.2">
      <c r="A1141" s="5">
        <v>1080</v>
      </c>
      <c r="B1141" s="138">
        <f>'Expenditures 15-22'!K72</f>
        <v>103873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7298916</v>
      </c>
      <c r="C1143" s="2" t="s">
        <v>594</v>
      </c>
      <c r="D1143" s="2" t="str">
        <f t="shared" si="16"/>
        <v>Error?</v>
      </c>
    </row>
    <row r="1144" spans="1:4" x14ac:dyDescent="0.2">
      <c r="A1144" s="5">
        <v>1083</v>
      </c>
      <c r="B1144" s="138">
        <f>'Expenditures 15-22'!K75</f>
        <v>8152</v>
      </c>
      <c r="C1144" s="2" t="s">
        <v>594</v>
      </c>
      <c r="D1144" s="2" t="str">
        <f t="shared" si="16"/>
        <v>Error?</v>
      </c>
    </row>
    <row r="1145" spans="1:4" x14ac:dyDescent="0.2">
      <c r="A1145" s="5">
        <v>1084</v>
      </c>
      <c r="B1145" s="138">
        <f>'Expenditures 15-22'!K102</f>
        <v>909558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22567433</v>
      </c>
      <c r="C1152" s="2" t="s">
        <v>594</v>
      </c>
      <c r="D1152" s="2" t="str">
        <f t="shared" si="17"/>
        <v>Error?</v>
      </c>
    </row>
    <row r="1153" spans="1:4" x14ac:dyDescent="0.2">
      <c r="A1153" s="5">
        <v>1092</v>
      </c>
      <c r="B1153" s="138">
        <f>'Expenditures 15-22'!K115</f>
        <v>1846660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344392</v>
      </c>
      <c r="D1221" s="2" t="str">
        <f t="shared" si="18"/>
        <v>Error?</v>
      </c>
    </row>
    <row r="1222" spans="1:4" x14ac:dyDescent="0.2">
      <c r="A1222" s="10">
        <v>1161</v>
      </c>
      <c r="D1222" s="2" t="str">
        <f t="shared" si="18"/>
        <v>OK</v>
      </c>
    </row>
    <row r="1223" spans="1:4" x14ac:dyDescent="0.2">
      <c r="A1223" s="5">
        <v>1162</v>
      </c>
      <c r="B1223" s="138">
        <f>'Expenditures 15-22'!C127</f>
        <v>344392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344392</v>
      </c>
      <c r="C1225" s="2" t="s">
        <v>594</v>
      </c>
      <c r="D1225" s="2" t="str">
        <f t="shared" si="18"/>
        <v>Error?</v>
      </c>
    </row>
    <row r="1226" spans="1:4" x14ac:dyDescent="0.2">
      <c r="A1226" s="5">
        <v>1165</v>
      </c>
      <c r="B1226" s="138">
        <f>'Expenditures 15-22'!C151</f>
        <v>344392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108168</v>
      </c>
      <c r="D1229" s="2" t="str">
        <f t="shared" si="18"/>
        <v>Error?</v>
      </c>
    </row>
    <row r="1230" spans="1:4" x14ac:dyDescent="0.2">
      <c r="A1230" s="10">
        <v>1169</v>
      </c>
      <c r="D1230" s="2" t="str">
        <f t="shared" si="18"/>
        <v>OK</v>
      </c>
    </row>
    <row r="1231" spans="1:4" x14ac:dyDescent="0.2">
      <c r="A1231" s="5">
        <v>1170</v>
      </c>
      <c r="B1231" s="138">
        <f>'Expenditures 15-22'!D127</f>
        <v>108168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108168</v>
      </c>
      <c r="C1233" s="2" t="s">
        <v>594</v>
      </c>
      <c r="D1233" s="2" t="str">
        <f t="shared" si="18"/>
        <v>Error?</v>
      </c>
    </row>
    <row r="1234" spans="1:4" x14ac:dyDescent="0.2">
      <c r="A1234" s="5">
        <v>1173</v>
      </c>
      <c r="B1234" s="138">
        <f>'Expenditures 15-22'!D151</f>
        <v>108168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888760</v>
      </c>
      <c r="D1237" s="2" t="str">
        <f t="shared" si="18"/>
        <v>Error?</v>
      </c>
    </row>
    <row r="1238" spans="1:4" x14ac:dyDescent="0.2">
      <c r="A1238" s="10">
        <v>1177</v>
      </c>
      <c r="D1238" s="2" t="str">
        <f t="shared" si="18"/>
        <v>OK</v>
      </c>
    </row>
    <row r="1239" spans="1:4" x14ac:dyDescent="0.2">
      <c r="A1239" s="5">
        <v>1178</v>
      </c>
      <c r="B1239" s="138">
        <f>'Expenditures 15-22'!E127</f>
        <v>888760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888760</v>
      </c>
      <c r="C1241" s="2" t="s">
        <v>594</v>
      </c>
      <c r="D1241" s="2" t="str">
        <f t="shared" si="18"/>
        <v>Error?</v>
      </c>
    </row>
    <row r="1242" spans="1:4" x14ac:dyDescent="0.2">
      <c r="A1242" s="5">
        <v>1181</v>
      </c>
      <c r="B1242" s="138">
        <f>'Expenditures 15-22'!E151</f>
        <v>888760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575711</v>
      </c>
      <c r="D1245" s="2" t="str">
        <f t="shared" si="18"/>
        <v>Error?</v>
      </c>
    </row>
    <row r="1246" spans="1:4" x14ac:dyDescent="0.2">
      <c r="A1246" s="10">
        <v>1185</v>
      </c>
      <c r="D1246" s="2" t="str">
        <f t="shared" si="18"/>
        <v>OK</v>
      </c>
    </row>
    <row r="1247" spans="1:4" x14ac:dyDescent="0.2">
      <c r="A1247" s="5">
        <v>1186</v>
      </c>
      <c r="B1247" s="138">
        <f>'Expenditures 15-22'!F127</f>
        <v>575711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575711</v>
      </c>
      <c r="C1249" s="2" t="s">
        <v>594</v>
      </c>
      <c r="D1249" s="2" t="str">
        <f t="shared" si="18"/>
        <v>Error?</v>
      </c>
    </row>
    <row r="1250" spans="1:4" x14ac:dyDescent="0.2">
      <c r="A1250" s="5">
        <v>1189</v>
      </c>
      <c r="B1250" s="138">
        <f>'Expenditures 15-22'!F151</f>
        <v>575711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250386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250386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250386</v>
      </c>
      <c r="C1258" s="2" t="s">
        <v>594</v>
      </c>
      <c r="D1258" s="2" t="str">
        <f t="shared" si="18"/>
        <v>Error?</v>
      </c>
    </row>
    <row r="1259" spans="1:4" x14ac:dyDescent="0.2">
      <c r="A1259" s="5">
        <v>1198</v>
      </c>
      <c r="B1259" s="138">
        <f>'Expenditures 15-22'!G151</f>
        <v>250386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103359</v>
      </c>
      <c r="D1262" s="2" t="str">
        <f t="shared" si="18"/>
        <v>Error?</v>
      </c>
    </row>
    <row r="1263" spans="1:4" x14ac:dyDescent="0.2">
      <c r="A1263" s="10">
        <v>1202</v>
      </c>
      <c r="D1263" s="2" t="str">
        <f t="shared" si="18"/>
        <v>OK</v>
      </c>
    </row>
    <row r="1264" spans="1:4" x14ac:dyDescent="0.2">
      <c r="A1264" s="5">
        <v>1203</v>
      </c>
      <c r="B1264" s="138">
        <f>'Expenditures 15-22'!H127</f>
        <v>103359</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103359</v>
      </c>
      <c r="C1266" s="2" t="s">
        <v>594</v>
      </c>
      <c r="D1266" s="2" t="str">
        <f t="shared" si="18"/>
        <v>Error?</v>
      </c>
    </row>
    <row r="1267" spans="1:4" x14ac:dyDescent="0.2">
      <c r="A1267" s="5">
        <v>1206</v>
      </c>
      <c r="B1267" s="138">
        <f>'Expenditures 15-22'!H139</f>
        <v>93915</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197274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2270776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2270776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2270776</v>
      </c>
      <c r="C1281" s="2" t="s">
        <v>594</v>
      </c>
      <c r="D1281" s="2" t="str">
        <f t="shared" si="19"/>
        <v>Error?</v>
      </c>
    </row>
    <row r="1282" spans="1:4" x14ac:dyDescent="0.2">
      <c r="A1282" s="5">
        <v>1221</v>
      </c>
      <c r="B1282" s="138">
        <f>'Expenditures 15-22'!K139</f>
        <v>93915</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2364691</v>
      </c>
      <c r="C1288" s="2" t="s">
        <v>594</v>
      </c>
      <c r="D1288" s="2" t="str">
        <f t="shared" si="19"/>
        <v>Error?</v>
      </c>
    </row>
    <row r="1289" spans="1:4" x14ac:dyDescent="0.2">
      <c r="A1289" s="5">
        <v>1228</v>
      </c>
      <c r="B1289" s="138">
        <f>'Expenditures 15-22'!K152</f>
        <v>337336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627200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2415000</v>
      </c>
      <c r="D1315" s="2" t="str">
        <f t="shared" si="19"/>
        <v>Error?</v>
      </c>
    </row>
    <row r="1316" spans="1:4" x14ac:dyDescent="0.2">
      <c r="A1316" s="5">
        <v>1255</v>
      </c>
      <c r="B1316" s="138">
        <f>'Expenditures 15-22'!H171</f>
        <v>950</v>
      </c>
      <c r="D1316" s="2" t="str">
        <f t="shared" si="19"/>
        <v>Error?</v>
      </c>
    </row>
    <row r="1317" spans="1:4" x14ac:dyDescent="0.2">
      <c r="A1317" s="5">
        <v>1256</v>
      </c>
      <c r="B1317" s="138">
        <f>'Expenditures 15-22'!H172</f>
        <v>3043150</v>
      </c>
      <c r="C1317" s="2" t="s">
        <v>594</v>
      </c>
      <c r="D1317" s="2" t="str">
        <f t="shared" si="19"/>
        <v>Error?</v>
      </c>
    </row>
    <row r="1318" spans="1:4" x14ac:dyDescent="0.2">
      <c r="A1318" s="5">
        <v>1257</v>
      </c>
      <c r="B1318" s="138">
        <f>'Expenditures 15-22'!H174</f>
        <v>3043150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627200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2415000</v>
      </c>
      <c r="C1329" s="2" t="s">
        <v>594</v>
      </c>
      <c r="D1329" s="2" t="str">
        <f t="shared" si="19"/>
        <v>Error?</v>
      </c>
    </row>
    <row r="1330" spans="1:4" x14ac:dyDescent="0.2">
      <c r="A1330" s="5">
        <v>1269</v>
      </c>
      <c r="B1330" s="138">
        <f>'Expenditures 15-22'!K171</f>
        <v>950</v>
      </c>
      <c r="C1330" s="2" t="s">
        <v>594</v>
      </c>
      <c r="D1330" s="2" t="str">
        <f t="shared" si="19"/>
        <v>Error?</v>
      </c>
    </row>
    <row r="1331" spans="1:4" x14ac:dyDescent="0.2">
      <c r="A1331" s="5">
        <v>1270</v>
      </c>
      <c r="B1331" s="138">
        <f>'Expenditures 15-22'!K172</f>
        <v>3043150</v>
      </c>
      <c r="C1331" s="2" t="s">
        <v>594</v>
      </c>
      <c r="D1331" s="2" t="str">
        <f t="shared" si="19"/>
        <v>Error?</v>
      </c>
    </row>
    <row r="1332" spans="1:4" x14ac:dyDescent="0.2">
      <c r="A1332" s="5">
        <v>1271</v>
      </c>
      <c r="B1332" s="138">
        <f>'Expenditures 15-22'!K174</f>
        <v>3043150</v>
      </c>
      <c r="C1332" s="2" t="s">
        <v>594</v>
      </c>
      <c r="D1332" s="2" t="str">
        <f t="shared" si="19"/>
        <v>Error?</v>
      </c>
    </row>
    <row r="1333" spans="1:4" x14ac:dyDescent="0.2">
      <c r="A1333" s="5">
        <v>1272</v>
      </c>
      <c r="B1333" s="138">
        <f>'Expenditures 15-22'!K175</f>
        <v>245522</v>
      </c>
      <c r="C1333" s="2" t="s">
        <v>594</v>
      </c>
      <c r="D1333" s="2" t="str">
        <f t="shared" si="19"/>
        <v>Error?</v>
      </c>
    </row>
    <row r="1334" spans="1:4" x14ac:dyDescent="0.2">
      <c r="A1334" s="10">
        <v>1273</v>
      </c>
      <c r="D1334" s="2" t="str">
        <f t="shared" si="19"/>
        <v>OK</v>
      </c>
    </row>
    <row r="1335" spans="1:4" x14ac:dyDescent="0.2">
      <c r="A1335" s="5">
        <v>1274</v>
      </c>
      <c r="B1335" s="138">
        <f>'Expenditures 15-22'!C182</f>
        <v>1156376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1156376</v>
      </c>
      <c r="C1339" s="2" t="s">
        <v>594</v>
      </c>
      <c r="D1339" s="2" t="str">
        <f t="shared" si="19"/>
        <v>Error?</v>
      </c>
    </row>
    <row r="1340" spans="1:4" x14ac:dyDescent="0.2">
      <c r="A1340" s="5">
        <v>1279</v>
      </c>
      <c r="B1340" s="138">
        <f>'Expenditures 15-22'!C210</f>
        <v>1156376</v>
      </c>
      <c r="C1340" s="2" t="s">
        <v>594</v>
      </c>
      <c r="D1340" s="2" t="str">
        <f t="shared" si="19"/>
        <v>Error?</v>
      </c>
    </row>
    <row r="1341" spans="1:4" x14ac:dyDescent="0.2">
      <c r="A1341" s="5">
        <v>1280</v>
      </c>
      <c r="B1341" s="138">
        <f>'Expenditures 15-22'!D182</f>
        <v>363912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363912</v>
      </c>
      <c r="C1345" s="2" t="s">
        <v>594</v>
      </c>
      <c r="D1345" s="2" t="str">
        <f t="shared" si="20"/>
        <v>Error?</v>
      </c>
    </row>
    <row r="1346" spans="1:4" x14ac:dyDescent="0.2">
      <c r="A1346" s="5">
        <v>1285</v>
      </c>
      <c r="B1346" s="138">
        <f>'Expenditures 15-22'!D210</f>
        <v>363912</v>
      </c>
      <c r="C1346" s="2" t="s">
        <v>594</v>
      </c>
      <c r="D1346" s="2" t="str">
        <f t="shared" si="20"/>
        <v>Error?</v>
      </c>
    </row>
    <row r="1347" spans="1:4" x14ac:dyDescent="0.2">
      <c r="A1347" s="5">
        <v>1286</v>
      </c>
      <c r="B1347" s="138">
        <f>'Expenditures 15-22'!E182</f>
        <v>262772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262772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262772</v>
      </c>
      <c r="C1353" s="2" t="s">
        <v>594</v>
      </c>
      <c r="D1353" s="2" t="str">
        <f t="shared" si="20"/>
        <v>Error?</v>
      </c>
    </row>
    <row r="1354" spans="1:4" x14ac:dyDescent="0.2">
      <c r="A1354" s="5">
        <v>1293</v>
      </c>
      <c r="B1354" s="138">
        <f>'Expenditures 15-22'!F182</f>
        <v>200951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200951</v>
      </c>
      <c r="C1358" s="2" t="s">
        <v>594</v>
      </c>
      <c r="D1358" s="2" t="str">
        <f t="shared" si="20"/>
        <v>Error?</v>
      </c>
    </row>
    <row r="1359" spans="1:4" x14ac:dyDescent="0.2">
      <c r="A1359" s="5">
        <v>1298</v>
      </c>
      <c r="B1359" s="138">
        <f>'Expenditures 15-22'!F210</f>
        <v>200951</v>
      </c>
      <c r="C1359" s="2" t="s">
        <v>594</v>
      </c>
      <c r="D1359" s="2" t="str">
        <f t="shared" si="20"/>
        <v>Error?</v>
      </c>
    </row>
    <row r="1360" spans="1:4" x14ac:dyDescent="0.2">
      <c r="A1360" s="5">
        <v>1299</v>
      </c>
      <c r="B1360" s="138">
        <f>'Expenditures 15-22'!G182</f>
        <v>201124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201124</v>
      </c>
      <c r="C1364" s="2" t="s">
        <v>594</v>
      </c>
      <c r="D1364" s="2" t="str">
        <f t="shared" si="20"/>
        <v>Error?</v>
      </c>
    </row>
    <row r="1365" spans="1:4" x14ac:dyDescent="0.2">
      <c r="A1365" s="5">
        <v>1304</v>
      </c>
      <c r="B1365" s="138">
        <f>'Expenditures 15-22'!G210</f>
        <v>201124</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255858</v>
      </c>
      <c r="C1375" s="2" t="s">
        <v>594</v>
      </c>
      <c r="D1375" s="2" t="str">
        <f t="shared" si="20"/>
        <v>Error?</v>
      </c>
    </row>
    <row r="1376" spans="1:4" x14ac:dyDescent="0.2">
      <c r="A1376" s="5">
        <v>1315</v>
      </c>
      <c r="B1376" s="138">
        <f>'Expenditures 15-22'!H210</f>
        <v>255858</v>
      </c>
      <c r="C1376" s="2" t="s">
        <v>594</v>
      </c>
      <c r="D1376" s="2" t="str">
        <f t="shared" si="20"/>
        <v>Error?</v>
      </c>
    </row>
    <row r="1377" spans="1:4" x14ac:dyDescent="0.2">
      <c r="A1377" s="5">
        <v>1316</v>
      </c>
      <c r="B1377" s="138">
        <f>'Expenditures 15-22'!K182</f>
        <v>2185135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2185135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255858</v>
      </c>
      <c r="C1387" s="2" t="s">
        <v>594</v>
      </c>
      <c r="D1387" s="2" t="str">
        <f t="shared" si="20"/>
        <v>Error?</v>
      </c>
    </row>
    <row r="1388" spans="1:4" x14ac:dyDescent="0.2">
      <c r="A1388" s="5">
        <v>1327</v>
      </c>
      <c r="B1388" s="138">
        <f>'Expenditures 15-22'!K210</f>
        <v>2440993</v>
      </c>
      <c r="C1388" s="2" t="s">
        <v>594</v>
      </c>
      <c r="D1388" s="2" t="str">
        <f t="shared" si="20"/>
        <v>Error?</v>
      </c>
    </row>
    <row r="1389" spans="1:4" x14ac:dyDescent="0.2">
      <c r="A1389" s="5">
        <v>1328</v>
      </c>
      <c r="B1389" s="138">
        <f>'Expenditures 15-22'!K211</f>
        <v>-80163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2338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8423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4883</v>
      </c>
      <c r="D1408" s="2" t="str">
        <f t="shared" si="21"/>
        <v>Error?</v>
      </c>
    </row>
    <row r="1409" spans="1:4" x14ac:dyDescent="0.2">
      <c r="A1409" s="5">
        <v>1348</v>
      </c>
      <c r="B1409" s="138">
        <f>'Expenditures 15-22'!D224</f>
        <v>672</v>
      </c>
      <c r="D1409" s="2" t="str">
        <f t="shared" si="21"/>
        <v>Error?</v>
      </c>
    </row>
    <row r="1410" spans="1:4" x14ac:dyDescent="0.2">
      <c r="A1410" s="5">
        <v>1349</v>
      </c>
      <c r="B1410" s="138">
        <f>'Expenditures 15-22'!D229</f>
        <v>265606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2864</v>
      </c>
      <c r="D1412" s="2" t="str">
        <f t="shared" si="21"/>
        <v>Error?</v>
      </c>
    </row>
    <row r="1413" spans="1:4" x14ac:dyDescent="0.2">
      <c r="A1413" s="5">
        <v>1352</v>
      </c>
      <c r="B1413" s="138">
        <f>'Expenditures 15-22'!D234</f>
        <v>21516</v>
      </c>
      <c r="D1413" s="2" t="str">
        <f t="shared" si="21"/>
        <v>Error?</v>
      </c>
    </row>
    <row r="1414" spans="1:4" x14ac:dyDescent="0.2">
      <c r="A1414" s="5">
        <v>1353</v>
      </c>
      <c r="B1414" s="138">
        <f>'Expenditures 15-22'!D235</f>
        <v>3926</v>
      </c>
      <c r="D1414" s="2" t="str">
        <f t="shared" si="21"/>
        <v>Error?</v>
      </c>
    </row>
    <row r="1415" spans="1:4" x14ac:dyDescent="0.2">
      <c r="A1415" s="5">
        <v>1354</v>
      </c>
      <c r="B1415" s="138">
        <f>'Expenditures 15-22'!D236</f>
        <v>4702</v>
      </c>
      <c r="D1415" s="2" t="str">
        <f t="shared" si="21"/>
        <v>Error?</v>
      </c>
    </row>
    <row r="1416" spans="1:4" x14ac:dyDescent="0.2">
      <c r="A1416" s="5">
        <v>1355</v>
      </c>
      <c r="B1416" s="138">
        <f>'Expenditures 15-22'!D237</f>
        <v>7276</v>
      </c>
      <c r="D1416" s="2" t="str">
        <f t="shared" si="21"/>
        <v>Error?</v>
      </c>
    </row>
    <row r="1417" spans="1:4" x14ac:dyDescent="0.2">
      <c r="A1417" s="5">
        <v>1356</v>
      </c>
      <c r="B1417" s="138">
        <f>'Expenditures 15-22'!D238</f>
        <v>40284</v>
      </c>
      <c r="C1417" s="2" t="s">
        <v>594</v>
      </c>
      <c r="D1417" s="2" t="str">
        <f t="shared" si="21"/>
        <v>Error?</v>
      </c>
    </row>
    <row r="1418" spans="1:4" x14ac:dyDescent="0.2">
      <c r="A1418" s="5">
        <v>1357</v>
      </c>
      <c r="B1418" s="138">
        <f>'Expenditures 15-22'!D240</f>
        <v>2475</v>
      </c>
      <c r="D1418" s="2" t="str">
        <f t="shared" si="21"/>
        <v>Error?</v>
      </c>
    </row>
    <row r="1419" spans="1:4" x14ac:dyDescent="0.2">
      <c r="A1419" s="5">
        <v>1358</v>
      </c>
      <c r="B1419" s="138">
        <f>'Expenditures 15-22'!D241</f>
        <v>15464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17939</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20646</v>
      </c>
      <c r="D1423" s="2" t="str">
        <f t="shared" si="21"/>
        <v>Error?</v>
      </c>
    </row>
    <row r="1424" spans="1:4" x14ac:dyDescent="0.2">
      <c r="A1424" s="5">
        <v>1363</v>
      </c>
      <c r="B1424" s="138">
        <f>'Expenditures 15-22'!D257</f>
        <v>20646</v>
      </c>
      <c r="C1424" s="2" t="s">
        <v>594</v>
      </c>
      <c r="D1424" s="2" t="str">
        <f t="shared" si="21"/>
        <v>Error?</v>
      </c>
    </row>
    <row r="1425" spans="1:4" x14ac:dyDescent="0.2">
      <c r="A1425" s="5">
        <v>1364</v>
      </c>
      <c r="B1425" s="138">
        <f>'Expenditures 15-22'!D259</f>
        <v>46519</v>
      </c>
      <c r="D1425" s="2" t="str">
        <f t="shared" si="21"/>
        <v>Error?</v>
      </c>
    </row>
    <row r="1426" spans="1:4" x14ac:dyDescent="0.2">
      <c r="A1426" s="5">
        <v>1365</v>
      </c>
      <c r="B1426" s="138">
        <f>'Expenditures 15-22'!D260</f>
        <v>13035</v>
      </c>
      <c r="D1426" s="2" t="str">
        <f t="shared" si="21"/>
        <v>Error?</v>
      </c>
    </row>
    <row r="1427" spans="1:4" x14ac:dyDescent="0.2">
      <c r="A1427" s="5">
        <v>1366</v>
      </c>
      <c r="B1427" s="138">
        <f>'Expenditures 15-22'!D261</f>
        <v>59554</v>
      </c>
      <c r="C1427" s="2" t="s">
        <v>594</v>
      </c>
      <c r="D1427" s="2" t="str">
        <f t="shared" si="21"/>
        <v>Error?</v>
      </c>
    </row>
    <row r="1428" spans="1:4" x14ac:dyDescent="0.2">
      <c r="A1428" s="5">
        <v>1367</v>
      </c>
      <c r="B1428" s="138">
        <f>'Expenditures 15-22'!D263</f>
        <v>35638</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60760</v>
      </c>
      <c r="D1431" s="2" t="str">
        <f t="shared" si="21"/>
        <v>Error?</v>
      </c>
    </row>
    <row r="1432" spans="1:4" x14ac:dyDescent="0.2">
      <c r="A1432" s="5">
        <v>1371</v>
      </c>
      <c r="B1432" s="138">
        <f>'Expenditures 15-22'!D267</f>
        <v>207061</v>
      </c>
      <c r="D1432" s="2" t="str">
        <f t="shared" si="21"/>
        <v>Error?</v>
      </c>
    </row>
    <row r="1433" spans="1:4" x14ac:dyDescent="0.2">
      <c r="A1433" s="5">
        <v>1372</v>
      </c>
      <c r="B1433" s="138">
        <f>'Expenditures 15-22'!D268</f>
        <v>8274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311733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12601</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12601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462757</v>
      </c>
      <c r="C1446" s="2" t="s">
        <v>594</v>
      </c>
      <c r="D1446" s="2" t="str">
        <f t="shared" si="21"/>
        <v>Error?</v>
      </c>
    </row>
    <row r="1447" spans="1:4" x14ac:dyDescent="0.2">
      <c r="A1447" s="5">
        <v>1386</v>
      </c>
      <c r="B1447" s="138">
        <f>'Expenditures 15-22'!D280</f>
        <v>547</v>
      </c>
      <c r="D1447" s="2" t="str">
        <f t="shared" si="21"/>
        <v>Error?</v>
      </c>
    </row>
    <row r="1448" spans="1:4" x14ac:dyDescent="0.2">
      <c r="A1448" s="5">
        <v>1387</v>
      </c>
      <c r="B1448" s="138">
        <f>'Expenditures 15-22'!D295</f>
        <v>789651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2338</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8423</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4883</v>
      </c>
      <c r="C1472" s="2" t="s">
        <v>594</v>
      </c>
      <c r="D1472" s="2" t="str">
        <f t="shared" si="22"/>
        <v>Error?</v>
      </c>
    </row>
    <row r="1473" spans="1:4" x14ac:dyDescent="0.2">
      <c r="A1473" s="5">
        <v>1412</v>
      </c>
      <c r="B1473" s="138">
        <f>'Expenditures 15-22'!K224</f>
        <v>672</v>
      </c>
      <c r="C1473" s="2" t="s">
        <v>594</v>
      </c>
      <c r="D1473" s="2" t="str">
        <f t="shared" si="22"/>
        <v>Error?</v>
      </c>
    </row>
    <row r="1474" spans="1:4" x14ac:dyDescent="0.2">
      <c r="A1474" s="5">
        <v>1413</v>
      </c>
      <c r="B1474" s="138">
        <f>'Expenditures 15-22'!K229</f>
        <v>265606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2864</v>
      </c>
      <c r="C1476" s="2" t="s">
        <v>594</v>
      </c>
      <c r="D1476" s="2" t="str">
        <f t="shared" si="22"/>
        <v>Error?</v>
      </c>
    </row>
    <row r="1477" spans="1:4" x14ac:dyDescent="0.2">
      <c r="A1477" s="5">
        <v>1416</v>
      </c>
      <c r="B1477" s="138">
        <f>'Expenditures 15-22'!K234</f>
        <v>21516</v>
      </c>
      <c r="C1477" s="2" t="s">
        <v>594</v>
      </c>
      <c r="D1477" s="2" t="str">
        <f t="shared" si="22"/>
        <v>Error?</v>
      </c>
    </row>
    <row r="1478" spans="1:4" x14ac:dyDescent="0.2">
      <c r="A1478" s="5">
        <v>1417</v>
      </c>
      <c r="B1478" s="138">
        <f>'Expenditures 15-22'!K235</f>
        <v>3926</v>
      </c>
      <c r="C1478" s="2" t="s">
        <v>594</v>
      </c>
      <c r="D1478" s="2" t="str">
        <f t="shared" si="22"/>
        <v>Error?</v>
      </c>
    </row>
    <row r="1479" spans="1:4" x14ac:dyDescent="0.2">
      <c r="A1479" s="5">
        <v>1418</v>
      </c>
      <c r="B1479" s="138">
        <f>'Expenditures 15-22'!K236</f>
        <v>4702</v>
      </c>
      <c r="C1479" s="2" t="s">
        <v>594</v>
      </c>
      <c r="D1479" s="2" t="str">
        <f t="shared" si="22"/>
        <v>Error?</v>
      </c>
    </row>
    <row r="1480" spans="1:4" x14ac:dyDescent="0.2">
      <c r="A1480" s="5">
        <v>1419</v>
      </c>
      <c r="B1480" s="138">
        <f>'Expenditures 15-22'!K237</f>
        <v>7276</v>
      </c>
      <c r="C1480" s="2" t="s">
        <v>594</v>
      </c>
      <c r="D1480" s="2" t="str">
        <f t="shared" si="22"/>
        <v>Error?</v>
      </c>
    </row>
    <row r="1481" spans="1:4" x14ac:dyDescent="0.2">
      <c r="A1481" s="5">
        <v>1420</v>
      </c>
      <c r="B1481" s="138">
        <f>'Expenditures 15-22'!K238</f>
        <v>40284</v>
      </c>
      <c r="C1481" s="2" t="s">
        <v>594</v>
      </c>
      <c r="D1481" s="2" t="str">
        <f t="shared" si="22"/>
        <v>Error?</v>
      </c>
    </row>
    <row r="1482" spans="1:4" x14ac:dyDescent="0.2">
      <c r="A1482" s="5">
        <v>1421</v>
      </c>
      <c r="B1482" s="138">
        <f>'Expenditures 15-22'!K240</f>
        <v>2475</v>
      </c>
      <c r="C1482" s="2" t="s">
        <v>594</v>
      </c>
      <c r="D1482" s="2" t="str">
        <f t="shared" si="22"/>
        <v>Error?</v>
      </c>
    </row>
    <row r="1483" spans="1:4" x14ac:dyDescent="0.2">
      <c r="A1483" s="5">
        <v>1422</v>
      </c>
      <c r="B1483" s="138">
        <f>'Expenditures 15-22'!K241</f>
        <v>15464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17939</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20646</v>
      </c>
      <c r="C1487" s="2" t="s">
        <v>594</v>
      </c>
      <c r="D1487" s="2" t="str">
        <f t="shared" si="22"/>
        <v>Error?</v>
      </c>
    </row>
    <row r="1488" spans="1:4" x14ac:dyDescent="0.2">
      <c r="A1488" s="5">
        <v>1427</v>
      </c>
      <c r="B1488" s="138">
        <f>'Expenditures 15-22'!K257</f>
        <v>20646</v>
      </c>
      <c r="C1488" s="2" t="s">
        <v>594</v>
      </c>
      <c r="D1488" s="2" t="str">
        <f t="shared" si="22"/>
        <v>Error?</v>
      </c>
    </row>
    <row r="1489" spans="1:4" x14ac:dyDescent="0.2">
      <c r="A1489" s="5">
        <v>1428</v>
      </c>
      <c r="B1489" s="138">
        <f>'Expenditures 15-22'!K259</f>
        <v>46519</v>
      </c>
      <c r="C1489" s="2" t="s">
        <v>594</v>
      </c>
      <c r="D1489" s="2" t="str">
        <f t="shared" si="22"/>
        <v>Error?</v>
      </c>
    </row>
    <row r="1490" spans="1:4" x14ac:dyDescent="0.2">
      <c r="A1490" s="5">
        <v>1429</v>
      </c>
      <c r="B1490" s="138">
        <f>'Expenditures 15-22'!K260</f>
        <v>13035</v>
      </c>
      <c r="C1490" s="2" t="s">
        <v>594</v>
      </c>
      <c r="D1490" s="2" t="str">
        <f t="shared" si="22"/>
        <v>Error?</v>
      </c>
    </row>
    <row r="1491" spans="1:4" x14ac:dyDescent="0.2">
      <c r="A1491" s="5">
        <v>1430</v>
      </c>
      <c r="B1491" s="138">
        <f>'Expenditures 15-22'!K261</f>
        <v>59554</v>
      </c>
      <c r="C1491" s="2" t="s">
        <v>594</v>
      </c>
      <c r="D1491" s="2" t="str">
        <f t="shared" si="22"/>
        <v>Error?</v>
      </c>
    </row>
    <row r="1492" spans="1:4" x14ac:dyDescent="0.2">
      <c r="A1492" s="5">
        <v>1431</v>
      </c>
      <c r="B1492" s="138">
        <f>'Expenditures 15-22'!K263</f>
        <v>35638</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60760</v>
      </c>
      <c r="C1495" s="2" t="s">
        <v>594</v>
      </c>
      <c r="D1495" s="2" t="str">
        <f t="shared" si="22"/>
        <v>Error?</v>
      </c>
    </row>
    <row r="1496" spans="1:4" x14ac:dyDescent="0.2">
      <c r="A1496" s="5">
        <v>1435</v>
      </c>
      <c r="B1496" s="138">
        <f>'Expenditures 15-22'!K267</f>
        <v>207061</v>
      </c>
      <c r="C1496" s="2" t="s">
        <v>594</v>
      </c>
      <c r="D1496" s="2" t="str">
        <f t="shared" si="22"/>
        <v>Error?</v>
      </c>
    </row>
    <row r="1497" spans="1:4" x14ac:dyDescent="0.2">
      <c r="A1497" s="5">
        <v>1436</v>
      </c>
      <c r="B1497" s="138">
        <f>'Expenditures 15-22'!K268</f>
        <v>8274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311733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12601</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12601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462757</v>
      </c>
      <c r="C1510" s="2" t="s">
        <v>594</v>
      </c>
      <c r="D1510" s="2" t="str">
        <f t="shared" si="22"/>
        <v>Error?</v>
      </c>
    </row>
    <row r="1511" spans="1:4" x14ac:dyDescent="0.2">
      <c r="A1511" s="5">
        <v>1450</v>
      </c>
      <c r="B1511" s="138">
        <f>'Expenditures 15-22'!K280</f>
        <v>547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789651</v>
      </c>
      <c r="C1517" s="2" t="s">
        <v>594</v>
      </c>
      <c r="D1517" s="2" t="str">
        <f t="shared" si="22"/>
        <v>Error?</v>
      </c>
    </row>
    <row r="1518" spans="1:4" x14ac:dyDescent="0.2">
      <c r="A1518" s="5">
        <v>1457</v>
      </c>
      <c r="B1518" s="138">
        <f>'Expenditures 15-22'!K296</f>
        <v>44060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38378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38378</v>
      </c>
      <c r="C1535" s="2" t="s">
        <v>594</v>
      </c>
      <c r="D1535" s="2" t="str">
        <f t="shared" ref="D1535:D1598" si="23">IF(ISBLANK(B1535),"OK",IF(A1535-B1535=0,"OK","Error?"))</f>
        <v>Error?</v>
      </c>
    </row>
    <row r="1536" spans="1:4" x14ac:dyDescent="0.2">
      <c r="A1536" s="5">
        <v>1475</v>
      </c>
      <c r="B1536" s="138">
        <f>'Expenditures 15-22'!E312</f>
        <v>38378</v>
      </c>
      <c r="C1536" s="2" t="s">
        <v>594</v>
      </c>
      <c r="D1536" s="2" t="str">
        <f t="shared" si="23"/>
        <v>Error?</v>
      </c>
    </row>
    <row r="1537" spans="1:4" x14ac:dyDescent="0.2">
      <c r="A1537" s="5">
        <v>1476</v>
      </c>
      <c r="B1537" s="138">
        <f>'Expenditures 15-22'!F301</f>
        <v>81755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81755</v>
      </c>
      <c r="C1541" s="2" t="s">
        <v>594</v>
      </c>
      <c r="D1541" s="2" t="str">
        <f t="shared" si="23"/>
        <v>Error?</v>
      </c>
    </row>
    <row r="1542" spans="1:4" x14ac:dyDescent="0.2">
      <c r="A1542" s="5">
        <v>1481</v>
      </c>
      <c r="B1542" s="138">
        <f>'Expenditures 15-22'!F312</f>
        <v>81755</v>
      </c>
      <c r="C1542" s="2" t="s">
        <v>594</v>
      </c>
      <c r="D1542" s="2" t="str">
        <f t="shared" si="23"/>
        <v>Error?</v>
      </c>
    </row>
    <row r="1543" spans="1:4" x14ac:dyDescent="0.2">
      <c r="A1543" s="5">
        <v>1482</v>
      </c>
      <c r="B1543" s="138">
        <f>'Expenditures 15-22'!G301</f>
        <v>1000836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1000836</v>
      </c>
      <c r="C1547" s="2" t="s">
        <v>594</v>
      </c>
      <c r="D1547" s="2" t="str">
        <f t="shared" si="23"/>
        <v>Error?</v>
      </c>
    </row>
    <row r="1548" spans="1:4" x14ac:dyDescent="0.2">
      <c r="A1548" s="5">
        <v>1487</v>
      </c>
      <c r="B1548" s="138">
        <f>'Expenditures 15-22'!G312</f>
        <v>1000836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1120969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1120969</v>
      </c>
      <c r="C1559" s="2" t="s">
        <v>594</v>
      </c>
      <c r="D1559" s="2" t="str">
        <f t="shared" si="23"/>
        <v>Error?</v>
      </c>
    </row>
    <row r="1560" spans="1:4" x14ac:dyDescent="0.2">
      <c r="A1560" s="5">
        <v>1499</v>
      </c>
      <c r="B1560" s="138">
        <f>'Expenditures 15-22'!K312</f>
        <v>1120969</v>
      </c>
      <c r="C1560" s="2" t="s">
        <v>594</v>
      </c>
      <c r="D1560" s="2" t="str">
        <f t="shared" si="23"/>
        <v>Error?</v>
      </c>
    </row>
    <row r="1561" spans="1:4" x14ac:dyDescent="0.2">
      <c r="A1561" s="5">
        <v>1500</v>
      </c>
      <c r="B1561" s="138">
        <f>'Expenditures 15-22'!K313</f>
        <v>-1047441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21059450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22906110</v>
      </c>
      <c r="C1630" s="2" t="s">
        <v>594</v>
      </c>
      <c r="D1630" s="2" t="str">
        <f t="shared" si="24"/>
        <v>Error?</v>
      </c>
    </row>
    <row r="1631" spans="1:4" x14ac:dyDescent="0.2">
      <c r="A1631" s="5">
        <v>1570</v>
      </c>
      <c r="B1631" s="138">
        <f>'Acct Summary 7-8'!D79</f>
        <v>2668036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3005372</v>
      </c>
      <c r="C1644" s="2" t="s">
        <v>594</v>
      </c>
      <c r="D1644" s="2" t="str">
        <f t="shared" si="24"/>
        <v>Error?</v>
      </c>
    </row>
    <row r="1645" spans="1:4" x14ac:dyDescent="0.2">
      <c r="A1645" s="5">
        <v>1584</v>
      </c>
      <c r="B1645" s="138">
        <f>'Acct Summary 7-8'!E79</f>
        <v>2247152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2492674</v>
      </c>
      <c r="C1658" s="2" t="s">
        <v>594</v>
      </c>
      <c r="D1658" s="2" t="str">
        <f t="shared" si="24"/>
        <v>Error?</v>
      </c>
    </row>
    <row r="1659" spans="1:4" x14ac:dyDescent="0.2">
      <c r="A1659" s="5">
        <v>1598</v>
      </c>
      <c r="B1659" s="138">
        <f>'Acct Summary 7-8'!F79</f>
        <v>2147691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2268652</v>
      </c>
      <c r="C1672" s="2" t="s">
        <v>594</v>
      </c>
      <c r="D1672" s="2" t="str">
        <f t="shared" si="25"/>
        <v>Error?</v>
      </c>
    </row>
    <row r="1673" spans="1:4" x14ac:dyDescent="0.2">
      <c r="A1673" s="5">
        <v>1612</v>
      </c>
      <c r="B1673" s="138">
        <f>'Acct Summary 7-8'!G79</f>
        <v>254445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298505</v>
      </c>
      <c r="C1686" s="2" t="s">
        <v>594</v>
      </c>
      <c r="D1686" s="2" t="str">
        <f t="shared" si="25"/>
        <v>Error?</v>
      </c>
    </row>
    <row r="1687" spans="1:4" x14ac:dyDescent="0.2">
      <c r="A1687" s="5">
        <v>1626</v>
      </c>
      <c r="B1687" s="138">
        <f>'Acct Summary 7-8'!H79</f>
        <v>1071073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2023632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20970997</v>
      </c>
      <c r="C1744" s="2" t="s">
        <v>594</v>
      </c>
      <c r="D1744" s="2" t="str">
        <f t="shared" si="26"/>
        <v>Error?</v>
      </c>
    </row>
    <row r="1745" spans="1:5" x14ac:dyDescent="0.2">
      <c r="A1745" s="5">
        <v>1684</v>
      </c>
      <c r="B1745" s="138">
        <f>'Tax Sched 23'!B5</f>
        <v>2591533</v>
      </c>
      <c r="C1745" s="2" t="s">
        <v>594</v>
      </c>
      <c r="D1745" s="2" t="str">
        <f t="shared" si="26"/>
        <v>Error?</v>
      </c>
    </row>
    <row r="1746" spans="1:5" x14ac:dyDescent="0.2">
      <c r="A1746" s="5">
        <v>1685</v>
      </c>
      <c r="B1746" s="138">
        <f>'Tax Sched 23'!B6</f>
        <v>3275818</v>
      </c>
      <c r="C1746" s="2" t="s">
        <v>594</v>
      </c>
      <c r="D1746" s="2" t="str">
        <f t="shared" si="26"/>
        <v>Error?</v>
      </c>
    </row>
    <row r="1747" spans="1:5" x14ac:dyDescent="0.2">
      <c r="A1747" s="5">
        <v>1686</v>
      </c>
      <c r="B1747" s="138">
        <f>'Tax Sched 23'!B7</f>
        <v>1273151</v>
      </c>
      <c r="C1747" s="2" t="s">
        <v>594</v>
      </c>
      <c r="D1747" s="2" t="str">
        <f t="shared" si="26"/>
        <v>Error?</v>
      </c>
    </row>
    <row r="1748" spans="1:5" x14ac:dyDescent="0.2">
      <c r="A1748" s="5">
        <v>1687</v>
      </c>
      <c r="B1748" s="138">
        <f>'Tax Sched 23'!B8</f>
        <v>195974</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28935505</v>
      </c>
      <c r="C1759" s="2" t="s">
        <v>594</v>
      </c>
      <c r="D1759" s="2" t="str">
        <f t="shared" si="26"/>
        <v>Error?</v>
      </c>
    </row>
    <row r="1760" spans="1:5" x14ac:dyDescent="0.2">
      <c r="A1760" s="5">
        <v>1699</v>
      </c>
      <c r="B1760" s="138">
        <f>'Tax Sched 23'!D4</f>
        <v>9732735</v>
      </c>
      <c r="C1760" s="2" t="s">
        <v>594</v>
      </c>
      <c r="D1760" s="2" t="str">
        <f t="shared" si="26"/>
        <v>Error?</v>
      </c>
    </row>
    <row r="1761" spans="1:5" x14ac:dyDescent="0.2">
      <c r="A1761" s="5">
        <v>1700</v>
      </c>
      <c r="B1761" s="138">
        <f>'Tax Sched 23'!D5</f>
        <v>1202605</v>
      </c>
      <c r="C1761" s="2" t="s">
        <v>594</v>
      </c>
      <c r="D1761" s="2" t="str">
        <f t="shared" si="26"/>
        <v>Error?</v>
      </c>
    </row>
    <row r="1762" spans="1:5" s="8" customFormat="1" x14ac:dyDescent="0.2">
      <c r="A1762" s="5">
        <v>1701</v>
      </c>
      <c r="B1762" s="138">
        <f>'Tax Sched 23'!D6</f>
        <v>1533825</v>
      </c>
      <c r="C1762" s="2" t="s">
        <v>594</v>
      </c>
      <c r="D1762" s="2" t="str">
        <f t="shared" si="26"/>
        <v>Error?</v>
      </c>
      <c r="E1762" s="9"/>
    </row>
    <row r="1763" spans="1:5" x14ac:dyDescent="0.2">
      <c r="A1763" s="5">
        <v>1702</v>
      </c>
      <c r="B1763" s="138">
        <f>'Tax Sched 23'!D7</f>
        <v>590705</v>
      </c>
      <c r="C1763" s="2" t="s">
        <v>594</v>
      </c>
      <c r="D1763" s="2" t="str">
        <f t="shared" si="26"/>
        <v>Error?</v>
      </c>
    </row>
    <row r="1764" spans="1:5" x14ac:dyDescent="0.2">
      <c r="A1764" s="5">
        <v>1703</v>
      </c>
      <c r="B1764" s="138">
        <f>'Tax Sched 23'!D8</f>
        <v>90893</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13442369</v>
      </c>
      <c r="C1775" s="2" t="s">
        <v>594</v>
      </c>
      <c r="D1775" s="2" t="str">
        <f t="shared" si="26"/>
        <v>Error?</v>
      </c>
    </row>
    <row r="1776" spans="1:5" x14ac:dyDescent="0.2">
      <c r="A1776" s="5">
        <v>1715</v>
      </c>
      <c r="B1776" s="138">
        <f>'Tax Sched 23'!C4</f>
        <v>11238262</v>
      </c>
      <c r="D1776" s="2" t="str">
        <f t="shared" si="26"/>
        <v>Error?</v>
      </c>
    </row>
    <row r="1777" spans="1:4" x14ac:dyDescent="0.2">
      <c r="A1777" s="5">
        <v>1716</v>
      </c>
      <c r="B1777" s="138">
        <f>'Tax Sched 23'!C5</f>
        <v>1388928</v>
      </c>
      <c r="D1777" s="2" t="str">
        <f t="shared" si="26"/>
        <v>Error?</v>
      </c>
    </row>
    <row r="1778" spans="1:4" x14ac:dyDescent="0.2">
      <c r="A1778" s="5">
        <v>1717</v>
      </c>
      <c r="B1778" s="138">
        <f>'Tax Sched 23'!C6</f>
        <v>1741993</v>
      </c>
      <c r="D1778" s="2" t="str">
        <f t="shared" si="26"/>
        <v>Error?</v>
      </c>
    </row>
    <row r="1779" spans="1:4" x14ac:dyDescent="0.2">
      <c r="A1779" s="5">
        <v>1718</v>
      </c>
      <c r="B1779" s="138">
        <f>'Tax Sched 23'!C7</f>
        <v>682446</v>
      </c>
      <c r="D1779" s="2" t="str">
        <f t="shared" si="26"/>
        <v>Error?</v>
      </c>
    </row>
    <row r="1780" spans="1:4" x14ac:dyDescent="0.2">
      <c r="A1780" s="5">
        <v>1719</v>
      </c>
      <c r="B1780" s="138">
        <f>'Tax Sched 23'!C8</f>
        <v>105081</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15493136</v>
      </c>
      <c r="C1791" s="2" t="s">
        <v>594</v>
      </c>
      <c r="D1791" s="2" t="str">
        <f t="shared" ref="D1791:D1854" si="27">IF(ISBLANK(B1791),"OK",IF(A1791-B1791=0,"OK","Error?"))</f>
        <v>Error?</v>
      </c>
    </row>
    <row r="1792" spans="1:4" x14ac:dyDescent="0.2">
      <c r="A1792" s="5">
        <v>1731</v>
      </c>
      <c r="B1792" s="138">
        <f>'Tax Sched 23'!F4</f>
        <v>8593554</v>
      </c>
      <c r="C1792" s="2" t="s">
        <v>594</v>
      </c>
      <c r="D1792" s="2" t="str">
        <f t="shared" si="27"/>
        <v>Error?</v>
      </c>
    </row>
    <row r="1793" spans="1:4" x14ac:dyDescent="0.2">
      <c r="A1793" s="5">
        <v>1732</v>
      </c>
      <c r="B1793" s="138">
        <f>'Tax Sched 23'!F5</f>
        <v>1062071</v>
      </c>
      <c r="C1793" s="2" t="s">
        <v>594</v>
      </c>
      <c r="D1793" s="2" t="str">
        <f t="shared" si="27"/>
        <v>Error?</v>
      </c>
    </row>
    <row r="1794" spans="1:4" x14ac:dyDescent="0.2">
      <c r="A1794" s="5">
        <v>1733</v>
      </c>
      <c r="B1794" s="138">
        <f>'Tax Sched 23'!F6</f>
        <v>1332048</v>
      </c>
      <c r="C1794" s="2" t="s">
        <v>594</v>
      </c>
      <c r="D1794" s="2" t="str">
        <f t="shared" si="27"/>
        <v>Error?</v>
      </c>
    </row>
    <row r="1795" spans="1:4" x14ac:dyDescent="0.2">
      <c r="A1795" s="5">
        <v>1734</v>
      </c>
      <c r="B1795" s="138">
        <f>'Tax Sched 23'!F7</f>
        <v>521846</v>
      </c>
      <c r="C1795" s="2" t="s">
        <v>594</v>
      </c>
      <c r="D1795" s="2" t="str">
        <f t="shared" si="27"/>
        <v>Error?</v>
      </c>
    </row>
    <row r="1796" spans="1:4" x14ac:dyDescent="0.2">
      <c r="A1796" s="5">
        <v>1735</v>
      </c>
      <c r="B1796" s="138">
        <f>'Tax Sched 23'!F8</f>
        <v>80353</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11847127</v>
      </c>
      <c r="C1807" s="2" t="s">
        <v>594</v>
      </c>
      <c r="D1807" s="2" t="str">
        <f t="shared" si="27"/>
        <v>Error?</v>
      </c>
    </row>
    <row r="1808" spans="1:4" x14ac:dyDescent="0.2">
      <c r="A1808" s="5">
        <v>1747</v>
      </c>
      <c r="B1808" s="138">
        <f>'Tax Sched 23'!E4</f>
        <v>19831816</v>
      </c>
      <c r="D1808" s="2" t="str">
        <f t="shared" si="27"/>
        <v>Error?</v>
      </c>
    </row>
    <row r="1809" spans="1:4" x14ac:dyDescent="0.2">
      <c r="A1809" s="5">
        <v>1748</v>
      </c>
      <c r="B1809" s="138">
        <f>'Tax Sched 23'!E5</f>
        <v>2450999</v>
      </c>
      <c r="D1809" s="2" t="str">
        <f t="shared" si="27"/>
        <v>Error?</v>
      </c>
    </row>
    <row r="1810" spans="1:4" x14ac:dyDescent="0.2">
      <c r="A1810" s="5">
        <v>1749</v>
      </c>
      <c r="B1810" s="138">
        <f>'Tax Sched 23'!E6</f>
        <v>3074041</v>
      </c>
      <c r="D1810" s="2" t="str">
        <f t="shared" si="27"/>
        <v>Error?</v>
      </c>
    </row>
    <row r="1811" spans="1:4" x14ac:dyDescent="0.2">
      <c r="A1811" s="5">
        <v>1750</v>
      </c>
      <c r="B1811" s="138">
        <f>'Tax Sched 23'!E7</f>
        <v>1204292</v>
      </c>
      <c r="D1811" s="2" t="str">
        <f t="shared" si="27"/>
        <v>Error?</v>
      </c>
    </row>
    <row r="1812" spans="1:4" x14ac:dyDescent="0.2">
      <c r="A1812" s="5">
        <v>1751</v>
      </c>
      <c r="B1812" s="138">
        <f>'Tax Sched 23'!E8</f>
        <v>185434</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27340263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19150521</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4698697</v>
      </c>
      <c r="D2008" s="2" t="str">
        <f t="shared" si="30"/>
        <v>Error?</v>
      </c>
    </row>
    <row r="2009" spans="1:4" x14ac:dyDescent="0.2">
      <c r="A2009" s="5">
        <v>1948</v>
      </c>
      <c r="B2009" s="138">
        <f>'Cap Outlay Deprec 26'!C8</f>
        <v>49491516</v>
      </c>
      <c r="D2009" s="2" t="str">
        <f t="shared" si="30"/>
        <v>Error?</v>
      </c>
    </row>
    <row r="2010" spans="1:4" x14ac:dyDescent="0.2">
      <c r="A2010" s="5">
        <v>1949</v>
      </c>
      <c r="B2010" s="138">
        <f>'Cap Outlay Deprec 26'!C10</f>
        <v>4045743</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6254723</v>
      </c>
      <c r="D2012" s="2" t="str">
        <f t="shared" si="30"/>
        <v>Error?</v>
      </c>
    </row>
    <row r="2013" spans="1:4" x14ac:dyDescent="0.2">
      <c r="A2013" s="5">
        <v>1952</v>
      </c>
      <c r="B2013" s="138">
        <f>'Cap Outlay Deprec 26'!C16</f>
        <v>64490679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219699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694867</v>
      </c>
      <c r="D2018" s="2" t="str">
        <f t="shared" si="30"/>
        <v>Error?</v>
      </c>
    </row>
    <row r="2019" spans="1:4" x14ac:dyDescent="0.2">
      <c r="A2019" s="5">
        <v>1958</v>
      </c>
      <c r="B2019" s="138">
        <f>'Cap Outlay Deprec 26'!D16</f>
        <v>1846145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253880</v>
      </c>
      <c r="D2024" s="2" t="str">
        <f t="shared" si="30"/>
        <v>Error?</v>
      </c>
    </row>
    <row r="2025" spans="1:4" x14ac:dyDescent="0.2">
      <c r="A2025" s="5">
        <v>1964</v>
      </c>
      <c r="B2025" s="138">
        <f>'Cap Outlay Deprec 26'!E16</f>
        <v>253880</v>
      </c>
      <c r="C2025" s="2" t="s">
        <v>594</v>
      </c>
      <c r="D2025" s="2" t="str">
        <f t="shared" si="30"/>
        <v>Error?</v>
      </c>
    </row>
    <row r="2026" spans="1:4" x14ac:dyDescent="0.2">
      <c r="A2026" s="5">
        <v>1965</v>
      </c>
      <c r="B2026" s="138">
        <f>'Cap Outlay Deprec 26'!F5</f>
        <v>4698697</v>
      </c>
      <c r="C2026" s="2" t="s">
        <v>594</v>
      </c>
      <c r="D2026" s="2" t="str">
        <f t="shared" si="30"/>
        <v>Error?</v>
      </c>
    </row>
    <row r="2027" spans="1:4" x14ac:dyDescent="0.2">
      <c r="A2027" s="5">
        <v>1966</v>
      </c>
      <c r="B2027" s="138">
        <f>'Cap Outlay Deprec 26'!F8</f>
        <v>49711215</v>
      </c>
      <c r="C2027" s="2" t="s">
        <v>594</v>
      </c>
      <c r="D2027" s="2" t="str">
        <f t="shared" si="30"/>
        <v>Error?</v>
      </c>
    </row>
    <row r="2028" spans="1:4" x14ac:dyDescent="0.2">
      <c r="A2028" s="5">
        <v>1967</v>
      </c>
      <c r="B2028" s="138">
        <f>'Cap Outlay Deprec 26'!F10</f>
        <v>4045743</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6695710</v>
      </c>
      <c r="C2030" s="2" t="s">
        <v>594</v>
      </c>
      <c r="D2030" s="2" t="str">
        <f t="shared" si="30"/>
        <v>Error?</v>
      </c>
    </row>
    <row r="2031" spans="1:4" x14ac:dyDescent="0.2">
      <c r="A2031" s="5">
        <v>1970</v>
      </c>
      <c r="B2031" s="138">
        <f>'Cap Outlay Deprec 26'!F16</f>
        <v>66082944</v>
      </c>
      <c r="C2031" s="2" t="s">
        <v>594</v>
      </c>
      <c r="D2031" s="2" t="str">
        <f t="shared" si="30"/>
        <v>Error?</v>
      </c>
    </row>
    <row r="2032" spans="1:4" x14ac:dyDescent="0.2">
      <c r="A2032" s="10">
        <v>1971</v>
      </c>
      <c r="D2032" s="2" t="str">
        <f t="shared" si="30"/>
        <v>OK</v>
      </c>
    </row>
    <row r="2033" spans="1:4" x14ac:dyDescent="0.2">
      <c r="A2033" s="5">
        <v>1972</v>
      </c>
      <c r="B2033" s="138">
        <f>'Cap Outlay Deprec 26'!H8</f>
        <v>14993535</v>
      </c>
      <c r="D2033" s="2" t="str">
        <f t="shared" si="30"/>
        <v>Error?</v>
      </c>
    </row>
    <row r="2034" spans="1:4" x14ac:dyDescent="0.2">
      <c r="A2034" s="5">
        <v>1973</v>
      </c>
      <c r="B2034" s="138">
        <f>'Cap Outlay Deprec 26'!H10</f>
        <v>2117757</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3571691</v>
      </c>
      <c r="D2036" s="2" t="str">
        <f t="shared" si="30"/>
        <v>Error?</v>
      </c>
    </row>
    <row r="2037" spans="1:4" x14ac:dyDescent="0.2">
      <c r="A2037" s="5">
        <v>1976</v>
      </c>
      <c r="B2037" s="138">
        <f>'Cap Outlay Deprec 26'!H16</f>
        <v>20682983</v>
      </c>
      <c r="C2037" s="2" t="s">
        <v>594</v>
      </c>
      <c r="D2037" s="2" t="str">
        <f t="shared" si="30"/>
        <v>Error?</v>
      </c>
    </row>
    <row r="2038" spans="1:4" x14ac:dyDescent="0.2">
      <c r="A2038" s="10">
        <v>1977</v>
      </c>
      <c r="D2038" s="2" t="str">
        <f t="shared" si="30"/>
        <v>OK</v>
      </c>
    </row>
    <row r="2039" spans="1:4" x14ac:dyDescent="0.2">
      <c r="A2039" s="5">
        <v>1978</v>
      </c>
      <c r="B2039" s="138">
        <f>'Cap Outlay Deprec 26'!I8</f>
        <v>1159625</v>
      </c>
      <c r="D2039" s="2" t="str">
        <f t="shared" si="30"/>
        <v>Error?</v>
      </c>
    </row>
    <row r="2040" spans="1:4" x14ac:dyDescent="0.2">
      <c r="A2040" s="5">
        <v>1979</v>
      </c>
      <c r="B2040" s="138">
        <f>'Cap Outlay Deprec 26'!I10</f>
        <v>173530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669603</v>
      </c>
      <c r="D2042" s="2" t="str">
        <f t="shared" si="30"/>
        <v>Error?</v>
      </c>
    </row>
    <row r="2043" spans="1:4" x14ac:dyDescent="0.2">
      <c r="A2043" s="5">
        <v>1982</v>
      </c>
      <c r="B2043" s="138">
        <f>'Cap Outlay Deprec 26'!I16</f>
        <v>2002758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170802</v>
      </c>
      <c r="D2048" s="2" t="str">
        <f t="shared" si="31"/>
        <v>Error?</v>
      </c>
    </row>
    <row r="2049" spans="1:4" x14ac:dyDescent="0.2">
      <c r="A2049" s="5">
        <v>1988</v>
      </c>
      <c r="B2049" s="138">
        <f>'Cap Outlay Deprec 26'!J16</f>
        <v>170802</v>
      </c>
      <c r="C2049" s="2" t="s">
        <v>594</v>
      </c>
      <c r="D2049" s="2" t="str">
        <f t="shared" si="31"/>
        <v>Error?</v>
      </c>
    </row>
    <row r="2050" spans="1:4" x14ac:dyDescent="0.2">
      <c r="A2050" s="10">
        <v>1989</v>
      </c>
      <c r="D2050" s="2" t="str">
        <f t="shared" si="31"/>
        <v>OK</v>
      </c>
    </row>
    <row r="2051" spans="1:4" x14ac:dyDescent="0.2">
      <c r="A2051" s="5">
        <v>1990</v>
      </c>
      <c r="B2051" s="138">
        <f>'Cap Outlay Deprec 26'!K8</f>
        <v>16153160</v>
      </c>
      <c r="C2051" s="2" t="s">
        <v>594</v>
      </c>
      <c r="D2051" s="2" t="str">
        <f t="shared" si="31"/>
        <v>Error?</v>
      </c>
    </row>
    <row r="2052" spans="1:4" x14ac:dyDescent="0.2">
      <c r="A2052" s="5">
        <v>1991</v>
      </c>
      <c r="B2052" s="138">
        <f>'Cap Outlay Deprec 26'!K10</f>
        <v>2291287</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4070492</v>
      </c>
      <c r="C2054" s="2" t="s">
        <v>594</v>
      </c>
      <c r="D2054" s="2" t="str">
        <f t="shared" si="31"/>
        <v>Error?</v>
      </c>
    </row>
    <row r="2055" spans="1:4" x14ac:dyDescent="0.2">
      <c r="A2055" s="5">
        <v>1994</v>
      </c>
      <c r="B2055" s="138">
        <f>'Cap Outlay Deprec 26'!K16</f>
        <v>22514939</v>
      </c>
      <c r="C2055" s="2" t="s">
        <v>594</v>
      </c>
      <c r="D2055" s="2" t="str">
        <f t="shared" si="31"/>
        <v>Error?</v>
      </c>
    </row>
    <row r="2056" spans="1:4" x14ac:dyDescent="0.2">
      <c r="A2056" s="5">
        <v>1995</v>
      </c>
      <c r="B2056" s="138">
        <f>'Cap Outlay Deprec 26'!L5</f>
        <v>4698697</v>
      </c>
      <c r="C2056" s="2" t="s">
        <v>594</v>
      </c>
      <c r="D2056" s="2" t="str">
        <f t="shared" si="31"/>
        <v>Error?</v>
      </c>
    </row>
    <row r="2057" spans="1:4" x14ac:dyDescent="0.2">
      <c r="A2057" s="5">
        <v>1996</v>
      </c>
      <c r="B2057" s="138">
        <f>'Cap Outlay Deprec 26'!L8</f>
        <v>33558055</v>
      </c>
      <c r="C2057" s="2" t="s">
        <v>594</v>
      </c>
      <c r="D2057" s="2" t="str">
        <f t="shared" si="31"/>
        <v>Error?</v>
      </c>
    </row>
    <row r="2058" spans="1:4" x14ac:dyDescent="0.2">
      <c r="A2058" s="5">
        <v>1997</v>
      </c>
      <c r="B2058" s="138">
        <f>'Cap Outlay Deprec 26'!L10</f>
        <v>1754456</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2625218</v>
      </c>
      <c r="C2060" s="2" t="s">
        <v>594</v>
      </c>
      <c r="D2060" s="2" t="str">
        <f t="shared" si="31"/>
        <v>Error?</v>
      </c>
    </row>
    <row r="2061" spans="1:4" x14ac:dyDescent="0.2">
      <c r="A2061" s="5">
        <v>2000</v>
      </c>
      <c r="B2061" s="138">
        <f>'Cap Outlay Deprec 26'!L16</f>
        <v>43568005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909558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909558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93915</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93915</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3005372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2268652</v>
      </c>
      <c r="D2475" s="2" t="str">
        <f t="shared" si="37"/>
        <v>Error?</v>
      </c>
    </row>
    <row r="2476" spans="1:4" x14ac:dyDescent="0.2">
      <c r="A2476" s="10">
        <v>2415</v>
      </c>
      <c r="D2476" s="2" t="str">
        <f t="shared" si="37"/>
        <v>OK</v>
      </c>
    </row>
    <row r="2477" spans="1:4" x14ac:dyDescent="0.2">
      <c r="A2477" s="5">
        <v>2416</v>
      </c>
      <c r="B2477" s="138">
        <f>'Assets-Liab 5-6'!G38</f>
        <v>298505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2492674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2023632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22555890</v>
      </c>
      <c r="C2551" s="2" t="s">
        <v>594</v>
      </c>
      <c r="D2551" s="2" t="str">
        <f t="shared" si="38"/>
        <v>Error?</v>
      </c>
    </row>
    <row r="2552" spans="1:4" x14ac:dyDescent="0.2">
      <c r="A2552" s="10">
        <v>2491</v>
      </c>
      <c r="D2552" s="2" t="str">
        <f t="shared" si="38"/>
        <v>OK</v>
      </c>
    </row>
    <row r="2553" spans="1:4" x14ac:dyDescent="0.2">
      <c r="A2553" s="5">
        <v>2492</v>
      </c>
      <c r="B2553" s="138">
        <f>'Acct Summary 7-8'!C6</f>
        <v>1267613</v>
      </c>
      <c r="C2553" s="2" t="s">
        <v>594</v>
      </c>
      <c r="D2553" s="2" t="str">
        <f t="shared" si="38"/>
        <v>Error?</v>
      </c>
    </row>
    <row r="2554" spans="1:4" x14ac:dyDescent="0.2">
      <c r="A2554" s="5">
        <v>2493</v>
      </c>
      <c r="B2554" s="138">
        <f>'Acct Summary 7-8'!C7</f>
        <v>590590</v>
      </c>
      <c r="C2554" s="2" t="s">
        <v>594</v>
      </c>
      <c r="D2554" s="2" t="str">
        <f t="shared" si="38"/>
        <v>Error?</v>
      </c>
    </row>
    <row r="2555" spans="1:4" x14ac:dyDescent="0.2">
      <c r="A2555" s="5">
        <v>2494</v>
      </c>
      <c r="B2555" s="138">
        <f>'Acct Summary 7-8'!C8</f>
        <v>24414093</v>
      </c>
      <c r="C2555" s="2" t="s">
        <v>594</v>
      </c>
      <c r="D2555" s="2" t="str">
        <f t="shared" si="38"/>
        <v>Error?</v>
      </c>
    </row>
    <row r="2556" spans="1:4" x14ac:dyDescent="0.2">
      <c r="A2556" s="5">
        <v>2495</v>
      </c>
      <c r="B2556" s="138">
        <f>'Acct Summary 7-8'!C12</f>
        <v>14350807</v>
      </c>
      <c r="C2556" s="2" t="s">
        <v>594</v>
      </c>
      <c r="D2556" s="2" t="str">
        <f t="shared" si="38"/>
        <v>Error?</v>
      </c>
    </row>
    <row r="2557" spans="1:4" x14ac:dyDescent="0.2">
      <c r="A2557" s="5">
        <v>2496</v>
      </c>
      <c r="B2557" s="138">
        <f>'Acct Summary 7-8'!C13</f>
        <v>7298916</v>
      </c>
      <c r="C2557" s="2" t="s">
        <v>594</v>
      </c>
      <c r="D2557" s="2" t="str">
        <f t="shared" si="38"/>
        <v>Error?</v>
      </c>
    </row>
    <row r="2558" spans="1:4" x14ac:dyDescent="0.2">
      <c r="A2558" s="5">
        <v>2497</v>
      </c>
      <c r="B2558" s="138">
        <f>'Acct Summary 7-8'!C14</f>
        <v>8152</v>
      </c>
      <c r="C2558" s="2" t="s">
        <v>594</v>
      </c>
      <c r="D2558" s="2" t="str">
        <f t="shared" si="38"/>
        <v>Error?</v>
      </c>
    </row>
    <row r="2559" spans="1:4" x14ac:dyDescent="0.2">
      <c r="A2559" s="5">
        <v>2498</v>
      </c>
      <c r="B2559" s="138">
        <f>'Acct Summary 7-8'!C15</f>
        <v>909558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22567433</v>
      </c>
      <c r="C2561" s="2" t="s">
        <v>594</v>
      </c>
      <c r="D2561" s="2" t="str">
        <f t="shared" si="39"/>
        <v>Error?</v>
      </c>
    </row>
    <row r="2562" spans="1:4" x14ac:dyDescent="0.2">
      <c r="A2562" s="5">
        <v>2501</v>
      </c>
      <c r="B2562" s="138">
        <f>'Acct Summary 7-8'!C20</f>
        <v>1846660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2694924</v>
      </c>
      <c r="C2564" s="2" t="s">
        <v>594</v>
      </c>
      <c r="D2564" s="2" t="str">
        <f t="shared" si="39"/>
        <v>Error?</v>
      </c>
    </row>
    <row r="2565" spans="1:4" x14ac:dyDescent="0.2">
      <c r="A2565" s="10">
        <v>2504</v>
      </c>
      <c r="D2565" s="2" t="str">
        <f t="shared" si="39"/>
        <v>OK</v>
      </c>
    </row>
    <row r="2566" spans="1:4" x14ac:dyDescent="0.2">
      <c r="A2566" s="5">
        <v>2505</v>
      </c>
      <c r="B2566" s="138">
        <f>'Acct Summary 7-8'!D6</f>
        <v>7103</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2702027</v>
      </c>
      <c r="C2568" s="2" t="s">
        <v>594</v>
      </c>
      <c r="D2568" s="2" t="str">
        <f t="shared" si="39"/>
        <v>Error?</v>
      </c>
    </row>
    <row r="2569" spans="1:4" x14ac:dyDescent="0.2">
      <c r="A2569" s="5">
        <v>2508</v>
      </c>
      <c r="B2569" s="138">
        <f>'Acct Summary 7-8'!D13</f>
        <v>2270776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93915</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2364691</v>
      </c>
      <c r="C2573" s="2" t="s">
        <v>594</v>
      </c>
      <c r="D2573" s="2" t="str">
        <f t="shared" si="39"/>
        <v>Error?</v>
      </c>
    </row>
    <row r="2574" spans="1:4" x14ac:dyDescent="0.2">
      <c r="A2574" s="5">
        <v>2513</v>
      </c>
      <c r="B2574" s="138">
        <f>'Acct Summary 7-8'!D20</f>
        <v>337336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1595335</v>
      </c>
      <c r="C2591" s="2" t="s">
        <v>594</v>
      </c>
      <c r="D2591" s="2" t="str">
        <f t="shared" si="39"/>
        <v>Error?</v>
      </c>
    </row>
    <row r="2592" spans="1:4" x14ac:dyDescent="0.2">
      <c r="A2592" s="10">
        <v>2531</v>
      </c>
      <c r="D2592" s="2" t="str">
        <f t="shared" si="39"/>
        <v>OK</v>
      </c>
    </row>
    <row r="2593" spans="1:4" x14ac:dyDescent="0.2">
      <c r="A2593" s="5">
        <v>2532</v>
      </c>
      <c r="B2593" s="138">
        <f>'Acct Summary 7-8'!F6</f>
        <v>765495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2360830</v>
      </c>
      <c r="C2595" s="2" t="s">
        <v>594</v>
      </c>
      <c r="D2595" s="2" t="str">
        <f t="shared" si="39"/>
        <v>Error?</v>
      </c>
    </row>
    <row r="2596" spans="1:4" x14ac:dyDescent="0.2">
      <c r="A2596" s="5">
        <v>2535</v>
      </c>
      <c r="B2596" s="138">
        <f>'Acct Summary 7-8'!F13</f>
        <v>2185135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255858</v>
      </c>
      <c r="C2599" s="2" t="s">
        <v>594</v>
      </c>
      <c r="D2599" s="2" t="str">
        <f t="shared" si="39"/>
        <v>Error?</v>
      </c>
    </row>
    <row r="2600" spans="1:4" x14ac:dyDescent="0.2">
      <c r="A2600" s="5">
        <v>2539</v>
      </c>
      <c r="B2600" s="138">
        <f>'Acct Summary 7-8'!F17</f>
        <v>2440993</v>
      </c>
      <c r="C2600" s="2" t="s">
        <v>594</v>
      </c>
      <c r="D2600" s="2" t="str">
        <f t="shared" si="39"/>
        <v>Error?</v>
      </c>
    </row>
    <row r="2601" spans="1:4" x14ac:dyDescent="0.2">
      <c r="A2601" s="5">
        <v>2540</v>
      </c>
      <c r="B2601" s="138">
        <f>'Acct Summary 7-8'!F20</f>
        <v>-80163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833711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833711</v>
      </c>
      <c r="C2606" s="2" t="s">
        <v>594</v>
      </c>
      <c r="D2606" s="2" t="str">
        <f t="shared" si="39"/>
        <v>Error?</v>
      </c>
    </row>
    <row r="2607" spans="1:4" x14ac:dyDescent="0.2">
      <c r="A2607" s="5">
        <v>2546</v>
      </c>
      <c r="B2607" s="138">
        <f>'Acct Summary 7-8'!G12</f>
        <v>265606</v>
      </c>
      <c r="C2607" s="2" t="s">
        <v>594</v>
      </c>
      <c r="D2607" s="2" t="str">
        <f t="shared" si="39"/>
        <v>Error?</v>
      </c>
    </row>
    <row r="2608" spans="1:4" x14ac:dyDescent="0.2">
      <c r="A2608" s="5">
        <v>2547</v>
      </c>
      <c r="B2608" s="138">
        <f>'Acct Summary 7-8'!G13</f>
        <v>462757</v>
      </c>
      <c r="C2608" s="2" t="s">
        <v>594</v>
      </c>
      <c r="D2608" s="2" t="str">
        <f t="shared" si="39"/>
        <v>Error?</v>
      </c>
    </row>
    <row r="2609" spans="1:4" x14ac:dyDescent="0.2">
      <c r="A2609" s="5">
        <v>2548</v>
      </c>
      <c r="B2609" s="138">
        <f>'Acct Summary 7-8'!G14</f>
        <v>547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789651</v>
      </c>
      <c r="C2612" s="2" t="s">
        <v>594</v>
      </c>
      <c r="D2612" s="2" t="str">
        <f t="shared" si="39"/>
        <v>Error?</v>
      </c>
    </row>
    <row r="2613" spans="1:4" x14ac:dyDescent="0.2">
      <c r="A2613" s="5">
        <v>2552</v>
      </c>
      <c r="B2613" s="138">
        <f>'Acct Summary 7-8'!G20</f>
        <v>44060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3288672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3288672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3043150</v>
      </c>
      <c r="C2634" s="2" t="s">
        <v>594</v>
      </c>
      <c r="D2634" s="2" t="str">
        <f t="shared" si="40"/>
        <v>Error?</v>
      </c>
    </row>
    <row r="2635" spans="1:4" x14ac:dyDescent="0.2">
      <c r="A2635" s="5">
        <v>2574</v>
      </c>
      <c r="B2635" s="138">
        <f>'Acct Summary 7-8'!E17</f>
        <v>3043150</v>
      </c>
      <c r="C2635" s="2" t="s">
        <v>594</v>
      </c>
      <c r="D2635" s="2" t="str">
        <f t="shared" si="40"/>
        <v>Error?</v>
      </c>
    </row>
    <row r="2636" spans="1:4" x14ac:dyDescent="0.2">
      <c r="A2636" s="5">
        <v>2575</v>
      </c>
      <c r="B2636" s="138">
        <f>'Acct Summary 7-8'!E20</f>
        <v>245522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73528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73528</v>
      </c>
      <c r="C2658" s="2" t="s">
        <v>594</v>
      </c>
      <c r="D2658" s="2" t="str">
        <f t="shared" si="40"/>
        <v>Error?</v>
      </c>
    </row>
    <row r="2659" spans="1:4" x14ac:dyDescent="0.2">
      <c r="A2659" s="5">
        <v>2598</v>
      </c>
      <c r="B2659" s="138">
        <f>'Acct Summary 7-8'!H13</f>
        <v>1120969</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1120969</v>
      </c>
      <c r="C2661" s="2" t="s">
        <v>594</v>
      </c>
      <c r="D2661" s="2" t="str">
        <f t="shared" si="40"/>
        <v>Error?</v>
      </c>
    </row>
    <row r="2662" spans="1:4" x14ac:dyDescent="0.2">
      <c r="A2662" s="5">
        <v>2601</v>
      </c>
      <c r="B2662" s="138">
        <f>'Acct Summary 7-8'!H20</f>
        <v>-1047441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931579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3281791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922263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3281791</v>
      </c>
      <c r="D2912" s="2" t="str">
        <f t="shared" si="44"/>
        <v>Error?</v>
      </c>
    </row>
    <row r="2913" spans="1:4" x14ac:dyDescent="0.2">
      <c r="A2913" s="5">
        <v>2852</v>
      </c>
      <c r="B2913" s="138">
        <f>'Assets-Liab 5-6'!I41</f>
        <v>3281791</v>
      </c>
      <c r="C2913" s="2" t="s">
        <v>594</v>
      </c>
      <c r="D2913" s="2" t="str">
        <f t="shared" si="44"/>
        <v>Error?</v>
      </c>
    </row>
    <row r="2914" spans="1:4" x14ac:dyDescent="0.2">
      <c r="A2914" s="5">
        <v>2853</v>
      </c>
      <c r="B2914" s="138">
        <f>'Assets-Liab 5-6'!L33</f>
        <v>922263</v>
      </c>
      <c r="D2914" s="2" t="str">
        <f t="shared" si="44"/>
        <v>Error?</v>
      </c>
    </row>
    <row r="2915" spans="1:4" x14ac:dyDescent="0.2">
      <c r="A2915" s="10">
        <v>2854</v>
      </c>
      <c r="D2915" s="2" t="str">
        <f t="shared" si="44"/>
        <v>OK</v>
      </c>
    </row>
    <row r="2916" spans="1:4" x14ac:dyDescent="0.2">
      <c r="A2916" s="5">
        <v>2855</v>
      </c>
      <c r="B2916" s="138">
        <f>'Assets-Liab 5-6'!L34</f>
        <v>922263</v>
      </c>
      <c r="C2916" s="2" t="s">
        <v>594</v>
      </c>
      <c r="D2916" s="2" t="str">
        <f t="shared" si="44"/>
        <v>Error?</v>
      </c>
    </row>
    <row r="2917" spans="1:4" x14ac:dyDescent="0.2">
      <c r="A2917" s="5">
        <v>2856</v>
      </c>
      <c r="B2917" s="138">
        <f>'Assets-Liab 5-6'!L41</f>
        <v>922263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909558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909558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22675</v>
      </c>
      <c r="D3055" s="2" t="str">
        <f t="shared" si="46"/>
        <v>Error?</v>
      </c>
    </row>
    <row r="3056" spans="1:4" x14ac:dyDescent="0.2">
      <c r="A3056" s="5">
        <v>2995</v>
      </c>
      <c r="B3056" s="138">
        <f>'Expenditures 15-22'!D10</f>
        <v>4624</v>
      </c>
      <c r="D3056" s="2" t="str">
        <f t="shared" si="46"/>
        <v>Error?</v>
      </c>
    </row>
    <row r="3057" spans="1:4" x14ac:dyDescent="0.2">
      <c r="A3057" s="5">
        <v>2996</v>
      </c>
      <c r="B3057" s="138">
        <f>'Expenditures 15-22'!E10</f>
        <v>110533</v>
      </c>
      <c r="D3057" s="2" t="str">
        <f t="shared" si="46"/>
        <v>Error?</v>
      </c>
    </row>
    <row r="3058" spans="1:4" x14ac:dyDescent="0.2">
      <c r="A3058" s="5">
        <v>2997</v>
      </c>
      <c r="B3058" s="138">
        <f>'Expenditures 15-22'!F10</f>
        <v>2154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139986</v>
      </c>
      <c r="C3062" s="2" t="s">
        <v>594</v>
      </c>
      <c r="D3062" s="2" t="str">
        <f t="shared" si="46"/>
        <v>Error?</v>
      </c>
    </row>
    <row r="3063" spans="1:4" x14ac:dyDescent="0.2">
      <c r="A3063" s="10">
        <v>3002</v>
      </c>
      <c r="D3063" s="2" t="str">
        <f t="shared" si="46"/>
        <v>OK</v>
      </c>
    </row>
    <row r="3064" spans="1:4" x14ac:dyDescent="0.2">
      <c r="A3064" s="5">
        <v>3003</v>
      </c>
      <c r="B3064" s="138">
        <f>'Expenditures 15-22'!D219</f>
        <v>325</v>
      </c>
      <c r="D3064" s="2" t="str">
        <f t="shared" si="46"/>
        <v>Error?</v>
      </c>
    </row>
    <row r="3065" spans="1:4" x14ac:dyDescent="0.2">
      <c r="A3065" s="5">
        <v>3004</v>
      </c>
      <c r="B3065" s="138">
        <f>'Expenditures 15-22'!K219</f>
        <v>325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52430</v>
      </c>
      <c r="C3225" s="2" t="s">
        <v>594</v>
      </c>
      <c r="D3225" s="2" t="str">
        <f t="shared" si="49"/>
        <v>Error?</v>
      </c>
    </row>
    <row r="3226" spans="1:4" x14ac:dyDescent="0.2">
      <c r="A3226" s="5">
        <v>3165</v>
      </c>
      <c r="B3226" s="138">
        <f>'Acct Summary 7-8'!I8</f>
        <v>52430</v>
      </c>
      <c r="C3226" s="2" t="s">
        <v>594</v>
      </c>
      <c r="D3226" s="2" t="str">
        <f t="shared" si="49"/>
        <v>Error?</v>
      </c>
    </row>
    <row r="3227" spans="1:4" x14ac:dyDescent="0.2">
      <c r="A3227" s="5">
        <v>3166</v>
      </c>
      <c r="B3227" s="138">
        <f>'Acct Summary 7-8'!I20</f>
        <v>52430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1846660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337336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201124</v>
      </c>
      <c r="D3251" s="2" t="str">
        <f t="shared" si="49"/>
        <v>Error?</v>
      </c>
    </row>
    <row r="3252" spans="1:4" x14ac:dyDescent="0.2">
      <c r="A3252" s="5">
        <v>3191</v>
      </c>
      <c r="B3252" s="138">
        <f>'Acct Summary 7-8'!F44</f>
        <v>201124</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201124</v>
      </c>
      <c r="C3255" s="2" t="s">
        <v>594</v>
      </c>
      <c r="D3255" s="2" t="str">
        <f t="shared" si="49"/>
        <v>Error?</v>
      </c>
    </row>
    <row r="3256" spans="1:4" x14ac:dyDescent="0.2">
      <c r="A3256" s="5">
        <v>3195</v>
      </c>
      <c r="B3256" s="138">
        <f>'Acct Summary 7-8'!F78</f>
        <v>120961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44060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245522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2000000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2000000</v>
      </c>
      <c r="C3299" s="2" t="s">
        <v>594</v>
      </c>
      <c r="D3299" s="2" t="str">
        <f t="shared" si="50"/>
        <v>Error?</v>
      </c>
    </row>
    <row r="3300" spans="1:4" x14ac:dyDescent="0.2">
      <c r="A3300" s="5">
        <v>3239</v>
      </c>
      <c r="B3300" s="138">
        <f>'Acct Summary 7-8'!H78</f>
        <v>952559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2000000</v>
      </c>
      <c r="C3318" s="2" t="s">
        <v>594</v>
      </c>
      <c r="D3318" s="2" t="str">
        <f t="shared" si="50"/>
        <v>Error?</v>
      </c>
    </row>
    <row r="3319" spans="1:4" x14ac:dyDescent="0.2">
      <c r="A3319" s="5">
        <v>3258</v>
      </c>
      <c r="B3319" s="138">
        <f>'Acct Summary 7-8'!I77</f>
        <v>-2000000</v>
      </c>
      <c r="C3319" s="2" t="s">
        <v>594</v>
      </c>
      <c r="D3319" s="2" t="str">
        <f t="shared" si="50"/>
        <v>Error?</v>
      </c>
    </row>
    <row r="3320" spans="1:4" x14ac:dyDescent="0.2">
      <c r="A3320" s="5">
        <v>3259</v>
      </c>
      <c r="B3320" s="138">
        <f>'Acct Summary 7-8'!I78</f>
        <v>-1947570</v>
      </c>
      <c r="C3320" s="2" t="s">
        <v>594</v>
      </c>
      <c r="D3320" s="2" t="str">
        <f t="shared" si="50"/>
        <v>Error?</v>
      </c>
    </row>
    <row r="3321" spans="1:4" x14ac:dyDescent="0.2">
      <c r="A3321" s="5">
        <v>3260</v>
      </c>
      <c r="B3321" s="138">
        <f>'Acct Summary 7-8'!I79</f>
        <v>5229361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3281791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1734342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702543</v>
      </c>
      <c r="D3368" s="2" t="str">
        <f t="shared" si="51"/>
        <v>Error?</v>
      </c>
    </row>
    <row r="3369" spans="1:4" x14ac:dyDescent="0.2">
      <c r="A3369" s="5">
        <v>3308</v>
      </c>
      <c r="B3369" s="138">
        <f>'Expenditures 15-22'!D19</f>
        <v>26</v>
      </c>
      <c r="D3369" s="2" t="str">
        <f t="shared" si="51"/>
        <v>Error?</v>
      </c>
    </row>
    <row r="3370" spans="1:4" x14ac:dyDescent="0.2">
      <c r="A3370" s="5">
        <v>3309</v>
      </c>
      <c r="B3370" s="138">
        <f>'Expenditures 15-22'!E8</f>
        <v>446556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32926</v>
      </c>
      <c r="D3372" s="2" t="str">
        <f t="shared" si="51"/>
        <v>Error?</v>
      </c>
    </row>
    <row r="3373" spans="1:4" x14ac:dyDescent="0.2">
      <c r="A3373" s="5">
        <v>3312</v>
      </c>
      <c r="B3373" s="138">
        <f>'Expenditures 15-22'!F19</f>
        <v>-599</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4111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2920478</v>
      </c>
      <c r="C3380" s="2" t="s">
        <v>594</v>
      </c>
      <c r="D3380" s="2" t="str">
        <f t="shared" si="51"/>
        <v>Error?</v>
      </c>
    </row>
    <row r="3381" spans="1:4" x14ac:dyDescent="0.2">
      <c r="A3381" s="5">
        <v>3320</v>
      </c>
      <c r="B3381" s="138">
        <f>'Expenditures 15-22'!K19</f>
        <v>-573</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111223</v>
      </c>
      <c r="D3387" s="2" t="str">
        <f t="shared" si="51"/>
        <v>Error?</v>
      </c>
    </row>
    <row r="3388" spans="1:4" x14ac:dyDescent="0.2">
      <c r="A3388" s="5">
        <v>3327</v>
      </c>
      <c r="B3388" s="138">
        <f>'Expenditures 15-22'!D217</f>
        <v>133967</v>
      </c>
      <c r="D3388" s="2" t="str">
        <f t="shared" si="51"/>
        <v>Error?</v>
      </c>
    </row>
    <row r="3389" spans="1:4" x14ac:dyDescent="0.2">
      <c r="A3389" s="5">
        <v>3328</v>
      </c>
      <c r="B3389" s="138">
        <f>'Expenditures 15-22'!D228</f>
        <v>142</v>
      </c>
      <c r="D3389" s="2" t="str">
        <f t="shared" si="51"/>
        <v>Error?</v>
      </c>
    </row>
    <row r="3390" spans="1:4" x14ac:dyDescent="0.2">
      <c r="A3390" s="5">
        <v>3329</v>
      </c>
      <c r="B3390" s="138">
        <f>'Expenditures 15-22'!K215</f>
        <v>111223</v>
      </c>
      <c r="C3390" s="2" t="s">
        <v>594</v>
      </c>
      <c r="D3390" s="2" t="str">
        <f t="shared" si="51"/>
        <v>Error?</v>
      </c>
    </row>
    <row r="3391" spans="1:4" x14ac:dyDescent="0.2">
      <c r="A3391" s="5">
        <v>3330</v>
      </c>
      <c r="B3391" s="138">
        <f>'Expenditures 15-22'!K217</f>
        <v>133967</v>
      </c>
      <c r="C3391" s="2" t="s">
        <v>594</v>
      </c>
      <c r="D3391" s="2" t="str">
        <f t="shared" ref="D3391:D3454" si="52">IF(ISBLANK(B3391),"OK",IF(A3391-B3391=0,"OK","Error?"))</f>
        <v>Error?</v>
      </c>
    </row>
    <row r="3392" spans="1:4" x14ac:dyDescent="0.2">
      <c r="A3392" s="5">
        <v>3331</v>
      </c>
      <c r="B3392" s="138">
        <f>'Expenditures 15-22'!K228</f>
        <v>142</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21717564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2903092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2354528</v>
      </c>
      <c r="D3417" s="2" t="str">
        <f t="shared" si="52"/>
        <v>Error?</v>
      </c>
    </row>
    <row r="3418" spans="1:4" x14ac:dyDescent="0.2">
      <c r="A3418" s="10">
        <v>3357</v>
      </c>
      <c r="D3418" s="2" t="str">
        <f t="shared" si="52"/>
        <v>OK</v>
      </c>
    </row>
    <row r="3419" spans="1:4" x14ac:dyDescent="0.2">
      <c r="A3419" s="5">
        <v>3358</v>
      </c>
      <c r="B3419" s="138">
        <f>'Assets-Liab 5-6'!F4</f>
        <v>1971077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256935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2056632</v>
      </c>
      <c r="D3425" s="2" t="str">
        <f t="shared" si="52"/>
        <v>Error?</v>
      </c>
    </row>
    <row r="3426" spans="1:4" x14ac:dyDescent="0.2">
      <c r="A3426" s="10">
        <v>3365</v>
      </c>
      <c r="D3426" s="2" t="str">
        <f t="shared" si="52"/>
        <v>OK</v>
      </c>
    </row>
    <row r="3427" spans="1:4" x14ac:dyDescent="0.2">
      <c r="A3427" s="5">
        <v>3366</v>
      </c>
      <c r="B3427" s="138">
        <f>'Assets-Liab 5-6'!I4</f>
        <v>3281791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922263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563094</v>
      </c>
      <c r="C3446" s="2" t="s">
        <v>594</v>
      </c>
      <c r="D3446" s="2" t="str">
        <f t="shared" si="52"/>
        <v>Error?</v>
      </c>
    </row>
    <row r="3447" spans="1:4" x14ac:dyDescent="0.2">
      <c r="A3447" s="5">
        <v>3386</v>
      </c>
      <c r="B3447" s="138">
        <f>'Tax Sched 23'!D16</f>
        <v>261273</v>
      </c>
      <c r="C3447" s="2" t="s">
        <v>594</v>
      </c>
      <c r="D3447" s="2" t="str">
        <f t="shared" si="52"/>
        <v>Error?</v>
      </c>
    </row>
    <row r="3448" spans="1:4" x14ac:dyDescent="0.2">
      <c r="A3448" s="5">
        <v>3387</v>
      </c>
      <c r="B3448" s="138">
        <f>'Tax Sched 23'!C16</f>
        <v>301821</v>
      </c>
      <c r="D3448" s="2" t="str">
        <f t="shared" si="52"/>
        <v>Error?</v>
      </c>
    </row>
    <row r="3449" spans="1:4" x14ac:dyDescent="0.2">
      <c r="A3449" s="5">
        <v>3388</v>
      </c>
      <c r="B3449" s="138">
        <f>'Tax Sched 23'!F16</f>
        <v>230793</v>
      </c>
      <c r="C3449" s="2" t="s">
        <v>594</v>
      </c>
      <c r="D3449" s="2" t="str">
        <f t="shared" si="52"/>
        <v>Error?</v>
      </c>
    </row>
    <row r="3450" spans="1:4" x14ac:dyDescent="0.2">
      <c r="A3450" s="5">
        <v>3389</v>
      </c>
      <c r="B3450" s="138">
        <f>'Tax Sched 23'!E16</f>
        <v>532614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931579</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931579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931579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17619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17619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17619</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17619</v>
      </c>
      <c r="C3568" s="2" t="s">
        <v>594</v>
      </c>
      <c r="D3568" s="2" t="str">
        <f t="shared" si="54"/>
        <v>Error?</v>
      </c>
    </row>
    <row r="3569" spans="1:4" x14ac:dyDescent="0.2">
      <c r="A3569" s="5">
        <v>3508</v>
      </c>
      <c r="B3569" s="138">
        <f>'Acct Summary 7-8'!K4</f>
        <v>203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203</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203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203</v>
      </c>
      <c r="C3588" s="2" t="s">
        <v>594</v>
      </c>
      <c r="D3588" s="2" t="str">
        <f t="shared" si="55"/>
        <v>Error?</v>
      </c>
    </row>
    <row r="3589" spans="1:4" x14ac:dyDescent="0.2">
      <c r="A3589" s="5">
        <v>3528</v>
      </c>
      <c r="B3589" s="138">
        <f>'Acct Summary 7-8'!K79</f>
        <v>17416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17619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60741</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60741</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64938</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30333</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34605</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26462</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61067</v>
      </c>
      <c r="D4111" s="2" t="str">
        <f t="shared" si="63"/>
        <v>Error?</v>
      </c>
    </row>
    <row r="4112" spans="1:4" x14ac:dyDescent="0.2">
      <c r="A4112" s="10">
        <v>4051</v>
      </c>
      <c r="D4112" s="2" t="str">
        <f t="shared" si="63"/>
        <v>OK</v>
      </c>
    </row>
    <row r="4113" spans="1:4" x14ac:dyDescent="0.2">
      <c r="A4113" s="5">
        <v>4052</v>
      </c>
      <c r="B4113" s="138">
        <f>'Acct Summary 7-8'!C9</f>
        <v>8659516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33073609</v>
      </c>
      <c r="C4122" s="2" t="s">
        <v>594</v>
      </c>
      <c r="D4122" s="2" t="str">
        <f t="shared" si="63"/>
        <v>Error?</v>
      </c>
    </row>
    <row r="4123" spans="1:4" x14ac:dyDescent="0.2">
      <c r="A4123" s="5">
        <v>4062</v>
      </c>
      <c r="B4123" s="138">
        <f>'Acct Summary 7-8'!D10</f>
        <v>2702027</v>
      </c>
      <c r="C4123" s="2" t="s">
        <v>594</v>
      </c>
      <c r="D4123" s="2" t="str">
        <f t="shared" si="63"/>
        <v>Error?</v>
      </c>
    </row>
    <row r="4124" spans="1:4" x14ac:dyDescent="0.2">
      <c r="A4124" s="5">
        <v>4063</v>
      </c>
      <c r="B4124" s="138">
        <f>'Acct Summary 7-8'!E10</f>
        <v>3288672</v>
      </c>
      <c r="C4124" s="2" t="s">
        <v>594</v>
      </c>
      <c r="D4124" s="2" t="str">
        <f t="shared" si="63"/>
        <v>Error?</v>
      </c>
    </row>
    <row r="4125" spans="1:4" x14ac:dyDescent="0.2">
      <c r="A4125" s="5">
        <v>4064</v>
      </c>
      <c r="B4125" s="138">
        <f>'Acct Summary 7-8'!F10</f>
        <v>2360830</v>
      </c>
      <c r="C4125" s="2" t="s">
        <v>594</v>
      </c>
      <c r="D4125" s="2" t="str">
        <f t="shared" si="63"/>
        <v>Error?</v>
      </c>
    </row>
    <row r="4126" spans="1:4" x14ac:dyDescent="0.2">
      <c r="A4126" s="5">
        <v>4065</v>
      </c>
      <c r="B4126" s="138">
        <f>'Acct Summary 7-8'!G10</f>
        <v>833711</v>
      </c>
      <c r="C4126" s="2" t="s">
        <v>594</v>
      </c>
      <c r="D4126" s="2" t="str">
        <f t="shared" si="63"/>
        <v>Error?</v>
      </c>
    </row>
    <row r="4127" spans="1:4" x14ac:dyDescent="0.2">
      <c r="A4127" s="5">
        <v>4066</v>
      </c>
      <c r="B4127" s="138">
        <f>'Acct Summary 7-8'!H10</f>
        <v>73528</v>
      </c>
      <c r="C4127" s="2" t="s">
        <v>594</v>
      </c>
      <c r="D4127" s="2" t="str">
        <f t="shared" si="63"/>
        <v>Error?</v>
      </c>
    </row>
    <row r="4128" spans="1:4" x14ac:dyDescent="0.2">
      <c r="A4128" s="5">
        <v>4067</v>
      </c>
      <c r="B4128" s="138">
        <f>'Acct Summary 7-8'!I10</f>
        <v>52430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203</v>
      </c>
      <c r="C4130" s="2" t="s">
        <v>594</v>
      </c>
      <c r="D4130" s="2" t="str">
        <f t="shared" si="63"/>
        <v>Error?</v>
      </c>
    </row>
    <row r="4131" spans="1:4" x14ac:dyDescent="0.2">
      <c r="A4131" s="5">
        <v>4070</v>
      </c>
      <c r="B4131" s="138">
        <f>'Acct Summary 7-8'!C18</f>
        <v>8659516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31226949</v>
      </c>
      <c r="C4136" s="2" t="s">
        <v>594</v>
      </c>
      <c r="D4136" s="2" t="str">
        <f t="shared" si="63"/>
        <v>Error?</v>
      </c>
    </row>
    <row r="4137" spans="1:4" x14ac:dyDescent="0.2">
      <c r="A4137" s="5">
        <v>4076</v>
      </c>
      <c r="B4137" s="138">
        <f>'Acct Summary 7-8'!D19</f>
        <v>2364691</v>
      </c>
      <c r="C4137" s="2" t="s">
        <v>594</v>
      </c>
      <c r="D4137" s="2" t="str">
        <f t="shared" si="63"/>
        <v>Error?</v>
      </c>
    </row>
    <row r="4138" spans="1:4" x14ac:dyDescent="0.2">
      <c r="A4138" s="5">
        <v>4077</v>
      </c>
      <c r="B4138" s="138">
        <f>'Acct Summary 7-8'!E19</f>
        <v>3043150</v>
      </c>
      <c r="C4138" s="2" t="s">
        <v>594</v>
      </c>
      <c r="D4138" s="2" t="str">
        <f t="shared" si="63"/>
        <v>Error?</v>
      </c>
    </row>
    <row r="4139" spans="1:4" x14ac:dyDescent="0.2">
      <c r="A4139" s="5">
        <v>4078</v>
      </c>
      <c r="B4139" s="138">
        <f>'Acct Summary 7-8'!F19</f>
        <v>2440993</v>
      </c>
      <c r="C4139" s="2" t="s">
        <v>594</v>
      </c>
      <c r="D4139" s="2" t="str">
        <f t="shared" si="63"/>
        <v>Error?</v>
      </c>
    </row>
    <row r="4140" spans="1:4" x14ac:dyDescent="0.2">
      <c r="A4140" s="5">
        <v>4079</v>
      </c>
      <c r="B4140" s="138">
        <f>'Acct Summary 7-8'!G19</f>
        <v>789651</v>
      </c>
      <c r="C4140" s="2" t="s">
        <v>594</v>
      </c>
      <c r="D4140" s="2" t="str">
        <f t="shared" si="63"/>
        <v>Error?</v>
      </c>
    </row>
    <row r="4141" spans="1:4" x14ac:dyDescent="0.2">
      <c r="A4141" s="5">
        <v>4080</v>
      </c>
      <c r="B4141" s="138">
        <f>'Acct Summary 7-8'!H19</f>
        <v>1120969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60741</v>
      </c>
      <c r="D4165" s="2" t="str">
        <f t="shared" si="64"/>
        <v>Error?</v>
      </c>
    </row>
    <row r="4166" spans="1:4" x14ac:dyDescent="0.2">
      <c r="A4166" s="5">
        <v>4105</v>
      </c>
      <c r="B4166" s="138">
        <f>'Expenditures 15-22'!K284</f>
        <v>60741</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16693190</v>
      </c>
      <c r="C4171" s="2" t="s">
        <v>594</v>
      </c>
      <c r="D4171" s="2" t="str">
        <f t="shared" si="64"/>
        <v>Error?</v>
      </c>
    </row>
    <row r="4172" spans="1:4" x14ac:dyDescent="0.2">
      <c r="A4172" s="5">
        <v>4111</v>
      </c>
      <c r="B4172" s="138">
        <f>'Short-Term Long-Term Debt 24'!J49</f>
        <v>14200516</v>
      </c>
      <c r="C4172" s="2" t="s">
        <v>594</v>
      </c>
      <c r="D4172" s="2" t="str">
        <f t="shared" si="64"/>
        <v>Error?</v>
      </c>
    </row>
    <row r="4173" spans="1:4" x14ac:dyDescent="0.2">
      <c r="A4173" s="5">
        <v>4112</v>
      </c>
      <c r="B4173" s="138">
        <f>'Short-Term Long-Term Debt 24'!H49</f>
        <v>2415000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-42331</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243455</v>
      </c>
      <c r="D4210" s="2" t="str">
        <f t="shared" si="64"/>
        <v>Error?</v>
      </c>
    </row>
    <row r="4211" spans="1:4" x14ac:dyDescent="0.2">
      <c r="A4211" s="5">
        <v>4150</v>
      </c>
      <c r="B4211" s="138">
        <f>'Expenditures 15-22'!K206</f>
        <v>243455</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2327.5</v>
      </c>
      <c r="C4265" s="2" t="s">
        <v>594</v>
      </c>
      <c r="D4265" s="2" t="str">
        <f t="shared" si="65"/>
        <v>Error?</v>
      </c>
      <c r="E4265" s="128"/>
    </row>
    <row r="4266" spans="1:5" x14ac:dyDescent="0.2">
      <c r="A4266" s="12">
        <v>4205</v>
      </c>
      <c r="B4266" s="138">
        <f>('FP Info 3'!F10)*100000</f>
        <v>287.70000000000005</v>
      </c>
      <c r="C4266" s="2" t="s">
        <v>594</v>
      </c>
      <c r="D4266" s="2" t="str">
        <f t="shared" si="65"/>
        <v>Error?</v>
      </c>
      <c r="E4266" s="128"/>
    </row>
    <row r="4267" spans="1:5" x14ac:dyDescent="0.2">
      <c r="A4267" s="12">
        <v>4206</v>
      </c>
      <c r="B4267" s="138">
        <f>('FP Info 3'!H10)*100000</f>
        <v>141.30000000000001</v>
      </c>
      <c r="C4267" s="2" t="s">
        <v>594</v>
      </c>
      <c r="D4267" s="2" t="str">
        <f t="shared" si="65"/>
        <v>Error?</v>
      </c>
      <c r="E4267" s="128"/>
    </row>
    <row r="4268" spans="1:5" x14ac:dyDescent="0.2">
      <c r="A4268" s="12">
        <v>4207</v>
      </c>
      <c r="B4268" s="138">
        <f>('FP Info 3'!J10)*100000</f>
        <v>2757</v>
      </c>
      <c r="C4268" s="2" t="s">
        <v>594</v>
      </c>
      <c r="D4268" s="2" t="str">
        <f t="shared" si="65"/>
        <v>Error?</v>
      </c>
    </row>
    <row r="4269" spans="1:5" x14ac:dyDescent="0.2">
      <c r="A4269" s="12">
        <v>4208</v>
      </c>
      <c r="B4269" s="138">
        <f>'FP Info 3'!J16</f>
        <v>31461925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137126</v>
      </c>
      <c r="D4300" s="2" t="str">
        <f t="shared" si="66"/>
        <v>Error?</v>
      </c>
    </row>
    <row r="4301" spans="1:4" x14ac:dyDescent="0.2">
      <c r="A4301" s="5">
        <v>4240</v>
      </c>
      <c r="B4301" s="138">
        <f>'Rest Tax Levies-Tort Im 25'!G37</f>
        <v>2707</v>
      </c>
      <c r="D4301" s="2" t="str">
        <f t="shared" si="66"/>
        <v>Error?</v>
      </c>
    </row>
    <row r="4302" spans="1:4" x14ac:dyDescent="0.2">
      <c r="A4302" s="5">
        <v>4241</v>
      </c>
      <c r="B4302" s="138">
        <f>'Rest Tax Levies-Tort Im 25'!G38</f>
        <v>118711</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17278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57046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22569</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40295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2887</v>
      </c>
      <c r="D4792" s="2" t="str">
        <f t="shared" si="73"/>
        <v>Error?</v>
      </c>
    </row>
    <row r="4793" spans="1:4" x14ac:dyDescent="0.2">
      <c r="A4793" s="5">
        <v>4732</v>
      </c>
      <c r="B4793" s="138">
        <f>'Revenues 9-14'!D171</f>
        <v>7103</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3018</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852058913</v>
      </c>
      <c r="D4995" s="2" t="str">
        <f t="shared" si="77"/>
        <v>Error?</v>
      </c>
    </row>
    <row r="4996" spans="1:4" x14ac:dyDescent="0.2">
      <c r="A4996" s="12">
        <v>4935</v>
      </c>
      <c r="B4996" s="138">
        <f>'FP Info 3'!H31</f>
        <v>58792064.997000001</v>
      </c>
      <c r="D4996" s="2" t="str">
        <f t="shared" si="77"/>
        <v>Error?</v>
      </c>
    </row>
    <row r="4997" spans="1:4" x14ac:dyDescent="0.2">
      <c r="A4997" s="12">
        <v>4936</v>
      </c>
      <c r="B4997" s="138">
        <f>'FP Info 3'!H37</f>
        <v>16693190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20970997</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20970997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81529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81529</v>
      </c>
      <c r="C5071" s="2" t="s">
        <v>594</v>
      </c>
      <c r="D5071" s="2" t="str">
        <f t="shared" si="78"/>
        <v>Error?</v>
      </c>
    </row>
    <row r="5072" spans="1:4" x14ac:dyDescent="0.2">
      <c r="A5072" s="5">
        <v>5011</v>
      </c>
      <c r="B5072" s="138">
        <f>'Revenues 9-14'!C20</f>
        <v>501357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35306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536663</v>
      </c>
      <c r="C5087" s="2" t="s">
        <v>594</v>
      </c>
      <c r="D5087" s="2" t="str">
        <f t="shared" si="78"/>
        <v>Error?</v>
      </c>
    </row>
    <row r="5088" spans="1:4" x14ac:dyDescent="0.2">
      <c r="A5088" s="5">
        <v>5027</v>
      </c>
      <c r="B5088" s="138">
        <f>'Revenues 9-14'!C65</f>
        <v>200685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200685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17039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24664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41703</v>
      </c>
      <c r="C5102" s="2" t="s">
        <v>594</v>
      </c>
      <c r="D5102" s="2" t="str">
        <f t="shared" si="78"/>
        <v>Error?</v>
      </c>
    </row>
    <row r="5103" spans="1:4" x14ac:dyDescent="0.2">
      <c r="A5103" s="5">
        <v>5042</v>
      </c>
      <c r="B5103" s="138">
        <f>'Revenues 9-14'!C84</f>
        <v>490603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490603</v>
      </c>
      <c r="C5112" s="2" t="s">
        <v>594</v>
      </c>
      <c r="D5112" s="2" t="str">
        <f t="shared" si="78"/>
        <v>Error?</v>
      </c>
    </row>
    <row r="5113" spans="1:4" x14ac:dyDescent="0.2">
      <c r="A5113" s="5">
        <v>5052</v>
      </c>
      <c r="B5113" s="138">
        <f>'Revenues 9-14'!C95</f>
        <v>7596</v>
      </c>
      <c r="D5113" s="2" t="str">
        <f t="shared" si="78"/>
        <v>Error?</v>
      </c>
    </row>
    <row r="5114" spans="1:4" x14ac:dyDescent="0.2">
      <c r="A5114" s="5">
        <v>5053</v>
      </c>
      <c r="B5114" s="138">
        <f>'Revenues 9-14'!C96</f>
        <v>0</v>
      </c>
      <c r="D5114" s="2" t="str">
        <f t="shared" si="78"/>
        <v>Error?</v>
      </c>
    </row>
    <row r="5115" spans="1:4" x14ac:dyDescent="0.2">
      <c r="A5115" s="5">
        <v>5054</v>
      </c>
      <c r="B5115" s="138">
        <f>'Revenues 9-14'!C98</f>
        <v>20368</v>
      </c>
      <c r="D5115" s="2" t="str">
        <f t="shared" si="78"/>
        <v>Error?</v>
      </c>
    </row>
    <row r="5116" spans="1:4" x14ac:dyDescent="0.2">
      <c r="A5116" s="5">
        <v>5055</v>
      </c>
      <c r="B5116" s="138">
        <f>'Revenues 9-14'!C99</f>
        <v>89600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116146</v>
      </c>
      <c r="D5119" s="2" t="str">
        <f t="shared" ref="D5119:D5182" si="79">IF(ISBLANK(B5119),"OK",IF(A5119-B5119=0,"OK","Error?"))</f>
        <v>Error?</v>
      </c>
    </row>
    <row r="5120" spans="1:4" x14ac:dyDescent="0.2">
      <c r="A5120" s="5">
        <v>5059</v>
      </c>
      <c r="B5120" s="138">
        <f>'Revenues 9-14'!C108</f>
        <v>233710</v>
      </c>
      <c r="C5120" s="2" t="s">
        <v>594</v>
      </c>
      <c r="D5120" s="2" t="str">
        <f t="shared" si="79"/>
        <v>Error?</v>
      </c>
    </row>
    <row r="5121" spans="1:4" x14ac:dyDescent="0.2">
      <c r="A5121" s="5">
        <v>5060</v>
      </c>
      <c r="B5121" s="138">
        <f>'Revenues 9-14'!C109</f>
        <v>22555890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875060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875060</v>
      </c>
      <c r="C5132" s="2" t="s">
        <v>594</v>
      </c>
      <c r="D5132" s="2" t="str">
        <f t="shared" si="79"/>
        <v>Error?</v>
      </c>
    </row>
    <row r="5133" spans="1:4" x14ac:dyDescent="0.2">
      <c r="A5133" s="5">
        <v>5072</v>
      </c>
      <c r="B5133" s="138">
        <f>'Revenues 9-14'!C124</f>
        <v>103327</v>
      </c>
      <c r="D5133" s="2" t="str">
        <f t="shared" si="79"/>
        <v>Error?</v>
      </c>
    </row>
    <row r="5134" spans="1:4" x14ac:dyDescent="0.2">
      <c r="A5134" s="5">
        <v>5073</v>
      </c>
      <c r="B5134" s="138">
        <f>'Revenues 9-14'!C125</f>
        <v>33585</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1650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138562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17070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17070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234034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392553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1267613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14237</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14237</v>
      </c>
      <c r="C5246" s="2" t="s">
        <v>594</v>
      </c>
      <c r="D5246" s="2" t="str">
        <f t="shared" si="80"/>
        <v>Error?</v>
      </c>
    </row>
    <row r="5247" spans="1:4" x14ac:dyDescent="0.2">
      <c r="A5247" s="5">
        <v>5186</v>
      </c>
      <c r="B5247" s="138">
        <f>'Revenues 9-14'!C203</f>
        <v>180174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180174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23502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232471</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255973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590590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590590</v>
      </c>
      <c r="C5326" s="2" t="s">
        <v>594</v>
      </c>
      <c r="D5326" s="2" t="str">
        <f t="shared" si="82"/>
        <v>Error?</v>
      </c>
    </row>
    <row r="5327" spans="1:4" x14ac:dyDescent="0.2">
      <c r="A5327" s="5">
        <v>5266</v>
      </c>
      <c r="B5327" s="138">
        <f>'Revenues 9-14'!C275</f>
        <v>24414093</v>
      </c>
      <c r="C5327" s="2" t="s">
        <v>594</v>
      </c>
      <c r="D5327" s="2" t="str">
        <f t="shared" si="82"/>
        <v>Error?</v>
      </c>
    </row>
    <row r="5328" spans="1:4" x14ac:dyDescent="0.2">
      <c r="A5328" s="5">
        <v>5267</v>
      </c>
      <c r="B5328" s="138">
        <f>'Revenues 9-14'!D5</f>
        <v>2591533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2591533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28485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28485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8687</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45512</v>
      </c>
      <c r="D5354" s="2" t="str">
        <f t="shared" si="82"/>
        <v>Error?</v>
      </c>
    </row>
    <row r="5355" spans="1:4" x14ac:dyDescent="0.2">
      <c r="A5355" s="5">
        <v>5294</v>
      </c>
      <c r="B5355" s="138">
        <f>'Revenues 9-14'!D108</f>
        <v>74906</v>
      </c>
      <c r="C5355" s="2" t="s">
        <v>594</v>
      </c>
      <c r="D5355" s="2" t="str">
        <f t="shared" si="82"/>
        <v>Error?</v>
      </c>
    </row>
    <row r="5356" spans="1:4" x14ac:dyDescent="0.2">
      <c r="A5356" s="5">
        <v>5295</v>
      </c>
      <c r="B5356" s="138">
        <f>'Revenues 9-14'!D109</f>
        <v>2694924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7103</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7103</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2702027</v>
      </c>
      <c r="C5508" s="2" t="s">
        <v>594</v>
      </c>
      <c r="D5508" s="2" t="str">
        <f t="shared" si="85"/>
        <v>Error?</v>
      </c>
    </row>
    <row r="5509" spans="1:4" x14ac:dyDescent="0.2">
      <c r="A5509" s="5">
        <v>5448</v>
      </c>
      <c r="B5509" s="138">
        <f>'Revenues 9-14'!E5</f>
        <v>3275818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3275818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12854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12854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3288672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3288672</v>
      </c>
      <c r="C5552" s="2" t="s">
        <v>594</v>
      </c>
      <c r="D5552" s="2" t="str">
        <f t="shared" si="85"/>
        <v>Error?</v>
      </c>
    </row>
    <row r="5553" spans="1:4" x14ac:dyDescent="0.2">
      <c r="A5553" s="5">
        <v>5492</v>
      </c>
      <c r="B5553" s="138">
        <f>'Revenues 9-14'!F5</f>
        <v>1273151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1273151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630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5434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6064</v>
      </c>
      <c r="C5579" s="2" t="s">
        <v>594</v>
      </c>
      <c r="D5579" s="2" t="str">
        <f t="shared" si="86"/>
        <v>Error?</v>
      </c>
    </row>
    <row r="5580" spans="1:4" x14ac:dyDescent="0.2">
      <c r="A5580" s="5">
        <v>5519</v>
      </c>
      <c r="B5580" s="138">
        <f>'Revenues 9-14'!F65</f>
        <v>17709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17709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281724</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16687</v>
      </c>
      <c r="D5586" s="2" t="str">
        <f t="shared" si="86"/>
        <v>Error?</v>
      </c>
    </row>
    <row r="5587" spans="1:4" x14ac:dyDescent="0.2">
      <c r="A5587" s="5">
        <v>5526</v>
      </c>
      <c r="B5587" s="138">
        <f>'Revenues 9-14'!F108</f>
        <v>298411</v>
      </c>
      <c r="C5587" s="2" t="s">
        <v>594</v>
      </c>
      <c r="D5587" s="2" t="str">
        <f t="shared" si="86"/>
        <v>Error?</v>
      </c>
    </row>
    <row r="5588" spans="1:4" x14ac:dyDescent="0.2">
      <c r="A5588" s="5">
        <v>5527</v>
      </c>
      <c r="B5588" s="138">
        <f>'Revenues 9-14'!F109</f>
        <v>1595335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528662</v>
      </c>
      <c r="D5615" s="2" t="str">
        <f t="shared" si="86"/>
        <v>Error?</v>
      </c>
    </row>
    <row r="5616" spans="1:4" x14ac:dyDescent="0.2">
      <c r="A5616" s="10">
        <v>5555</v>
      </c>
      <c r="D5616" s="2" t="str">
        <f t="shared" si="86"/>
        <v>OK</v>
      </c>
    </row>
    <row r="5617" spans="1:4" x14ac:dyDescent="0.2">
      <c r="A5617" s="5">
        <v>5556</v>
      </c>
      <c r="B5617" s="138">
        <f>'Revenues 9-14'!F152</f>
        <v>236833</v>
      </c>
      <c r="D5617" s="2" t="str">
        <f t="shared" si="86"/>
        <v>Error?</v>
      </c>
    </row>
    <row r="5618" spans="1:4" x14ac:dyDescent="0.2">
      <c r="A5618" s="5">
        <v>5557</v>
      </c>
      <c r="B5618" s="138">
        <f>'Revenues 9-14'!F154</f>
        <v>765495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765495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765495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2360830</v>
      </c>
      <c r="C5720" s="2" t="s">
        <v>594</v>
      </c>
      <c r="D5720" s="2" t="str">
        <f t="shared" si="88"/>
        <v>Error?</v>
      </c>
    </row>
    <row r="5721" spans="1:4" x14ac:dyDescent="0.2">
      <c r="A5721" s="5">
        <v>5660</v>
      </c>
      <c r="B5721" s="138">
        <f>'Revenues 9-14'!G5</f>
        <v>195974</v>
      </c>
      <c r="D5721" s="2" t="str">
        <f t="shared" si="88"/>
        <v>Error?</v>
      </c>
    </row>
    <row r="5722" spans="1:4" x14ac:dyDescent="0.2">
      <c r="A5722" s="5">
        <v>5661</v>
      </c>
      <c r="B5722" s="138">
        <f>'Revenues 9-14'!G7</f>
        <v>0</v>
      </c>
      <c r="D5722" s="2" t="str">
        <f t="shared" si="88"/>
        <v>Error?</v>
      </c>
    </row>
    <row r="5723" spans="1:4" x14ac:dyDescent="0.2">
      <c r="A5723" s="5">
        <v>5662</v>
      </c>
      <c r="B5723" s="138">
        <f>'Revenues 9-14'!G8</f>
        <v>563094</v>
      </c>
      <c r="D5723" s="2" t="str">
        <f t="shared" si="88"/>
        <v>Error?</v>
      </c>
    </row>
    <row r="5724" spans="1:4" x14ac:dyDescent="0.2">
      <c r="A5724" s="5">
        <v>5663</v>
      </c>
      <c r="B5724" s="138">
        <f>'Revenues 9-14'!G11</f>
        <v>64938</v>
      </c>
      <c r="D5724" s="2" t="str">
        <f t="shared" si="88"/>
        <v>Error?</v>
      </c>
    </row>
    <row r="5725" spans="1:4" x14ac:dyDescent="0.2">
      <c r="A5725" s="5">
        <v>5664</v>
      </c>
      <c r="B5725" s="138">
        <f>'Revenues 9-14'!G12</f>
        <v>824006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6500</v>
      </c>
      <c r="C5730" s="2" t="s">
        <v>594</v>
      </c>
      <c r="D5730" s="2" t="str">
        <f t="shared" si="88"/>
        <v>Error?</v>
      </c>
    </row>
    <row r="5731" spans="1:4" x14ac:dyDescent="0.2">
      <c r="A5731" s="5">
        <v>5670</v>
      </c>
      <c r="B5731" s="138">
        <f>'Revenues 9-14'!G65</f>
        <v>3205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3205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833711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13252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13252</v>
      </c>
      <c r="C5881" s="2" t="s">
        <v>594</v>
      </c>
      <c r="D5881" s="2" t="str">
        <f t="shared" si="90"/>
        <v>Error?</v>
      </c>
    </row>
    <row r="5882" spans="1:4" x14ac:dyDescent="0.2">
      <c r="A5882" s="5">
        <v>5821</v>
      </c>
      <c r="B5882" s="138">
        <f>'Revenues 9-14'!H96</f>
        <v>60276</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60276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73528</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52430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52430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52430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203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203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203</v>
      </c>
      <c r="C6023" s="2" t="s">
        <v>594</v>
      </c>
      <c r="D6023" s="2" t="str">
        <f t="shared" si="93"/>
        <v>Error?</v>
      </c>
    </row>
    <row r="6024" spans="1:5" x14ac:dyDescent="0.2">
      <c r="A6024" s="5">
        <v>5963</v>
      </c>
      <c r="B6024" s="138">
        <f>'Revenues 9-14'!G109</f>
        <v>833711</v>
      </c>
      <c r="C6024" s="2" t="s">
        <v>594</v>
      </c>
      <c r="D6024" s="2" t="str">
        <f t="shared" si="93"/>
        <v>Error?</v>
      </c>
    </row>
    <row r="6025" spans="1:5" x14ac:dyDescent="0.2">
      <c r="A6025" s="5">
        <v>5964</v>
      </c>
      <c r="B6025" s="138">
        <f>'Revenues 9-14'!H109</f>
        <v>73528</v>
      </c>
      <c r="C6025" s="2" t="s">
        <v>594</v>
      </c>
      <c r="D6025" s="2" t="str">
        <f t="shared" si="93"/>
        <v>Error?</v>
      </c>
    </row>
    <row r="6026" spans="1:5" x14ac:dyDescent="0.2">
      <c r="A6026" s="5">
        <v>5965</v>
      </c>
      <c r="B6026" s="138">
        <f>'Revenues 9-14'!I109</f>
        <v>52430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203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60741</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1954.06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138450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244858</v>
      </c>
      <c r="D6093" s="2" t="str">
        <f t="shared" si="94"/>
        <v>Error?</v>
      </c>
      <c r="E6093" s="2" t="s">
        <v>199</v>
      </c>
    </row>
    <row r="6094" spans="1:5" x14ac:dyDescent="0.2">
      <c r="A6094">
        <v>6033</v>
      </c>
      <c r="B6094" s="138">
        <f>'Assets-Liab 5-6'!G8</f>
        <v>6500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321156</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162294</v>
      </c>
      <c r="D6142" s="2" t="str">
        <f t="shared" si="94"/>
        <v>Error?</v>
      </c>
      <c r="E6142" s="2" t="s">
        <v>199</v>
      </c>
    </row>
    <row r="6143" spans="1:5" x14ac:dyDescent="0.2">
      <c r="A6143">
        <v>6082</v>
      </c>
      <c r="B6143" s="138">
        <f>'Assets-Liab 5-6'!D27</f>
        <v>7867</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1404</v>
      </c>
      <c r="D6145" s="2" t="str">
        <f t="shared" si="95"/>
        <v>Error?</v>
      </c>
      <c r="E6145" s="2" t="s">
        <v>199</v>
      </c>
    </row>
    <row r="6146" spans="1:5" x14ac:dyDescent="0.2">
      <c r="A6146">
        <v>6085</v>
      </c>
      <c r="B6146" s="138">
        <f>'Assets-Liab 5-6'!G27</f>
        <v>-57</v>
      </c>
      <c r="D6146" s="2" t="str">
        <f t="shared" si="95"/>
        <v>Error?</v>
      </c>
      <c r="E6146" s="2" t="s">
        <v>199</v>
      </c>
    </row>
    <row r="6147" spans="1:5" x14ac:dyDescent="0.2">
      <c r="A6147">
        <v>6086</v>
      </c>
      <c r="B6147" s="138">
        <f>'Assets-Liab 5-6'!H27</f>
        <v>33000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1846660</v>
      </c>
      <c r="D6267" s="2" t="str">
        <f t="shared" si="96"/>
        <v>Error?</v>
      </c>
      <c r="E6267" s="2" t="s">
        <v>199</v>
      </c>
    </row>
    <row r="6268" spans="1:5" x14ac:dyDescent="0.2">
      <c r="A6268">
        <v>6207</v>
      </c>
      <c r="B6268" s="138">
        <f>'Acct Summary 7-8'!D82</f>
        <v>337336</v>
      </c>
      <c r="D6268" s="2" t="str">
        <f t="shared" si="96"/>
        <v>Error?</v>
      </c>
      <c r="E6268" s="2" t="s">
        <v>199</v>
      </c>
    </row>
    <row r="6269" spans="1:5" x14ac:dyDescent="0.2">
      <c r="A6269">
        <v>6208</v>
      </c>
      <c r="B6269" s="138">
        <f>'Acct Summary 7-8'!E82</f>
        <v>245522</v>
      </c>
      <c r="D6269" s="2" t="str">
        <f t="shared" si="96"/>
        <v>Error?</v>
      </c>
      <c r="E6269" s="2" t="s">
        <v>199</v>
      </c>
    </row>
    <row r="6270" spans="1:5" x14ac:dyDescent="0.2">
      <c r="A6270">
        <v>6209</v>
      </c>
      <c r="B6270" s="138">
        <f>'Acct Summary 7-8'!F82</f>
        <v>120961</v>
      </c>
      <c r="D6270" s="2" t="str">
        <f t="shared" si="96"/>
        <v>Error?</v>
      </c>
      <c r="E6270" s="2" t="s">
        <v>199</v>
      </c>
    </row>
    <row r="6271" spans="1:5" x14ac:dyDescent="0.2">
      <c r="A6271">
        <v>6210</v>
      </c>
      <c r="B6271" s="138">
        <f>'Acct Summary 7-8'!G82</f>
        <v>44060</v>
      </c>
      <c r="D6271" s="2" t="str">
        <f t="shared" ref="D6271:D6334" si="97">IF(ISBLANK(B6271),"OK",IF(A6271-B6271=0,"OK","Error?"))</f>
        <v>Error?</v>
      </c>
      <c r="E6271" s="2" t="s">
        <v>199</v>
      </c>
    </row>
    <row r="6272" spans="1:5" x14ac:dyDescent="0.2">
      <c r="A6272">
        <v>6211</v>
      </c>
      <c r="B6272" s="138">
        <f>'Acct Summary 7-8'!H82</f>
        <v>952559</v>
      </c>
      <c r="D6272" s="2" t="str">
        <f t="shared" si="97"/>
        <v>Error?</v>
      </c>
      <c r="E6272" s="2" t="s">
        <v>199</v>
      </c>
    </row>
    <row r="6273" spans="1:5" x14ac:dyDescent="0.2">
      <c r="A6273">
        <v>6212</v>
      </c>
      <c r="B6273" s="138">
        <f>'Acct Summary 7-8'!I82</f>
        <v>-1947570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203</v>
      </c>
      <c r="D6275" s="2" t="str">
        <f t="shared" si="97"/>
        <v>Error?</v>
      </c>
      <c r="E6275" s="2" t="s">
        <v>199</v>
      </c>
    </row>
    <row r="6276" spans="1:5" x14ac:dyDescent="0.2">
      <c r="A6276">
        <v>6215</v>
      </c>
      <c r="B6276" s="138">
        <f>'Acct Summary 7-8'!C83</f>
        <v>8.0618664627036193E-2</v>
      </c>
      <c r="D6276" s="2" t="str">
        <f t="shared" si="97"/>
        <v>Error?</v>
      </c>
      <c r="E6276" s="2" t="s">
        <v>199</v>
      </c>
    </row>
    <row r="6277" spans="1:5" x14ac:dyDescent="0.2">
      <c r="A6277">
        <v>6216</v>
      </c>
      <c r="B6277" s="138">
        <f>'Acct Summary 7-8'!D83</f>
        <v>0.11224434113314424</v>
      </c>
      <c r="D6277" s="2" t="str">
        <f t="shared" si="97"/>
        <v>Error?</v>
      </c>
      <c r="E6277" s="2" t="s">
        <v>199</v>
      </c>
    </row>
    <row r="6278" spans="1:5" x14ac:dyDescent="0.2">
      <c r="A6278">
        <v>6217</v>
      </c>
      <c r="B6278" s="138">
        <f>'Acct Summary 7-8'!E83</f>
        <v>9.8497436889059695E-2</v>
      </c>
      <c r="D6278" s="2" t="str">
        <f t="shared" si="97"/>
        <v>Error?</v>
      </c>
      <c r="E6278" s="2" t="s">
        <v>199</v>
      </c>
    </row>
    <row r="6279" spans="1:5" x14ac:dyDescent="0.2">
      <c r="A6279">
        <v>6218</v>
      </c>
      <c r="B6279" s="138">
        <f>'Acct Summary 7-8'!F83</f>
        <v>5.3318446372559565E-2</v>
      </c>
      <c r="D6279" s="2" t="str">
        <f t="shared" si="97"/>
        <v>Error?</v>
      </c>
      <c r="E6279" s="2" t="s">
        <v>199</v>
      </c>
    </row>
    <row r="6280" spans="1:5" x14ac:dyDescent="0.2">
      <c r="A6280">
        <v>6219</v>
      </c>
      <c r="B6280" s="138">
        <f>'Acct Summary 7-8'!G83</f>
        <v>0.14760221771829618</v>
      </c>
      <c r="D6280" s="2" t="str">
        <f t="shared" si="97"/>
        <v>Error?</v>
      </c>
      <c r="E6280" s="2" t="s">
        <v>199</v>
      </c>
    </row>
    <row r="6281" spans="1:5" x14ac:dyDescent="0.2">
      <c r="A6281">
        <v>6220</v>
      </c>
      <c r="B6281" s="138">
        <f>'Acct Summary 7-8'!H83</f>
        <v>0.47071750199641044</v>
      </c>
      <c r="D6281" s="2" t="str">
        <f t="shared" si="97"/>
        <v>Error?</v>
      </c>
      <c r="E6281" s="2" t="s">
        <v>199</v>
      </c>
    </row>
    <row r="6282" spans="1:5" x14ac:dyDescent="0.2">
      <c r="A6282">
        <v>6221</v>
      </c>
      <c r="B6282" s="138">
        <f>'Acct Summary 7-8'!I83</f>
        <v>-0.59344729752747816</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1.1521652761223678E-2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133641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192018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155798</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39119</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39119</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39119</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39119</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20707</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12403</v>
      </c>
      <c r="D7067" s="2" t="str">
        <f t="shared" si="109"/>
        <v>Error?</v>
      </c>
    </row>
    <row r="7068" spans="1:4" x14ac:dyDescent="0.2">
      <c r="A7068">
        <v>7007</v>
      </c>
      <c r="B7068" s="138">
        <f>'Expenditures 15-22'!K205</f>
        <v>12403</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1952</v>
      </c>
      <c r="D7073" s="2" t="str">
        <f t="shared" si="109"/>
        <v>Error?</v>
      </c>
    </row>
    <row r="7074" spans="1:4" x14ac:dyDescent="0.2">
      <c r="A7074">
        <v>7013</v>
      </c>
      <c r="B7074" s="138">
        <f>'Expenditures 15-22'!K216</f>
        <v>1952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1681</v>
      </c>
      <c r="D7077" s="2" t="str">
        <f t="shared" si="109"/>
        <v>Error?</v>
      </c>
    </row>
    <row r="7078" spans="1:4" x14ac:dyDescent="0.2">
      <c r="A7078">
        <v>7017</v>
      </c>
      <c r="B7078" s="138">
        <f>'Expenditures 15-22'!K220</f>
        <v>1681</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53590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4787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115959</v>
      </c>
      <c r="D7257" s="2" t="str">
        <f t="shared" si="112"/>
        <v>Error?</v>
      </c>
    </row>
    <row r="7258" spans="1:4" x14ac:dyDescent="0.2">
      <c r="A7258">
        <f t="shared" si="113"/>
        <v>7197</v>
      </c>
      <c r="B7258" s="138">
        <f>'Expenditures 15-22'!D11</f>
        <v>35978</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3861</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2002758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2000000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226672</v>
      </c>
      <c r="D7759" s="2" t="str">
        <f t="shared" si="127"/>
        <v>Error?</v>
      </c>
      <c r="E7759" s="4" t="s">
        <v>1400</v>
      </c>
    </row>
    <row r="7760" spans="1:6" x14ac:dyDescent="0.2">
      <c r="A7760">
        <v>7699</v>
      </c>
      <c r="B7760" s="138">
        <f>'Aud Quest 2'!J90</f>
        <v>226672</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6" t="s">
        <v>1253</v>
      </c>
      <c r="B2" s="2396"/>
      <c r="C2" s="2396"/>
      <c r="D2" s="2396"/>
      <c r="E2" s="2396"/>
      <c r="F2" s="2396"/>
      <c r="G2" s="2396"/>
      <c r="H2" s="2396"/>
      <c r="I2" s="2396"/>
      <c r="J2" s="2396"/>
      <c r="K2" s="2396"/>
      <c r="L2" s="2396"/>
    </row>
    <row r="3" spans="1:29" ht="13.5" customHeight="1" x14ac:dyDescent="0.2">
      <c r="A3" s="2427" t="s">
        <v>1252</v>
      </c>
      <c r="B3" s="2427"/>
      <c r="C3" s="2427"/>
      <c r="D3" s="2427"/>
      <c r="E3" s="2427"/>
      <c r="F3" s="2427"/>
      <c r="G3" s="2427"/>
      <c r="H3" s="2427"/>
      <c r="I3" s="2427"/>
      <c r="J3" s="2427"/>
      <c r="K3" s="2427"/>
      <c r="L3" s="2427"/>
    </row>
    <row r="4" spans="1:29" ht="13.5" customHeight="1" x14ac:dyDescent="0.2">
      <c r="A4" s="2396" t="s">
        <v>1799</v>
      </c>
      <c r="B4" s="2417"/>
      <c r="C4" s="2417"/>
      <c r="D4" s="2417"/>
      <c r="E4" s="2417"/>
      <c r="F4" s="2417"/>
      <c r="G4" s="2417"/>
      <c r="H4" s="2417"/>
      <c r="I4" s="2417"/>
      <c r="J4" s="2417"/>
      <c r="K4" s="2417"/>
      <c r="L4" s="241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8" t="str">
        <f>COVER!A17</f>
        <v>Fremont SD 79</v>
      </c>
      <c r="B7" s="2419"/>
      <c r="C7" s="2419"/>
      <c r="D7" s="2420"/>
      <c r="E7" s="2421">
        <f>COVER!A13</f>
        <v>34049079002</v>
      </c>
      <c r="F7" s="2422"/>
      <c r="G7" s="2428" t="str">
        <f>COVER!T23</f>
        <v>060-003973</v>
      </c>
      <c r="H7" s="2429"/>
      <c r="I7" s="2429"/>
      <c r="J7" s="2429"/>
      <c r="K7" s="2429"/>
      <c r="L7" s="243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1"/>
      <c r="B9" s="2432"/>
      <c r="C9" s="2432"/>
      <c r="D9" s="2432"/>
      <c r="E9" s="2432"/>
      <c r="F9" s="2433"/>
      <c r="G9" s="2402" t="str">
        <f>COVER!T13</f>
        <v>Evans, Marshall and Pease, PC</v>
      </c>
      <c r="H9" s="2434"/>
      <c r="I9" s="2434"/>
      <c r="J9" s="2434"/>
      <c r="K9" s="2434"/>
      <c r="L9" s="2435"/>
    </row>
    <row r="10" spans="1:29" ht="13.5" customHeight="1" x14ac:dyDescent="0.2">
      <c r="A10" s="2408">
        <f>COVER!A38</f>
        <v>0</v>
      </c>
      <c r="B10" s="2409"/>
      <c r="C10" s="2409"/>
      <c r="D10" s="2409"/>
      <c r="E10" s="2409"/>
      <c r="F10" s="2410"/>
      <c r="G10" s="2402" t="str">
        <f>COVER!T17</f>
        <v>1875 Hicks Road</v>
      </c>
      <c r="H10" s="2403"/>
      <c r="I10" s="2403"/>
      <c r="J10" s="2403"/>
      <c r="K10" s="2403"/>
      <c r="L10" s="2404"/>
    </row>
    <row r="11" spans="1:29" ht="13.5" customHeight="1" x14ac:dyDescent="0.2">
      <c r="A11" s="1185" t="s">
        <v>1599</v>
      </c>
      <c r="B11" s="1186"/>
      <c r="C11" s="1187"/>
      <c r="D11" s="1192"/>
      <c r="E11" s="1187"/>
      <c r="F11" s="1191"/>
      <c r="G11" s="2402" t="str">
        <f>COVER!T19</f>
        <v>Rolling Meadows</v>
      </c>
      <c r="H11" s="2403"/>
      <c r="I11" s="2403"/>
      <c r="J11" s="2403"/>
      <c r="K11" s="2403"/>
      <c r="L11" s="2404"/>
    </row>
    <row r="12" spans="1:29" ht="13.5" customHeight="1" x14ac:dyDescent="0.2">
      <c r="A12" s="2411" t="s">
        <v>1598</v>
      </c>
      <c r="B12" s="2412"/>
      <c r="C12" s="2412"/>
      <c r="D12" s="2412"/>
      <c r="E12" s="2412"/>
      <c r="F12" s="2413"/>
      <c r="G12" s="2405"/>
      <c r="H12" s="2406"/>
      <c r="I12" s="2406"/>
      <c r="J12" s="2406"/>
      <c r="K12" s="2406"/>
      <c r="L12" s="2407"/>
    </row>
    <row r="13" spans="1:29" ht="13.5" customHeight="1" x14ac:dyDescent="0.2">
      <c r="A13" s="2402"/>
      <c r="B13" s="2403"/>
      <c r="C13" s="2403"/>
      <c r="D13" s="2403"/>
      <c r="E13" s="2403"/>
      <c r="F13" s="2404"/>
      <c r="G13" s="2397" t="s">
        <v>1600</v>
      </c>
      <c r="H13" s="2398"/>
      <c r="I13" s="2414" t="str">
        <f>COVER!T25</f>
        <v>jeff@empcpa.com</v>
      </c>
      <c r="J13" s="2415"/>
      <c r="K13" s="2415"/>
      <c r="L13" s="2416"/>
    </row>
    <row r="14" spans="1:29" ht="13.5" customHeight="1" x14ac:dyDescent="0.2">
      <c r="A14" s="2402" t="str">
        <f>COVER!A19</f>
        <v>28855 N. Fremont Center</v>
      </c>
      <c r="B14" s="2403"/>
      <c r="C14" s="2403"/>
      <c r="D14" s="2403"/>
      <c r="E14" s="2403"/>
      <c r="F14" s="2404"/>
      <c r="G14" s="1196" t="s">
        <v>1247</v>
      </c>
      <c r="H14" s="1194"/>
      <c r="I14" s="1194"/>
      <c r="J14" s="1194"/>
      <c r="K14" s="1194"/>
      <c r="L14" s="1195"/>
    </row>
    <row r="15" spans="1:29" ht="13.5" customHeight="1" x14ac:dyDescent="0.2">
      <c r="A15" s="2402" t="str">
        <f>COVER!A21</f>
        <v>Mundelein</v>
      </c>
      <c r="B15" s="2403"/>
      <c r="C15" s="2403"/>
      <c r="D15" s="2403"/>
      <c r="E15" s="2403"/>
      <c r="F15" s="2404"/>
      <c r="G15" s="2399" t="str">
        <f>COVER!T15</f>
        <v>Jeffery M. Rollefson, CPA</v>
      </c>
      <c r="H15" s="2400"/>
      <c r="I15" s="2400"/>
      <c r="J15" s="2400"/>
      <c r="K15" s="2400"/>
      <c r="L15" s="2401"/>
    </row>
    <row r="16" spans="1:29" ht="12.2" customHeight="1" x14ac:dyDescent="0.2">
      <c r="A16" s="2424">
        <f>COVER!A25</f>
        <v>60060</v>
      </c>
      <c r="B16" s="2425"/>
      <c r="C16" s="2425"/>
      <c r="D16" s="2425"/>
      <c r="E16" s="2425"/>
      <c r="F16" s="2426"/>
      <c r="G16" s="2436"/>
      <c r="H16" s="2437"/>
      <c r="I16" s="2437"/>
      <c r="J16" s="2437"/>
      <c r="K16" s="2437"/>
      <c r="L16" s="2438"/>
    </row>
    <row r="17" spans="1:13" ht="12.2" customHeight="1" x14ac:dyDescent="0.2">
      <c r="A17" s="2439"/>
      <c r="B17" s="2425"/>
      <c r="C17" s="2425"/>
      <c r="D17" s="2425"/>
      <c r="E17" s="2425"/>
      <c r="F17" s="2426"/>
      <c r="G17" s="1196" t="s">
        <v>1246</v>
      </c>
      <c r="H17" s="1194"/>
      <c r="I17" s="1194"/>
      <c r="J17" s="1194"/>
      <c r="K17" s="1198" t="s">
        <v>1245</v>
      </c>
      <c r="L17" s="1191"/>
      <c r="M17" s="1184"/>
    </row>
    <row r="18" spans="1:13" ht="12.2" customHeight="1" x14ac:dyDescent="0.2">
      <c r="A18" s="2408"/>
      <c r="B18" s="2409"/>
      <c r="C18" s="2409"/>
      <c r="D18" s="2409"/>
      <c r="E18" s="2409"/>
      <c r="F18" s="2410"/>
      <c r="G18" s="2418" t="str">
        <f>COVER!T21</f>
        <v>847-221-5700</v>
      </c>
      <c r="H18" s="2419"/>
      <c r="I18" s="2419"/>
      <c r="J18" s="2419"/>
      <c r="K18" s="2418" t="str">
        <f>COVER!X21</f>
        <v>847-221-5701</v>
      </c>
      <c r="L18" s="242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0" t="str">
        <f>'Single Audit Cover'!A7</f>
        <v>Fremont SD 79</v>
      </c>
      <c r="B1" s="2417"/>
      <c r="C1" s="2417"/>
      <c r="D1" s="2417"/>
    </row>
    <row r="2" spans="1:11" s="1215" customFormat="1" ht="12.75" x14ac:dyDescent="0.2">
      <c r="A2" s="2441">
        <f>'Single Audit Cover'!E7</f>
        <v>34049079002</v>
      </c>
      <c r="B2" s="2442"/>
      <c r="C2" s="2442"/>
      <c r="D2" s="2442"/>
    </row>
    <row r="3" spans="1:11" s="1215" customFormat="1" ht="12.75" x14ac:dyDescent="0.2">
      <c r="A3" s="2440" t="s">
        <v>1593</v>
      </c>
      <c r="B3" s="2417"/>
      <c r="C3" s="2417"/>
      <c r="D3" s="241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4" t="str">
        <f>'Single Audit Cover'!A7</f>
        <v>Fremont SD 79</v>
      </c>
      <c r="B1" s="2444"/>
      <c r="C1" s="2444"/>
      <c r="D1" s="2444"/>
      <c r="E1" s="2444"/>
    </row>
    <row r="2" spans="1:5" x14ac:dyDescent="0.2">
      <c r="A2" s="2445">
        <f>'Single Audit Cover'!E7</f>
        <v>34049079002</v>
      </c>
      <c r="B2" s="2445"/>
      <c r="C2" s="2445"/>
      <c r="D2" s="2445"/>
      <c r="E2" s="2445"/>
    </row>
    <row r="3" spans="1:5" ht="4.5" customHeight="1" x14ac:dyDescent="0.2"/>
    <row r="4" spans="1:5" x14ac:dyDescent="0.2">
      <c r="A4" s="2444" t="s">
        <v>1307</v>
      </c>
      <c r="B4" s="2444"/>
      <c r="C4" s="2444"/>
      <c r="D4" s="2444"/>
      <c r="E4" s="2444"/>
    </row>
    <row r="5" spans="1:5" x14ac:dyDescent="0.2">
      <c r="A5" s="2447" t="str">
        <f>'Single Audit Cover'!A4</f>
        <v>Year Ending June 30, 2018</v>
      </c>
      <c r="B5" s="2447"/>
      <c r="C5" s="2447"/>
      <c r="D5" s="2447"/>
      <c r="E5" s="2447"/>
    </row>
    <row r="6" spans="1:5" x14ac:dyDescent="0.2">
      <c r="A6" s="2444" t="s">
        <v>1306</v>
      </c>
      <c r="B6" s="2444"/>
      <c r="C6" s="2444"/>
      <c r="D6" s="2444"/>
      <c r="E6" s="2444"/>
    </row>
    <row r="8" spans="1:5" x14ac:dyDescent="0.2">
      <c r="A8" s="1260" t="s">
        <v>1305</v>
      </c>
    </row>
    <row r="10" spans="1:5" x14ac:dyDescent="0.2">
      <c r="A10" s="1261" t="s">
        <v>1304</v>
      </c>
      <c r="B10" s="1262" t="s">
        <v>1303</v>
      </c>
      <c r="C10" s="1262"/>
      <c r="D10" s="1263">
        <f>SUM('Acct Summary 7-8'!C7:K7)</f>
        <v>590590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-57046</v>
      </c>
    </row>
    <row r="19" spans="1:4" ht="13.5" thickBot="1" x14ac:dyDescent="0.25">
      <c r="A19" s="1265" t="s">
        <v>1297</v>
      </c>
      <c r="D19" s="1266">
        <f>SUM(D10:D17)</f>
        <v>533544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6"/>
      <c r="B24" s="2446"/>
      <c r="D24" s="1268"/>
    </row>
    <row r="25" spans="1:4" x14ac:dyDescent="0.2">
      <c r="A25" s="2443"/>
      <c r="B25" s="2443"/>
      <c r="D25" s="1268"/>
    </row>
    <row r="26" spans="1:4" x14ac:dyDescent="0.2">
      <c r="A26" s="2443"/>
      <c r="B26" s="2443"/>
      <c r="D26" s="1268"/>
    </row>
    <row r="27" spans="1:4" x14ac:dyDescent="0.2">
      <c r="A27" s="2443"/>
      <c r="B27" s="2443"/>
      <c r="D27" s="1268"/>
    </row>
    <row r="28" spans="1:4" x14ac:dyDescent="0.2">
      <c r="A28" s="2443"/>
      <c r="B28" s="2443"/>
      <c r="D28" s="1268"/>
    </row>
    <row r="29" spans="1:4" x14ac:dyDescent="0.2">
      <c r="A29" s="2443"/>
      <c r="B29" s="2443"/>
      <c r="D29" s="1268"/>
    </row>
    <row r="30" spans="1:4" x14ac:dyDescent="0.2">
      <c r="A30" s="2443"/>
      <c r="B30" s="2443"/>
      <c r="D30" s="1268"/>
    </row>
    <row r="32" spans="1:4" x14ac:dyDescent="0.2">
      <c r="A32" s="1260" t="s">
        <v>1295</v>
      </c>
      <c r="D32" s="1263">
        <f>SUM(D19:D30)</f>
        <v>533544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3"/>
      <c r="B40" s="2443"/>
      <c r="D40" s="1268"/>
    </row>
    <row r="41" spans="1:4" x14ac:dyDescent="0.2">
      <c r="A41" s="2443"/>
      <c r="B41" s="2443"/>
      <c r="D41" s="1271"/>
    </row>
    <row r="42" spans="1:4" x14ac:dyDescent="0.2">
      <c r="A42" s="2443"/>
      <c r="B42" s="2443"/>
      <c r="D42" s="1271"/>
    </row>
    <row r="43" spans="1:4" x14ac:dyDescent="0.2">
      <c r="A43" s="2443"/>
      <c r="B43" s="2443"/>
      <c r="D43" s="1271"/>
    </row>
    <row r="44" spans="1:4" x14ac:dyDescent="0.2">
      <c r="A44" s="2443"/>
      <c r="B44" s="2443"/>
      <c r="D44" s="1271"/>
    </row>
    <row r="45" spans="1:4" x14ac:dyDescent="0.2">
      <c r="A45" s="2443"/>
      <c r="B45" s="2443"/>
      <c r="D45" s="1271"/>
    </row>
    <row r="47" spans="1:4" x14ac:dyDescent="0.2">
      <c r="B47" s="1272" t="s">
        <v>1289</v>
      </c>
      <c r="C47" s="1272"/>
      <c r="D47" s="1273">
        <f>SUM(D35:D45)</f>
        <v>0</v>
      </c>
    </row>
    <row r="49" spans="2:4" x14ac:dyDescent="0.2">
      <c r="B49" s="1272" t="s">
        <v>1288</v>
      </c>
      <c r="C49" s="1272"/>
      <c r="D49" s="1273">
        <f>D32-D47</f>
        <v>533544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Fremont SD 79</v>
      </c>
      <c r="B1" s="2457"/>
      <c r="C1" s="2457"/>
      <c r="D1" s="2457"/>
      <c r="E1" s="2457"/>
      <c r="F1" s="2457"/>
    </row>
    <row r="2" spans="1:7" ht="13.5" customHeight="1" x14ac:dyDescent="0.2">
      <c r="A2" s="2458">
        <f>'Single Audit Cover'!E7</f>
        <v>34049079002</v>
      </c>
      <c r="B2" s="2458"/>
      <c r="C2" s="2458"/>
      <c r="D2" s="2458"/>
      <c r="E2" s="2458"/>
      <c r="F2" s="2458"/>
      <c r="G2" s="1275"/>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7"/>
      <c r="D5" s="317"/>
    </row>
    <row r="6" spans="1:7" ht="13.5" customHeight="1" x14ac:dyDescent="0.2">
      <c r="A6" s="1276" t="s">
        <v>1831</v>
      </c>
      <c r="C6" s="317"/>
      <c r="D6" s="317"/>
    </row>
    <row r="7" spans="1:7" ht="60.95" customHeight="1" x14ac:dyDescent="0.2">
      <c r="A7" s="2456" t="s">
        <v>1832</v>
      </c>
      <c r="B7" s="2456"/>
      <c r="C7" s="2456"/>
      <c r="D7" s="2456"/>
      <c r="E7" s="2456"/>
      <c r="F7" s="2456"/>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6" t="s">
        <v>1834</v>
      </c>
      <c r="B13" s="2456"/>
      <c r="C13" s="2456"/>
      <c r="D13" s="2456"/>
      <c r="E13" s="2456"/>
      <c r="F13" s="2456"/>
    </row>
    <row r="14" spans="1:7" ht="9.75" customHeight="1" x14ac:dyDescent="0.2">
      <c r="C14" s="1260"/>
      <c r="D14" s="1260"/>
    </row>
    <row r="15" spans="1:7" ht="13.5" customHeight="1" x14ac:dyDescent="0.2">
      <c r="C15" s="1871" t="s">
        <v>1332</v>
      </c>
      <c r="D15" s="2454" t="s">
        <v>1331</v>
      </c>
      <c r="E15" s="2454"/>
      <c r="F15" s="2454"/>
    </row>
    <row r="16" spans="1:7" ht="13.5" customHeight="1" x14ac:dyDescent="0.2">
      <c r="A16" s="1282"/>
      <c r="B16" s="1276" t="s">
        <v>1330</v>
      </c>
      <c r="C16" s="1871" t="s">
        <v>1329</v>
      </c>
      <c r="D16" s="2455" t="s">
        <v>1670</v>
      </c>
      <c r="E16" s="2455"/>
      <c r="F16" s="2455"/>
    </row>
    <row r="17" spans="1:6" ht="20.45" customHeight="1" x14ac:dyDescent="0.2">
      <c r="A17" s="1283"/>
      <c r="B17" s="1284"/>
      <c r="C17" s="1285"/>
      <c r="D17" s="2449"/>
      <c r="E17" s="2449"/>
      <c r="F17" s="2449"/>
    </row>
    <row r="18" spans="1:6" ht="20.65" customHeight="1" x14ac:dyDescent="0.2">
      <c r="A18" s="1283"/>
      <c r="B18" s="1284"/>
      <c r="C18" s="1285"/>
      <c r="D18" s="2449"/>
      <c r="E18" s="2449"/>
      <c r="F18" s="2449"/>
    </row>
    <row r="19" spans="1:6" ht="20.65" customHeight="1" x14ac:dyDescent="0.2">
      <c r="A19" s="1283"/>
      <c r="B19" s="1284"/>
      <c r="C19" s="1285"/>
      <c r="D19" s="2449"/>
      <c r="E19" s="2449"/>
      <c r="F19" s="2449"/>
    </row>
    <row r="20" spans="1:6" ht="20.65" customHeight="1" x14ac:dyDescent="0.2">
      <c r="A20" s="1283"/>
      <c r="B20" s="1284"/>
      <c r="C20" s="1285"/>
      <c r="D20" s="2449"/>
      <c r="E20" s="2449"/>
      <c r="F20" s="2449"/>
    </row>
    <row r="21" spans="1:6" ht="20.65" customHeight="1" x14ac:dyDescent="0.2">
      <c r="A21" s="1283"/>
      <c r="B21" s="1284"/>
      <c r="C21" s="1285"/>
      <c r="D21" s="2449"/>
      <c r="E21" s="2449"/>
      <c r="F21" s="2449"/>
    </row>
    <row r="22" spans="1:6" ht="20.65" customHeight="1" x14ac:dyDescent="0.2">
      <c r="A22" s="1283"/>
      <c r="B22" s="1284"/>
      <c r="C22" s="1285"/>
      <c r="D22" s="2449"/>
      <c r="E22" s="2449"/>
      <c r="F22" s="2449"/>
    </row>
    <row r="23" spans="1:6" ht="20.65" customHeight="1" x14ac:dyDescent="0.2">
      <c r="A23" s="1283"/>
      <c r="B23" s="1284"/>
      <c r="C23" s="1285"/>
      <c r="D23" s="2449"/>
      <c r="E23" s="2449"/>
      <c r="F23" s="2449"/>
    </row>
    <row r="24" spans="1:6" ht="20.65" customHeight="1" x14ac:dyDescent="0.2">
      <c r="A24" s="1283"/>
      <c r="B24" s="1284"/>
      <c r="C24" s="1285"/>
      <c r="D24" s="2449"/>
      <c r="E24" s="2449"/>
      <c r="F24" s="2449"/>
    </row>
    <row r="25" spans="1:6" ht="20.65" customHeight="1" x14ac:dyDescent="0.2">
      <c r="A25" s="1283"/>
      <c r="B25" s="1284"/>
      <c r="C25" s="1285"/>
      <c r="D25" s="2449"/>
      <c r="E25" s="2449"/>
      <c r="F25" s="2449"/>
    </row>
    <row r="26" spans="1:6" ht="20.65" customHeight="1" x14ac:dyDescent="0.2">
      <c r="A26" s="1283"/>
      <c r="B26" s="1284"/>
      <c r="C26" s="1285"/>
      <c r="D26" s="2449"/>
      <c r="E26" s="2449"/>
      <c r="F26" s="2449"/>
    </row>
    <row r="27" spans="1:6" ht="20.65" customHeight="1" x14ac:dyDescent="0.2">
      <c r="A27" s="1283"/>
      <c r="B27" s="1284"/>
      <c r="C27" s="1285"/>
      <c r="D27" s="2449"/>
      <c r="E27" s="2449"/>
      <c r="F27" s="2449"/>
    </row>
    <row r="28" spans="1:6" ht="20.65" customHeight="1" x14ac:dyDescent="0.2">
      <c r="A28" s="1283"/>
      <c r="B28" s="1284"/>
      <c r="C28" s="1285"/>
      <c r="D28" s="2449"/>
      <c r="E28" s="2449"/>
      <c r="F28" s="2449"/>
    </row>
    <row r="29" spans="1:6" ht="20.65" customHeight="1" x14ac:dyDescent="0.2">
      <c r="A29" s="1283"/>
      <c r="B29" s="1284"/>
      <c r="C29" s="1285"/>
      <c r="D29" s="2449"/>
      <c r="E29" s="2449"/>
      <c r="F29" s="2449"/>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0" t="s">
        <v>1835</v>
      </c>
      <c r="B32" s="2450"/>
      <c r="C32" s="2450"/>
      <c r="D32" s="2450"/>
      <c r="E32" s="2450"/>
      <c r="F32" s="2450"/>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1">
        <f>+C33+C34</f>
        <v>0</v>
      </c>
      <c r="F34" s="245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3" t="s">
        <v>1672</v>
      </c>
      <c r="C49" s="2453"/>
      <c r="D49" s="2453"/>
      <c r="E49" s="1399"/>
    </row>
    <row r="50" spans="1:5" s="1300" customFormat="1" ht="3.75" customHeight="1" x14ac:dyDescent="0.2">
      <c r="A50" s="1299"/>
      <c r="B50" s="1870"/>
      <c r="C50" s="1870"/>
      <c r="D50" s="1870"/>
      <c r="E50" s="1399"/>
    </row>
    <row r="51" spans="1:5" s="1300" customFormat="1" ht="20.25" customHeight="1" x14ac:dyDescent="0.2">
      <c r="A51" s="1301">
        <v>6</v>
      </c>
      <c r="B51" s="2448" t="s">
        <v>1632</v>
      </c>
      <c r="C51" s="2448"/>
      <c r="D51" s="2448"/>
    </row>
    <row r="52" spans="1:5" ht="14.25" customHeight="1" x14ac:dyDescent="0.2">
      <c r="A52" s="1301"/>
      <c r="B52" s="2448"/>
      <c r="C52" s="2448"/>
      <c r="D52" s="244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7" t="str">
        <f>'Single Audit Cover'!A7</f>
        <v>Fremont SD 79</v>
      </c>
      <c r="C1" s="2461"/>
      <c r="D1" s="2461"/>
      <c r="E1" s="2461"/>
      <c r="F1" s="2461"/>
      <c r="G1" s="2461"/>
      <c r="H1" s="2461"/>
      <c r="I1" s="2461"/>
      <c r="J1" s="2461"/>
      <c r="K1" s="2461"/>
      <c r="L1" s="2461"/>
      <c r="M1" s="2461"/>
    </row>
    <row r="2" spans="2:14" ht="15" x14ac:dyDescent="0.2">
      <c r="B2" s="2458">
        <f>'Single Audit Cover'!E7</f>
        <v>34049079002</v>
      </c>
      <c r="C2" s="2458"/>
      <c r="D2" s="2458"/>
      <c r="E2" s="2458"/>
      <c r="F2" s="2458"/>
      <c r="G2" s="2458"/>
      <c r="H2" s="2458"/>
      <c r="I2" s="2458"/>
      <c r="J2" s="2458"/>
      <c r="K2" s="2458"/>
      <c r="L2" s="2458"/>
      <c r="M2" s="2458"/>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v>43281</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v>133818</v>
      </c>
      <c r="G88" s="276">
        <v>59269</v>
      </c>
      <c r="H88" s="276">
        <v>33585</v>
      </c>
      <c r="I88" s="276"/>
      <c r="J88" s="277">
        <f>SUM(E88:I88)</f>
        <v>226672</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226672</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2081</v>
      </c>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Fremont SD 79</v>
      </c>
      <c r="C1" s="2476"/>
      <c r="D1" s="2476"/>
      <c r="E1" s="2476"/>
      <c r="F1" s="2476"/>
      <c r="G1" s="2476"/>
      <c r="H1" s="2476"/>
      <c r="I1" s="2476"/>
      <c r="J1" s="1422"/>
    </row>
    <row r="2" spans="2:10" s="317" customFormat="1" ht="12.75" customHeight="1" x14ac:dyDescent="0.2">
      <c r="B2" s="2477">
        <f>'Single Audit Cover'!E7</f>
        <v>34049079002</v>
      </c>
      <c r="C2" s="2478"/>
      <c r="D2" s="2478"/>
      <c r="E2" s="2478"/>
      <c r="F2" s="2478"/>
      <c r="G2" s="2478"/>
      <c r="H2" s="2478"/>
      <c r="I2" s="2478"/>
      <c r="J2" s="1422"/>
    </row>
    <row r="3" spans="2:10" s="317" customFormat="1" ht="12.75" customHeight="1" x14ac:dyDescent="0.2">
      <c r="B3" s="2479" t="s">
        <v>1347</v>
      </c>
      <c r="C3" s="2480"/>
      <c r="D3" s="2480"/>
      <c r="E3" s="2480"/>
      <c r="F3" s="2480"/>
      <c r="G3" s="2480"/>
      <c r="H3" s="2480"/>
      <c r="I3" s="2480"/>
      <c r="J3" s="1423"/>
    </row>
    <row r="4" spans="2:10" s="317" customFormat="1" ht="12.75" customHeight="1" x14ac:dyDescent="0.2">
      <c r="B4" s="2479" t="str">
        <f>'Single Audit Cover'!A4</f>
        <v>Year Ending June 30, 2018</v>
      </c>
      <c r="C4" s="2480"/>
      <c r="D4" s="2480"/>
      <c r="E4" s="2480"/>
      <c r="F4" s="2480"/>
      <c r="G4" s="2480"/>
      <c r="H4" s="2480"/>
      <c r="I4" s="2480"/>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9" t="s">
        <v>1346</v>
      </c>
      <c r="C7" s="2480"/>
      <c r="D7" s="2480"/>
      <c r="E7" s="2480"/>
      <c r="F7" s="2480"/>
      <c r="G7" s="2480"/>
      <c r="H7" s="2480"/>
      <c r="I7" s="2480"/>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1"/>
      <c r="D11" s="2481"/>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2"/>
      <c r="E29" s="2482"/>
      <c r="F29" s="2482"/>
      <c r="G29" s="2482"/>
      <c r="H29" s="2482"/>
      <c r="I29" s="2482"/>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3" t="s">
        <v>1854</v>
      </c>
      <c r="D37" s="2484"/>
      <c r="E37" s="2484"/>
      <c r="F37" s="2485"/>
      <c r="G37" s="2483" t="s">
        <v>1674</v>
      </c>
      <c r="H37" s="2484"/>
      <c r="I37" s="2485"/>
    </row>
    <row r="38" spans="2:9" ht="16.5" customHeight="1" x14ac:dyDescent="0.2">
      <c r="B38" s="1444"/>
      <c r="C38" s="2471"/>
      <c r="D38" s="2472"/>
      <c r="E38" s="2472"/>
      <c r="F38" s="2473"/>
      <c r="G38" s="2486"/>
      <c r="H38" s="2487"/>
      <c r="I38" s="2488"/>
    </row>
    <row r="39" spans="2:9" ht="16.5" customHeight="1" x14ac:dyDescent="0.2">
      <c r="B39" s="1444"/>
      <c r="C39" s="2471"/>
      <c r="D39" s="2472"/>
      <c r="E39" s="2472"/>
      <c r="F39" s="2473"/>
      <c r="G39" s="2474"/>
      <c r="H39" s="2474"/>
      <c r="I39" s="2474"/>
    </row>
    <row r="40" spans="2:9" ht="16.5" customHeight="1" x14ac:dyDescent="0.2">
      <c r="B40" s="1444"/>
      <c r="C40" s="2471"/>
      <c r="D40" s="2472"/>
      <c r="E40" s="2472"/>
      <c r="F40" s="2473"/>
      <c r="G40" s="2474"/>
      <c r="H40" s="2474"/>
      <c r="I40" s="2474"/>
    </row>
    <row r="41" spans="2:9" ht="16.5" customHeight="1" x14ac:dyDescent="0.2">
      <c r="B41" s="1444"/>
      <c r="C41" s="2471"/>
      <c r="D41" s="2472"/>
      <c r="E41" s="2472"/>
      <c r="F41" s="2473"/>
      <c r="G41" s="2474"/>
      <c r="H41" s="2474"/>
      <c r="I41" s="2474"/>
    </row>
    <row r="42" spans="2:9" ht="16.5" customHeight="1" x14ac:dyDescent="0.2">
      <c r="B42" s="1444"/>
      <c r="C42" s="2471"/>
      <c r="D42" s="2472"/>
      <c r="E42" s="2472"/>
      <c r="F42" s="2473"/>
      <c r="G42" s="2474"/>
      <c r="H42" s="2474"/>
      <c r="I42" s="2474"/>
    </row>
    <row r="43" spans="2:9" ht="16.5" customHeight="1" x14ac:dyDescent="0.2">
      <c r="B43" s="1444"/>
      <c r="C43" s="2464" t="s">
        <v>1675</v>
      </c>
      <c r="D43" s="2465"/>
      <c r="E43" s="2465"/>
      <c r="F43" s="2466"/>
      <c r="G43" s="2467">
        <f>SUM(G38:I42)</f>
        <v>0</v>
      </c>
      <c r="H43" s="2467"/>
      <c r="I43" s="2467"/>
    </row>
    <row r="44" spans="2:9" ht="12.75" customHeight="1" x14ac:dyDescent="0.2"/>
    <row r="45" spans="2:9" ht="12.75" customHeight="1" x14ac:dyDescent="0.2">
      <c r="B45" s="1435" t="s">
        <v>1952</v>
      </c>
      <c r="D45" s="2468">
        <v>0</v>
      </c>
      <c r="E45" s="246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0"/>
      <c r="F49" s="2470"/>
      <c r="G49" s="247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Fremont SD 79</v>
      </c>
      <c r="C1" s="2475"/>
      <c r="D1" s="2475"/>
      <c r="E1" s="2475"/>
      <c r="F1" s="2475"/>
      <c r="G1" s="2475"/>
      <c r="H1" s="2475"/>
      <c r="I1" s="2475"/>
      <c r="J1" s="2475"/>
      <c r="K1" s="2475"/>
      <c r="L1" s="1374"/>
      <c r="M1" s="1374"/>
    </row>
    <row r="2" spans="1:13" ht="12" customHeight="1" x14ac:dyDescent="0.2">
      <c r="B2" s="2477">
        <f>'Single Audit Cover'!E7</f>
        <v>34049079002</v>
      </c>
      <c r="C2" s="2477"/>
      <c r="D2" s="2477"/>
      <c r="E2" s="2477"/>
      <c r="F2" s="2477"/>
      <c r="G2" s="2477"/>
      <c r="H2" s="2477"/>
      <c r="I2" s="2477"/>
      <c r="J2" s="2477"/>
      <c r="K2" s="2477"/>
      <c r="L2" s="1375"/>
      <c r="M2" s="1376"/>
    </row>
    <row r="3" spans="1:13" ht="10.35" customHeight="1" x14ac:dyDescent="0.2">
      <c r="B3" s="2491" t="s">
        <v>1347</v>
      </c>
      <c r="C3" s="2491"/>
      <c r="D3" s="2491"/>
      <c r="E3" s="2491"/>
      <c r="F3" s="2491"/>
      <c r="G3" s="2491"/>
      <c r="H3" s="2491"/>
      <c r="I3" s="2491"/>
      <c r="J3" s="2491"/>
      <c r="K3" s="2491"/>
      <c r="L3" s="1377"/>
      <c r="M3" s="1377"/>
    </row>
    <row r="4" spans="1:13" ht="14.25" customHeight="1" x14ac:dyDescent="0.2">
      <c r="B4" s="2492" t="str">
        <f>'Single Audit Cover'!A4</f>
        <v>Year Ending June 30, 2018</v>
      </c>
      <c r="C4" s="2492"/>
      <c r="D4" s="2492"/>
      <c r="E4" s="2492"/>
      <c r="F4" s="2492"/>
      <c r="G4" s="2492"/>
      <c r="H4" s="2492"/>
      <c r="I4" s="2492"/>
      <c r="J4" s="2492"/>
      <c r="K4" s="2492"/>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2" t="s">
        <v>1363</v>
      </c>
      <c r="C7" s="2492"/>
      <c r="D7" s="2493"/>
      <c r="E7" s="2493"/>
      <c r="F7" s="2493"/>
      <c r="G7" s="2493"/>
      <c r="H7" s="2493"/>
      <c r="I7" s="2493"/>
      <c r="J7" s="2493"/>
      <c r="K7" s="2493"/>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0"/>
      <c r="C14" s="2490"/>
      <c r="D14" s="2490"/>
      <c r="E14" s="2490"/>
      <c r="F14" s="2490"/>
      <c r="G14" s="2490"/>
      <c r="H14" s="2490"/>
      <c r="I14" s="2490"/>
      <c r="J14" s="2490"/>
      <c r="K14" s="249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0"/>
      <c r="C17" s="2490"/>
      <c r="D17" s="2490"/>
      <c r="E17" s="2490"/>
      <c r="F17" s="2490"/>
      <c r="G17" s="2490"/>
      <c r="H17" s="2490"/>
      <c r="I17" s="2490"/>
      <c r="J17" s="2490"/>
      <c r="K17" s="2490"/>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4"/>
      <c r="C20" s="2494"/>
      <c r="D20" s="2490"/>
      <c r="E20" s="2490"/>
      <c r="F20" s="2490"/>
      <c r="G20" s="2490"/>
      <c r="H20" s="2490"/>
      <c r="I20" s="2490"/>
      <c r="J20" s="2490"/>
      <c r="K20" s="2490"/>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0"/>
      <c r="C23" s="2490"/>
      <c r="D23" s="2490"/>
      <c r="E23" s="2490"/>
      <c r="F23" s="2490"/>
      <c r="G23" s="2490"/>
      <c r="H23" s="2490"/>
      <c r="I23" s="2490"/>
      <c r="J23" s="2490"/>
      <c r="K23" s="2490"/>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0"/>
      <c r="C26" s="2490"/>
      <c r="D26" s="2490"/>
      <c r="E26" s="2490"/>
      <c r="F26" s="2490"/>
      <c r="G26" s="2490"/>
      <c r="H26" s="2490"/>
      <c r="I26" s="2490"/>
      <c r="J26" s="2490"/>
      <c r="K26" s="2490"/>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9"/>
      <c r="C29" s="2489"/>
      <c r="D29" s="2490"/>
      <c r="E29" s="2490"/>
      <c r="F29" s="2490"/>
      <c r="G29" s="2490"/>
      <c r="H29" s="2490"/>
      <c r="I29" s="2490"/>
      <c r="J29" s="2490"/>
      <c r="K29" s="249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9"/>
      <c r="C32" s="2489"/>
      <c r="D32" s="2490"/>
      <c r="E32" s="2490"/>
      <c r="F32" s="2490"/>
      <c r="G32" s="2490"/>
      <c r="H32" s="2490"/>
      <c r="I32" s="2490"/>
      <c r="J32" s="2490"/>
      <c r="K32" s="249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Fremont SD 79</v>
      </c>
      <c r="C1" s="2498"/>
      <c r="D1" s="2498"/>
      <c r="E1" s="2498"/>
      <c r="F1" s="2498"/>
      <c r="G1" s="2498"/>
      <c r="H1" s="2498"/>
      <c r="I1" s="2498"/>
      <c r="J1" s="2498"/>
      <c r="K1" s="2498"/>
      <c r="L1" s="1465"/>
    </row>
    <row r="2" spans="1:12" ht="12.75" customHeight="1" x14ac:dyDescent="0.2">
      <c r="B2" s="2499">
        <f>'Single Audit Cover'!E7</f>
        <v>34049079002</v>
      </c>
      <c r="C2" s="2499"/>
      <c r="D2" s="2499"/>
      <c r="E2" s="2499"/>
      <c r="F2" s="2499"/>
      <c r="G2" s="2499"/>
      <c r="H2" s="2499"/>
      <c r="I2" s="2499"/>
      <c r="J2" s="2499"/>
      <c r="K2" s="2499"/>
      <c r="L2" s="1466"/>
    </row>
    <row r="3" spans="1:12" ht="12.75" customHeight="1" x14ac:dyDescent="0.2">
      <c r="B3" s="2491" t="s">
        <v>1347</v>
      </c>
      <c r="C3" s="2491"/>
      <c r="D3" s="2491"/>
      <c r="E3" s="2491"/>
      <c r="F3" s="2491"/>
      <c r="G3" s="2491"/>
      <c r="H3" s="2491"/>
      <c r="I3" s="2491"/>
      <c r="J3" s="2491"/>
      <c r="K3" s="2491"/>
      <c r="L3" s="1377"/>
    </row>
    <row r="4" spans="1:12" ht="12.75" customHeight="1" x14ac:dyDescent="0.2">
      <c r="B4" s="2491" t="str">
        <f>'Single Audit Cover'!A4</f>
        <v>Year Ending June 30, 2018</v>
      </c>
      <c r="C4" s="2491"/>
      <c r="D4" s="2491"/>
      <c r="E4" s="2491"/>
      <c r="F4" s="2491"/>
      <c r="G4" s="2491"/>
      <c r="H4" s="2491"/>
      <c r="I4" s="2491"/>
      <c r="J4" s="2491"/>
      <c r="K4" s="2491"/>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2"/>
      <c r="G12" s="2482"/>
      <c r="H12" s="2482"/>
      <c r="I12" s="2482"/>
      <c r="J12" s="2482"/>
      <c r="K12" s="2482"/>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5"/>
      <c r="E14" s="2495"/>
      <c r="F14" s="2495"/>
      <c r="H14" s="1475" t="s">
        <v>1370</v>
      </c>
      <c r="I14" s="2496"/>
      <c r="J14" s="2496"/>
      <c r="K14" s="249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6"/>
      <c r="E16" s="2496"/>
      <c r="F16" s="2496"/>
      <c r="G16" s="2496"/>
      <c r="H16" s="2496"/>
      <c r="I16" s="2496"/>
      <c r="J16" s="2496"/>
      <c r="K16" s="2496"/>
      <c r="L16" s="322"/>
    </row>
    <row r="17" spans="2:12" ht="13.5" customHeight="1" x14ac:dyDescent="0.2">
      <c r="B17" s="1387" t="s">
        <v>1368</v>
      </c>
      <c r="C17" s="1387"/>
      <c r="D17" s="2497"/>
      <c r="E17" s="2497"/>
      <c r="F17" s="2497"/>
      <c r="G17" s="2497"/>
      <c r="H17" s="2497"/>
      <c r="I17" s="2497"/>
      <c r="J17" s="2497"/>
      <c r="K17" s="249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0"/>
      <c r="C20" s="2490"/>
      <c r="D20" s="2490"/>
      <c r="E20" s="2490"/>
      <c r="F20" s="2490"/>
      <c r="G20" s="2490"/>
      <c r="H20" s="2490"/>
      <c r="I20" s="2490"/>
      <c r="J20" s="2490"/>
      <c r="K20" s="249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5" t="str">
        <f>'Single Audit Cover'!A7</f>
        <v>Fremont SD 79</v>
      </c>
      <c r="C1" s="2475"/>
      <c r="D1" s="2475"/>
      <c r="E1" s="1491"/>
    </row>
    <row r="2" spans="2:5" s="1282" customFormat="1" ht="12.75" customHeight="1" x14ac:dyDescent="0.2">
      <c r="B2" s="2477">
        <f>'Single Audit Cover'!E7</f>
        <v>34049079002</v>
      </c>
      <c r="C2" s="2477"/>
      <c r="D2" s="2477"/>
      <c r="E2" s="1492"/>
    </row>
    <row r="3" spans="2:5" ht="12.75" customHeight="1" x14ac:dyDescent="0.2">
      <c r="B3" s="2491" t="s">
        <v>1869</v>
      </c>
      <c r="C3" s="2491"/>
      <c r="D3" s="2491"/>
      <c r="E3" s="1274"/>
    </row>
    <row r="4" spans="2:5" s="1282" customFormat="1" ht="12.75" customHeight="1" x14ac:dyDescent="0.2">
      <c r="B4" s="2501" t="str">
        <f>'Single Audit Cover'!A4</f>
        <v>Year Ending June 30, 2018</v>
      </c>
      <c r="C4" s="2501"/>
      <c r="D4" s="2501"/>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852058913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2.3275000000000001E-2</v>
      </c>
      <c r="E10" s="356" t="s">
        <v>1062</v>
      </c>
      <c r="F10" s="355">
        <v>2.8770000000000002E-3</v>
      </c>
      <c r="G10" s="356" t="s">
        <v>1062</v>
      </c>
      <c r="H10" s="355">
        <v>1.413E-3</v>
      </c>
      <c r="I10" s="356" t="s">
        <v>1063</v>
      </c>
      <c r="J10" s="1754">
        <f>ROUND(D10+F10+H10,5)</f>
        <v>2.7570000000000001E-2</v>
      </c>
      <c r="K10" s="222"/>
      <c r="L10" s="355">
        <v>0</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29529380</v>
      </c>
      <c r="E16" s="356"/>
      <c r="F16" s="1755">
        <f>SUM('Acct Summary 7-8'!C17,'Acct Summary 7-8'!D17,'Acct Summary 7-8'!F17)</f>
        <v>27373117</v>
      </c>
      <c r="G16" s="356"/>
      <c r="H16" s="1755">
        <f>SUM(D16-F16)</f>
        <v>2156263</v>
      </c>
      <c r="I16" s="222"/>
      <c r="J16" s="1755">
        <f>SUM('Acct Summary 7-8'!C81,'Acct Summary 7-8'!D81,'Acct Summary 7-8'!F81,'Acct Summary 7-8'!I81)</f>
        <v>31461925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58792064.997000001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16693190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B6" sqref="B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Fremont SD 79</v>
      </c>
      <c r="E7" s="391"/>
      <c r="G7" s="252"/>
      <c r="H7" s="387"/>
      <c r="I7" s="387"/>
      <c r="J7" s="387"/>
      <c r="K7" s="387"/>
      <c r="L7" s="329"/>
      <c r="M7" s="329"/>
      <c r="N7" s="329"/>
      <c r="O7" s="329"/>
      <c r="P7" s="329"/>
    </row>
    <row r="8" spans="1:18" ht="12.75" x14ac:dyDescent="0.2">
      <c r="A8" s="329"/>
      <c r="B8" s="329"/>
      <c r="C8" s="389" t="s">
        <v>1187</v>
      </c>
      <c r="D8" s="392">
        <f>COVER!A13</f>
        <v>34049079002</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31461925</v>
      </c>
      <c r="I12" s="404"/>
      <c r="J12" s="404"/>
      <c r="K12" s="405">
        <f>TRUNC((H12/H13*100000),5)/100000</f>
        <v>1.0654448213000001</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29529380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27373117</v>
      </c>
      <c r="I17" s="404"/>
      <c r="J17" s="416"/>
      <c r="K17" s="405">
        <f>TRUNC((H17/H18*100000),5)/100000</f>
        <v>0.92697906279999998</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29529380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29873524</v>
      </c>
      <c r="I24" s="422"/>
      <c r="J24" s="422"/>
      <c r="K24" s="423">
        <f>TRUNC(((H24/H25*100000)/100000),2)</f>
        <v>392.88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76036.436109999995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19967574.596700002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16693190</v>
      </c>
      <c r="I32" s="420"/>
      <c r="J32" s="420"/>
      <c r="K32" s="423">
        <f>TRUNC(100-((((H32/H33*100))*100)/100),2)</f>
        <v>71.599999999999994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58792064.997000001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B6" sqref="B6"/>
      <selection pane="bottomLeft" activeCell="B6" sqref="B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81"/>
      <c r="D3" s="1582"/>
      <c r="E3" s="1582"/>
      <c r="F3" s="1582"/>
      <c r="G3" s="1582"/>
      <c r="H3" s="1582"/>
      <c r="I3" s="1582"/>
      <c r="J3" s="1582"/>
      <c r="K3" s="1582"/>
      <c r="L3" s="1582"/>
      <c r="M3" s="1583"/>
      <c r="N3" s="1584"/>
    </row>
    <row r="4" spans="1:14" ht="13.5" customHeight="1" x14ac:dyDescent="0.2">
      <c r="A4" s="463" t="s">
        <v>1750</v>
      </c>
      <c r="B4" s="464"/>
      <c r="C4" s="465">
        <v>21717564</v>
      </c>
      <c r="D4" s="466">
        <v>2903092</v>
      </c>
      <c r="E4" s="466">
        <v>2354528</v>
      </c>
      <c r="F4" s="466">
        <v>1971077</v>
      </c>
      <c r="G4" s="466">
        <v>256935</v>
      </c>
      <c r="H4" s="466">
        <v>2056632</v>
      </c>
      <c r="I4" s="466">
        <v>3281791</v>
      </c>
      <c r="J4" s="467"/>
      <c r="K4" s="466">
        <v>17619</v>
      </c>
      <c r="L4" s="466">
        <v>922263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v>8395236</v>
      </c>
      <c r="D6" s="466">
        <v>1037561</v>
      </c>
      <c r="E6" s="466">
        <v>1301308</v>
      </c>
      <c r="F6" s="466">
        <v>509803</v>
      </c>
      <c r="G6" s="471">
        <v>329816</v>
      </c>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f>8499+129951</f>
        <v>138450</v>
      </c>
      <c r="D8" s="467"/>
      <c r="E8" s="467"/>
      <c r="F8" s="467">
        <v>244858</v>
      </c>
      <c r="G8" s="478">
        <v>6500</v>
      </c>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321156</v>
      </c>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30572406</v>
      </c>
      <c r="D13" s="1759">
        <f t="shared" ref="D13:L13" si="0">SUM(D4:D12)</f>
        <v>3940653</v>
      </c>
      <c r="E13" s="1759">
        <f t="shared" si="0"/>
        <v>3655836</v>
      </c>
      <c r="F13" s="1759">
        <f t="shared" si="0"/>
        <v>2725738</v>
      </c>
      <c r="G13" s="1759">
        <f t="shared" si="0"/>
        <v>593251</v>
      </c>
      <c r="H13" s="1759">
        <f t="shared" si="0"/>
        <v>2056632</v>
      </c>
      <c r="I13" s="1759">
        <f t="shared" si="0"/>
        <v>3281791</v>
      </c>
      <c r="J13" s="1759">
        <f t="shared" si="0"/>
        <v>0</v>
      </c>
      <c r="K13" s="1759">
        <f t="shared" si="0"/>
        <v>17619</v>
      </c>
      <c r="L13" s="1759">
        <f t="shared" si="0"/>
        <v>922263</v>
      </c>
      <c r="M13" s="468"/>
      <c r="N13" s="469"/>
    </row>
    <row r="14" spans="1:14" ht="18" customHeight="1" thickTop="1" x14ac:dyDescent="0.2">
      <c r="A14" s="2125" t="s">
        <v>149</v>
      </c>
      <c r="B14" s="212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4698697</v>
      </c>
      <c r="N16" s="484"/>
    </row>
    <row r="17" spans="1:14" s="485" customFormat="1" ht="12.75" customHeight="1" x14ac:dyDescent="0.2">
      <c r="A17" s="482" t="s">
        <v>1470</v>
      </c>
      <c r="B17" s="483">
        <v>230</v>
      </c>
      <c r="C17" s="477"/>
      <c r="D17" s="477"/>
      <c r="E17" s="477"/>
      <c r="F17" s="477"/>
      <c r="G17" s="477"/>
      <c r="H17" s="477"/>
      <c r="I17" s="477"/>
      <c r="J17" s="477"/>
      <c r="K17" s="477"/>
      <c r="L17" s="477"/>
      <c r="M17" s="467">
        <v>49711215</v>
      </c>
      <c r="N17" s="484"/>
    </row>
    <row r="18" spans="1:14" s="485" customFormat="1" ht="12.75" customHeight="1" x14ac:dyDescent="0.2">
      <c r="A18" s="482" t="s">
        <v>1471</v>
      </c>
      <c r="B18" s="483">
        <v>240</v>
      </c>
      <c r="C18" s="477"/>
      <c r="D18" s="477"/>
      <c r="E18" s="477"/>
      <c r="F18" s="477"/>
      <c r="G18" s="477"/>
      <c r="H18" s="477"/>
      <c r="I18" s="477"/>
      <c r="J18" s="477"/>
      <c r="K18" s="477"/>
      <c r="L18" s="477"/>
      <c r="M18" s="467">
        <v>4045743</v>
      </c>
      <c r="N18" s="484"/>
    </row>
    <row r="19" spans="1:14" s="485" customFormat="1" ht="12.75" customHeight="1" x14ac:dyDescent="0.2">
      <c r="A19" s="482" t="s">
        <v>1472</v>
      </c>
      <c r="B19" s="483">
        <v>250</v>
      </c>
      <c r="C19" s="477"/>
      <c r="D19" s="477"/>
      <c r="E19" s="477"/>
      <c r="F19" s="477"/>
      <c r="G19" s="477"/>
      <c r="H19" s="477"/>
      <c r="I19" s="477"/>
      <c r="J19" s="477"/>
      <c r="K19" s="477"/>
      <c r="L19" s="477"/>
      <c r="M19" s="467">
        <f>4236945+2458765</f>
        <v>6695710</v>
      </c>
      <c r="N19" s="484"/>
    </row>
    <row r="20" spans="1:14" s="485" customFormat="1" ht="12.75" customHeight="1" x14ac:dyDescent="0.2">
      <c r="A20" s="482" t="s">
        <v>1473</v>
      </c>
      <c r="B20" s="483">
        <v>260</v>
      </c>
      <c r="C20" s="477"/>
      <c r="D20" s="477"/>
      <c r="E20" s="477"/>
      <c r="F20" s="477"/>
      <c r="G20" s="477"/>
      <c r="H20" s="477"/>
      <c r="I20" s="477"/>
      <c r="J20" s="477"/>
      <c r="K20" s="477"/>
      <c r="L20" s="477"/>
      <c r="M20" s="467">
        <v>931579</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2492674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14200516</v>
      </c>
    </row>
    <row r="23" spans="1:14" ht="13.5" customHeight="1" thickBot="1" x14ac:dyDescent="0.25">
      <c r="A23" s="1758" t="s">
        <v>664</v>
      </c>
      <c r="B23" s="1763"/>
      <c r="C23" s="468"/>
      <c r="D23" s="468"/>
      <c r="E23" s="468"/>
      <c r="F23" s="468"/>
      <c r="G23" s="468"/>
      <c r="H23" s="468"/>
      <c r="I23" s="468"/>
      <c r="J23" s="468"/>
      <c r="K23" s="468"/>
      <c r="L23" s="468"/>
      <c r="M23" s="1710">
        <f>SUM(M15:M22)</f>
        <v>66082944</v>
      </c>
      <c r="N23" s="1710">
        <f>SUM(N21:N22)</f>
        <v>16693190</v>
      </c>
    </row>
    <row r="24" spans="1:14" ht="18" customHeight="1" thickTop="1" x14ac:dyDescent="0.2">
      <c r="A24" s="2127" t="s">
        <v>619</v>
      </c>
      <c r="B24" s="2128"/>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162294</v>
      </c>
      <c r="D27" s="467">
        <v>7867</v>
      </c>
      <c r="E27" s="467"/>
      <c r="F27" s="467">
        <v>1404</v>
      </c>
      <c r="G27" s="467">
        <v>-57</v>
      </c>
      <c r="H27" s="467">
        <v>33000</v>
      </c>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7504002</v>
      </c>
      <c r="D32" s="492">
        <v>927414</v>
      </c>
      <c r="E32" s="474">
        <v>1163162</v>
      </c>
      <c r="F32" s="474">
        <v>455682</v>
      </c>
      <c r="G32" s="474">
        <v>294803</v>
      </c>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922263</v>
      </c>
      <c r="M33" s="468"/>
      <c r="N33" s="469"/>
    </row>
    <row r="34" spans="1:14" ht="13.5" customHeight="1" thickBot="1" x14ac:dyDescent="0.25">
      <c r="A34" s="1760" t="s">
        <v>675</v>
      </c>
      <c r="B34" s="1761"/>
      <c r="C34" s="1762">
        <f>SUM(C25:C33)</f>
        <v>7666296</v>
      </c>
      <c r="D34" s="1762">
        <f t="shared" ref="D34:K34" si="1">SUM(D25:D33)</f>
        <v>935281</v>
      </c>
      <c r="E34" s="1762">
        <f t="shared" si="1"/>
        <v>1163162</v>
      </c>
      <c r="F34" s="1762">
        <f t="shared" si="1"/>
        <v>457086</v>
      </c>
      <c r="G34" s="1762">
        <f t="shared" si="1"/>
        <v>294746</v>
      </c>
      <c r="H34" s="1762">
        <f t="shared" si="1"/>
        <v>33000</v>
      </c>
      <c r="I34" s="1762">
        <f t="shared" si="1"/>
        <v>0</v>
      </c>
      <c r="J34" s="1762">
        <f t="shared" si="1"/>
        <v>0</v>
      </c>
      <c r="K34" s="1762">
        <f t="shared" si="1"/>
        <v>0</v>
      </c>
      <c r="L34" s="1743">
        <f>SUM(L33)</f>
        <v>922263</v>
      </c>
      <c r="M34" s="468"/>
      <c r="N34" s="480"/>
    </row>
    <row r="35" spans="1:14" ht="18" customHeight="1" thickTop="1" x14ac:dyDescent="0.2">
      <c r="A35" s="2129" t="s">
        <v>550</v>
      </c>
      <c r="B35" s="213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16693190</v>
      </c>
    </row>
    <row r="37" spans="1:14" ht="13.5" thickBot="1" x14ac:dyDescent="0.25">
      <c r="A37" s="1758" t="s">
        <v>674</v>
      </c>
      <c r="B37" s="1763"/>
      <c r="C37" s="477"/>
      <c r="D37" s="477"/>
      <c r="E37" s="477"/>
      <c r="F37" s="477"/>
      <c r="G37" s="477"/>
      <c r="H37" s="477"/>
      <c r="I37" s="477"/>
      <c r="J37" s="477"/>
      <c r="K37" s="477"/>
      <c r="L37" s="480"/>
      <c r="M37" s="468"/>
      <c r="N37" s="1710">
        <f>SUM(N36:N36)</f>
        <v>16693190</v>
      </c>
    </row>
    <row r="38" spans="1:14" s="329" customFormat="1" ht="13.5" customHeight="1" thickTop="1" x14ac:dyDescent="0.2">
      <c r="A38" s="496" t="s">
        <v>440</v>
      </c>
      <c r="B38" s="483">
        <v>714</v>
      </c>
      <c r="C38" s="466"/>
      <c r="D38" s="466">
        <v>3005372</v>
      </c>
      <c r="E38" s="466">
        <v>2492674</v>
      </c>
      <c r="F38" s="466">
        <v>2268652</v>
      </c>
      <c r="G38" s="466">
        <v>298505</v>
      </c>
      <c r="H38" s="466">
        <v>2023632</v>
      </c>
      <c r="I38" s="466"/>
      <c r="J38" s="467"/>
      <c r="K38" s="466">
        <v>17619</v>
      </c>
      <c r="L38" s="481"/>
      <c r="M38" s="497"/>
      <c r="N38" s="497"/>
    </row>
    <row r="39" spans="1:14" s="329" customFormat="1" ht="13.5" customHeight="1" x14ac:dyDescent="0.2">
      <c r="A39" s="496" t="s">
        <v>360</v>
      </c>
      <c r="B39" s="483">
        <v>730</v>
      </c>
      <c r="C39" s="466">
        <v>22906110</v>
      </c>
      <c r="D39" s="466"/>
      <c r="E39" s="466"/>
      <c r="F39" s="466"/>
      <c r="G39" s="466"/>
      <c r="H39" s="466"/>
      <c r="I39" s="466">
        <v>3281791</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66082944</v>
      </c>
      <c r="N40" s="497"/>
    </row>
    <row r="41" spans="1:14" ht="13.5" customHeight="1" thickBot="1" x14ac:dyDescent="0.25">
      <c r="A41" s="1758" t="s">
        <v>676</v>
      </c>
      <c r="B41" s="1728"/>
      <c r="C41" s="1710">
        <f>(SUM(C34,C37,C38,C39))</f>
        <v>30572406</v>
      </c>
      <c r="D41" s="1710">
        <f t="shared" ref="D41:L41" si="2">SUM(D34,D37,D38:D39)</f>
        <v>3940653</v>
      </c>
      <c r="E41" s="1710">
        <f t="shared" si="2"/>
        <v>3655836</v>
      </c>
      <c r="F41" s="1710">
        <f t="shared" si="2"/>
        <v>2725738</v>
      </c>
      <c r="G41" s="1710">
        <f t="shared" si="2"/>
        <v>593251</v>
      </c>
      <c r="H41" s="1710">
        <f t="shared" si="2"/>
        <v>2056632</v>
      </c>
      <c r="I41" s="1710">
        <f t="shared" si="2"/>
        <v>3281791</v>
      </c>
      <c r="J41" s="1710">
        <f t="shared" si="2"/>
        <v>0</v>
      </c>
      <c r="K41" s="1710">
        <f t="shared" si="2"/>
        <v>17619</v>
      </c>
      <c r="L41" s="1710">
        <f t="shared" si="2"/>
        <v>922263</v>
      </c>
      <c r="M41" s="1710">
        <f>SUM(M40)</f>
        <v>66082944</v>
      </c>
      <c r="N41" s="1710">
        <f>SUM(N37)</f>
        <v>16693190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B6" sqref="B6"/>
      <selection pane="bottomLeft" activeCell="B6" sqref="B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1" t="s">
        <v>1237</v>
      </c>
      <c r="B3" s="2152"/>
      <c r="C3" s="1595"/>
      <c r="D3" s="1596"/>
      <c r="E3" s="1596"/>
      <c r="F3" s="1596"/>
      <c r="G3" s="1596"/>
      <c r="H3" s="1596"/>
      <c r="I3" s="1596"/>
      <c r="J3" s="1596"/>
      <c r="K3" s="1597"/>
      <c r="L3" s="506"/>
    </row>
    <row r="4" spans="1:13" ht="15.75" customHeight="1" x14ac:dyDescent="0.2">
      <c r="A4" s="1954" t="s">
        <v>1579</v>
      </c>
      <c r="B4" s="1955">
        <v>1000</v>
      </c>
      <c r="C4" s="1764">
        <f>'Revenues 9-14'!C109</f>
        <v>22555890</v>
      </c>
      <c r="D4" s="1764">
        <f>'Revenues 9-14'!D109</f>
        <v>2694924</v>
      </c>
      <c r="E4" s="1764">
        <f>'Revenues 9-14'!E109</f>
        <v>3288672</v>
      </c>
      <c r="F4" s="1764">
        <f>'Revenues 9-14'!F109</f>
        <v>1595335</v>
      </c>
      <c r="G4" s="1764">
        <f>'Revenues 9-14'!G109</f>
        <v>833711</v>
      </c>
      <c r="H4" s="1764">
        <f>'Revenues 9-14'!H109</f>
        <v>73528</v>
      </c>
      <c r="I4" s="1764">
        <f>'Revenues 9-14'!I109</f>
        <v>52430</v>
      </c>
      <c r="J4" s="1764">
        <f>'Revenues 9-14'!J109</f>
        <v>0</v>
      </c>
      <c r="K4" s="1764">
        <f>'Revenues 9-14'!K109</f>
        <v>203</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1267613</v>
      </c>
      <c r="D6" s="1765">
        <f>'Revenues 9-14'!D173</f>
        <v>7103</v>
      </c>
      <c r="E6" s="1765">
        <f>'Revenues 9-14'!E173</f>
        <v>0</v>
      </c>
      <c r="F6" s="1765">
        <f>'Revenues 9-14'!F173</f>
        <v>765495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590590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24414093</v>
      </c>
      <c r="D8" s="1710">
        <f t="shared" ref="D8:K8" si="0">SUM(D4:D7)</f>
        <v>2702027</v>
      </c>
      <c r="E8" s="1710">
        <f t="shared" si="0"/>
        <v>3288672</v>
      </c>
      <c r="F8" s="1710">
        <f t="shared" si="0"/>
        <v>2360830</v>
      </c>
      <c r="G8" s="1710">
        <f t="shared" si="0"/>
        <v>833711</v>
      </c>
      <c r="H8" s="1710">
        <f t="shared" si="0"/>
        <v>73528</v>
      </c>
      <c r="I8" s="1710">
        <f t="shared" si="0"/>
        <v>52430</v>
      </c>
      <c r="J8" s="1710">
        <f t="shared" si="0"/>
        <v>0</v>
      </c>
      <c r="K8" s="1710">
        <f t="shared" si="0"/>
        <v>203</v>
      </c>
      <c r="L8" s="347"/>
    </row>
    <row r="9" spans="1:13" ht="15.75" thickTop="1" x14ac:dyDescent="0.2">
      <c r="A9" s="514" t="s">
        <v>1752</v>
      </c>
      <c r="B9" s="515">
        <v>3998</v>
      </c>
      <c r="C9" s="481">
        <v>8659516</v>
      </c>
      <c r="D9" s="516"/>
      <c r="E9" s="481"/>
      <c r="F9" s="481"/>
      <c r="G9" s="517"/>
      <c r="H9" s="481"/>
      <c r="I9" s="509" t="s">
        <v>1231</v>
      </c>
      <c r="J9" s="478"/>
      <c r="K9" s="481"/>
      <c r="L9" s="347"/>
    </row>
    <row r="10" spans="1:13" s="519" customFormat="1" ht="13.5" thickBot="1" x14ac:dyDescent="0.25">
      <c r="A10" s="1758" t="s">
        <v>1235</v>
      </c>
      <c r="B10" s="1731"/>
      <c r="C10" s="1710">
        <f>SUM(C8:C9)</f>
        <v>33073609</v>
      </c>
      <c r="D10" s="1710">
        <f t="shared" ref="D10:K10" si="1">SUM(D8:D9)</f>
        <v>2702027</v>
      </c>
      <c r="E10" s="1710">
        <f t="shared" si="1"/>
        <v>3288672</v>
      </c>
      <c r="F10" s="1710">
        <f t="shared" si="1"/>
        <v>2360830</v>
      </c>
      <c r="G10" s="1710">
        <f t="shared" si="1"/>
        <v>833711</v>
      </c>
      <c r="H10" s="1710">
        <f t="shared" si="1"/>
        <v>73528</v>
      </c>
      <c r="I10" s="1710">
        <f t="shared" si="1"/>
        <v>52430</v>
      </c>
      <c r="J10" s="1710">
        <f t="shared" si="1"/>
        <v>0</v>
      </c>
      <c r="K10" s="1710">
        <f t="shared" si="1"/>
        <v>203</v>
      </c>
      <c r="L10" s="518"/>
    </row>
    <row r="11" spans="1:13" s="519" customFormat="1" ht="16.7" customHeight="1" thickTop="1" x14ac:dyDescent="0.2">
      <c r="A11" s="2125" t="s">
        <v>1238</v>
      </c>
      <c r="B11" s="2126"/>
      <c r="C11" s="1592"/>
      <c r="D11" s="1593"/>
      <c r="E11" s="1593"/>
      <c r="F11" s="1593"/>
      <c r="G11" s="1593"/>
      <c r="H11" s="1593"/>
      <c r="I11" s="1593"/>
      <c r="J11" s="1593"/>
      <c r="K11" s="1594"/>
      <c r="L11" s="518"/>
    </row>
    <row r="12" spans="1:13" ht="15.75" customHeight="1" x14ac:dyDescent="0.2">
      <c r="A12" s="1598" t="s">
        <v>476</v>
      </c>
      <c r="B12" s="1600">
        <v>1000</v>
      </c>
      <c r="C12" s="1764">
        <f>'Expenditures 15-22'!K33</f>
        <v>14350807</v>
      </c>
      <c r="D12" s="520" t="s">
        <v>1231</v>
      </c>
      <c r="E12" s="468" t="s">
        <v>1231</v>
      </c>
      <c r="F12" s="468" t="s">
        <v>1231</v>
      </c>
      <c r="G12" s="1764">
        <f>'Expenditures 15-22'!K229</f>
        <v>265606</v>
      </c>
      <c r="H12" s="521"/>
      <c r="I12" s="468" t="s">
        <v>1231</v>
      </c>
      <c r="J12" s="468" t="s">
        <v>1231</v>
      </c>
      <c r="K12" s="521" t="s">
        <v>1231</v>
      </c>
      <c r="L12" s="347"/>
    </row>
    <row r="13" spans="1:13" ht="15.75" customHeight="1" x14ac:dyDescent="0.2">
      <c r="A13" s="1598" t="s">
        <v>477</v>
      </c>
      <c r="B13" s="1600">
        <v>2000</v>
      </c>
      <c r="C13" s="1765">
        <f>'Expenditures 15-22'!K74</f>
        <v>7298916</v>
      </c>
      <c r="D13" s="1765">
        <f>'Expenditures 15-22'!K129</f>
        <v>2270776</v>
      </c>
      <c r="E13" s="469" t="s">
        <v>1231</v>
      </c>
      <c r="F13" s="1765">
        <f>'Expenditures 15-22'!K184</f>
        <v>2185135</v>
      </c>
      <c r="G13" s="1765">
        <f>'Expenditures 15-22'!K279</f>
        <v>462757</v>
      </c>
      <c r="H13" s="1765">
        <f>'Expenditures 15-22'!K303</f>
        <v>1120969</v>
      </c>
      <c r="I13" s="468" t="s">
        <v>1231</v>
      </c>
      <c r="J13" s="1765">
        <f>'Expenditures 15-22'!K330</f>
        <v>0</v>
      </c>
      <c r="K13" s="1769">
        <f>'Expenditures 15-22'!K352</f>
        <v>0</v>
      </c>
      <c r="L13" s="347"/>
    </row>
    <row r="14" spans="1:13" ht="15.75" customHeight="1" x14ac:dyDescent="0.2">
      <c r="A14" s="1598" t="s">
        <v>469</v>
      </c>
      <c r="B14" s="1600">
        <v>3000</v>
      </c>
      <c r="C14" s="1765">
        <f>'Expenditures 15-22'!K75</f>
        <v>8152</v>
      </c>
      <c r="D14" s="1765">
        <f>'Expenditures 15-22'!K130</f>
        <v>0</v>
      </c>
      <c r="E14" s="520" t="s">
        <v>1231</v>
      </c>
      <c r="F14" s="1765">
        <f>'Expenditures 15-22'!K185</f>
        <v>0</v>
      </c>
      <c r="G14" s="1765">
        <f>'Expenditures 15-22'!K280</f>
        <v>547</v>
      </c>
      <c r="H14" s="512"/>
      <c r="I14" s="468" t="s">
        <v>1231</v>
      </c>
      <c r="J14" s="468" t="s">
        <v>1231</v>
      </c>
      <c r="K14" s="512" t="s">
        <v>1231</v>
      </c>
      <c r="L14" s="347"/>
    </row>
    <row r="15" spans="1:13" ht="15.75" customHeight="1" x14ac:dyDescent="0.2">
      <c r="A15" s="1598" t="s">
        <v>109</v>
      </c>
      <c r="B15" s="1600">
        <v>4000</v>
      </c>
      <c r="C15" s="1765">
        <f>'Expenditures 15-22'!K102</f>
        <v>909558</v>
      </c>
      <c r="D15" s="1765">
        <f>'Expenditures 15-22'!K139</f>
        <v>93915</v>
      </c>
      <c r="E15" s="1765">
        <f>'Expenditures 15-22'!K160</f>
        <v>0</v>
      </c>
      <c r="F15" s="1765">
        <f>'Expenditures 15-22'!K196</f>
        <v>0</v>
      </c>
      <c r="G15" s="1765">
        <f>'Expenditures 15-22'!K285</f>
        <v>60741</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3043150</v>
      </c>
      <c r="F16" s="1765">
        <f>'Expenditures 15-22'!K208</f>
        <v>255858</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22567433</v>
      </c>
      <c r="D17" s="1710">
        <f t="shared" si="2"/>
        <v>2364691</v>
      </c>
      <c r="E17" s="1710">
        <f t="shared" si="2"/>
        <v>3043150</v>
      </c>
      <c r="F17" s="1710">
        <f t="shared" si="2"/>
        <v>2440993</v>
      </c>
      <c r="G17" s="1710">
        <f t="shared" si="2"/>
        <v>789651</v>
      </c>
      <c r="H17" s="1710">
        <f t="shared" si="2"/>
        <v>1120969</v>
      </c>
      <c r="I17" s="468"/>
      <c r="J17" s="1710">
        <f>SUM(J12:J16)</f>
        <v>0</v>
      </c>
      <c r="K17" s="1710">
        <f>SUM(K12:K16)</f>
        <v>0</v>
      </c>
      <c r="L17" s="347"/>
    </row>
    <row r="18" spans="1:12" ht="15" customHeight="1" thickTop="1" x14ac:dyDescent="0.2">
      <c r="A18" s="1766" t="s">
        <v>1753</v>
      </c>
      <c r="B18" s="1767">
        <v>4180</v>
      </c>
      <c r="C18" s="1764">
        <f t="shared" ref="C18:H18" si="3">C9</f>
        <v>8659516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31226949</v>
      </c>
      <c r="D19" s="1710">
        <f t="shared" si="4"/>
        <v>2364691</v>
      </c>
      <c r="E19" s="1710">
        <f t="shared" si="4"/>
        <v>3043150</v>
      </c>
      <c r="F19" s="1710">
        <f t="shared" si="4"/>
        <v>2440993</v>
      </c>
      <c r="G19" s="1710">
        <f t="shared" si="4"/>
        <v>789651</v>
      </c>
      <c r="H19" s="1710">
        <f t="shared" si="4"/>
        <v>1120969</v>
      </c>
      <c r="I19" s="468"/>
      <c r="J19" s="1710">
        <f>SUM(J17:J18)</f>
        <v>0</v>
      </c>
      <c r="K19" s="1710">
        <f>SUM(K17:K18)</f>
        <v>0</v>
      </c>
      <c r="L19" s="347"/>
    </row>
    <row r="20" spans="1:12" ht="16.5" thickTop="1" thickBot="1" x14ac:dyDescent="0.25">
      <c r="A20" s="2141" t="s">
        <v>1754</v>
      </c>
      <c r="B20" s="2142"/>
      <c r="C20" s="1768">
        <f>C8-C17</f>
        <v>1846660</v>
      </c>
      <c r="D20" s="1768">
        <f t="shared" ref="D20:K20" si="5">D8-D17</f>
        <v>337336</v>
      </c>
      <c r="E20" s="1768">
        <f t="shared" si="5"/>
        <v>245522</v>
      </c>
      <c r="F20" s="1768">
        <f t="shared" si="5"/>
        <v>-80163</v>
      </c>
      <c r="G20" s="1768">
        <f t="shared" si="5"/>
        <v>44060</v>
      </c>
      <c r="H20" s="1768">
        <f t="shared" si="5"/>
        <v>-1047441</v>
      </c>
      <c r="I20" s="1768">
        <f t="shared" si="5"/>
        <v>52430</v>
      </c>
      <c r="J20" s="1768">
        <f t="shared" si="5"/>
        <v>0</v>
      </c>
      <c r="K20" s="1768">
        <f t="shared" si="5"/>
        <v>203</v>
      </c>
      <c r="L20" s="347"/>
    </row>
    <row r="21" spans="1:12" ht="16.7" customHeight="1" thickTop="1" x14ac:dyDescent="0.2">
      <c r="A21" s="2153" t="s">
        <v>616</v>
      </c>
      <c r="B21" s="2154"/>
      <c r="C21" s="1592"/>
      <c r="D21" s="1593"/>
      <c r="E21" s="1593"/>
      <c r="F21" s="1593"/>
      <c r="G21" s="1593"/>
      <c r="H21" s="1593"/>
      <c r="I21" s="1593"/>
      <c r="J21" s="1593"/>
      <c r="K21" s="1594"/>
      <c r="L21" s="524"/>
    </row>
    <row r="22" spans="1:12" ht="15.75" customHeight="1" collapsed="1" x14ac:dyDescent="0.2">
      <c r="A22" s="2149" t="s">
        <v>617</v>
      </c>
      <c r="B22" s="2150"/>
      <c r="C22" s="477"/>
      <c r="D22" s="477"/>
      <c r="E22" s="477"/>
      <c r="F22" s="477"/>
      <c r="G22" s="477"/>
      <c r="H22" s="477"/>
      <c r="I22" s="477"/>
      <c r="J22" s="477"/>
      <c r="K22" s="477"/>
      <c r="L22" s="347"/>
    </row>
    <row r="23" spans="1:12" s="485" customFormat="1" ht="15.75" customHeight="1" x14ac:dyDescent="0.2">
      <c r="A23" s="2145" t="s">
        <v>311</v>
      </c>
      <c r="B23" s="2146"/>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v>2000000</v>
      </c>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7" t="s">
        <v>1038</v>
      </c>
      <c r="B32" s="214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v>201124</v>
      </c>
      <c r="G43" s="467"/>
      <c r="H43" s="467"/>
      <c r="I43" s="467"/>
      <c r="J43" s="467"/>
      <c r="K43" s="467"/>
      <c r="L43" s="524"/>
    </row>
    <row r="44" spans="1:12" s="485" customFormat="1" ht="13.5" customHeight="1" thickBot="1" x14ac:dyDescent="0.25">
      <c r="A44" s="2155" t="s">
        <v>392</v>
      </c>
      <c r="B44" s="2156"/>
      <c r="C44" s="1725">
        <f>SUM(C24:C43)</f>
        <v>0</v>
      </c>
      <c r="D44" s="1725">
        <f t="shared" ref="D44:K44" si="6">SUM(D24:D43)</f>
        <v>0</v>
      </c>
      <c r="E44" s="1725">
        <f t="shared" si="6"/>
        <v>0</v>
      </c>
      <c r="F44" s="1725">
        <f t="shared" si="6"/>
        <v>201124</v>
      </c>
      <c r="G44" s="1725">
        <f t="shared" si="6"/>
        <v>0</v>
      </c>
      <c r="H44" s="1725">
        <f t="shared" si="6"/>
        <v>2000000</v>
      </c>
      <c r="I44" s="1725">
        <f t="shared" si="6"/>
        <v>0</v>
      </c>
      <c r="J44" s="1725">
        <f t="shared" si="6"/>
        <v>0</v>
      </c>
      <c r="K44" s="1725">
        <f t="shared" si="6"/>
        <v>0</v>
      </c>
      <c r="L44" s="524"/>
    </row>
    <row r="45" spans="1:12" ht="15.75" customHeight="1" thickTop="1" x14ac:dyDescent="0.2">
      <c r="A45" s="2149" t="s">
        <v>110</v>
      </c>
      <c r="B45" s="2150"/>
      <c r="C45" s="528"/>
      <c r="D45" s="528"/>
      <c r="E45" s="528"/>
      <c r="F45" s="528"/>
      <c r="G45" s="528"/>
      <c r="H45" s="528"/>
      <c r="I45" s="528"/>
      <c r="J45" s="528"/>
      <c r="K45" s="528"/>
      <c r="L45" s="347"/>
    </row>
    <row r="46" spans="1:12" s="485" customFormat="1" ht="15.75" customHeight="1" x14ac:dyDescent="0.2">
      <c r="A46" s="2157" t="s">
        <v>111</v>
      </c>
      <c r="B46" s="2158"/>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2000000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1" t="s">
        <v>460</v>
      </c>
      <c r="B76" s="2132"/>
      <c r="C76" s="1725">
        <f t="shared" ref="C76:K76" si="7">SUM(C47:C75)</f>
        <v>0</v>
      </c>
      <c r="D76" s="1725">
        <f t="shared" si="7"/>
        <v>0</v>
      </c>
      <c r="E76" s="1725">
        <f t="shared" si="7"/>
        <v>0</v>
      </c>
      <c r="F76" s="1725">
        <f t="shared" si="7"/>
        <v>0</v>
      </c>
      <c r="G76" s="1725">
        <f t="shared" si="7"/>
        <v>0</v>
      </c>
      <c r="H76" s="1725">
        <f t="shared" si="7"/>
        <v>0</v>
      </c>
      <c r="I76" s="1725">
        <f t="shared" si="7"/>
        <v>2000000</v>
      </c>
      <c r="J76" s="1725">
        <f t="shared" si="7"/>
        <v>0</v>
      </c>
      <c r="K76" s="1725">
        <f t="shared" si="7"/>
        <v>0</v>
      </c>
      <c r="L76" s="524"/>
    </row>
    <row r="77" spans="1:12" ht="14.25" thickTop="1" thickBot="1" x14ac:dyDescent="0.25">
      <c r="A77" s="2133" t="s">
        <v>1239</v>
      </c>
      <c r="B77" s="2134"/>
      <c r="C77" s="1725">
        <f t="shared" ref="C77:K77" si="8">C44-C76</f>
        <v>0</v>
      </c>
      <c r="D77" s="1725">
        <f t="shared" si="8"/>
        <v>0</v>
      </c>
      <c r="E77" s="1725">
        <f t="shared" si="8"/>
        <v>0</v>
      </c>
      <c r="F77" s="1725">
        <f t="shared" si="8"/>
        <v>201124</v>
      </c>
      <c r="G77" s="1725">
        <f t="shared" si="8"/>
        <v>0</v>
      </c>
      <c r="H77" s="1725">
        <f t="shared" si="8"/>
        <v>2000000</v>
      </c>
      <c r="I77" s="1725">
        <f t="shared" si="8"/>
        <v>-2000000</v>
      </c>
      <c r="J77" s="1725">
        <f t="shared" si="8"/>
        <v>0</v>
      </c>
      <c r="K77" s="1725">
        <f t="shared" si="8"/>
        <v>0</v>
      </c>
      <c r="L77" s="347"/>
    </row>
    <row r="78" spans="1:12" ht="21.75" customHeight="1" thickTop="1" thickBot="1" x14ac:dyDescent="0.25">
      <c r="A78" s="2137" t="s">
        <v>618</v>
      </c>
      <c r="B78" s="2138"/>
      <c r="C78" s="1724">
        <f t="shared" ref="C78:K78" si="9">C20+C77</f>
        <v>1846660</v>
      </c>
      <c r="D78" s="1724">
        <f t="shared" si="9"/>
        <v>337336</v>
      </c>
      <c r="E78" s="1724">
        <f t="shared" si="9"/>
        <v>245522</v>
      </c>
      <c r="F78" s="1724">
        <f t="shared" si="9"/>
        <v>120961</v>
      </c>
      <c r="G78" s="1724">
        <f t="shared" si="9"/>
        <v>44060</v>
      </c>
      <c r="H78" s="1724">
        <f t="shared" si="9"/>
        <v>952559</v>
      </c>
      <c r="I78" s="1724">
        <f t="shared" si="9"/>
        <v>-1947570</v>
      </c>
      <c r="J78" s="1724">
        <f t="shared" si="9"/>
        <v>0</v>
      </c>
      <c r="K78" s="1724">
        <f t="shared" si="9"/>
        <v>203</v>
      </c>
      <c r="L78" s="533"/>
    </row>
    <row r="79" spans="1:12" ht="13.5" thickTop="1" x14ac:dyDescent="0.2">
      <c r="A79" s="1516" t="s">
        <v>2073</v>
      </c>
      <c r="B79" s="534"/>
      <c r="C79" s="478">
        <v>21059450</v>
      </c>
      <c r="D79" s="535">
        <v>2668036</v>
      </c>
      <c r="E79" s="535">
        <v>2247152</v>
      </c>
      <c r="F79" s="535">
        <v>2147691</v>
      </c>
      <c r="G79" s="535">
        <v>254445</v>
      </c>
      <c r="H79" s="535">
        <v>1071073</v>
      </c>
      <c r="I79" s="535">
        <v>5229361</v>
      </c>
      <c r="J79" s="535"/>
      <c r="K79" s="535">
        <v>17416</v>
      </c>
      <c r="L79" s="347"/>
    </row>
    <row r="80" spans="1:12" x14ac:dyDescent="0.2">
      <c r="A80" s="2143" t="s">
        <v>1898</v>
      </c>
      <c r="B80" s="2144"/>
      <c r="C80" s="467"/>
      <c r="D80" s="467"/>
      <c r="E80" s="467"/>
      <c r="F80" s="467"/>
      <c r="G80" s="467"/>
      <c r="H80" s="467"/>
      <c r="I80" s="467"/>
      <c r="J80" s="467"/>
      <c r="K80" s="467"/>
      <c r="L80" s="347"/>
    </row>
    <row r="81" spans="1:12" ht="13.5" thickBot="1" x14ac:dyDescent="0.25">
      <c r="A81" s="2135" t="s">
        <v>2074</v>
      </c>
      <c r="B81" s="2136"/>
      <c r="C81" s="1710">
        <f>(SUM(C78:C80))</f>
        <v>22906110</v>
      </c>
      <c r="D81" s="1710">
        <f>SUM(D78:D80)</f>
        <v>3005372</v>
      </c>
      <c r="E81" s="1710">
        <f t="shared" ref="E81:K81" si="10">SUM(E78:E80)</f>
        <v>2492674</v>
      </c>
      <c r="F81" s="1710">
        <f t="shared" si="10"/>
        <v>2268652</v>
      </c>
      <c r="G81" s="1710">
        <f t="shared" si="10"/>
        <v>298505</v>
      </c>
      <c r="H81" s="1710">
        <f t="shared" si="10"/>
        <v>2023632</v>
      </c>
      <c r="I81" s="1710">
        <f t="shared" si="10"/>
        <v>3281791</v>
      </c>
      <c r="J81" s="1710">
        <f t="shared" si="10"/>
        <v>0</v>
      </c>
      <c r="K81" s="1710">
        <f t="shared" si="10"/>
        <v>17619</v>
      </c>
      <c r="L81" s="347"/>
    </row>
    <row r="82" spans="1:12" ht="0.75" customHeight="1" thickTop="1" thickBot="1" x14ac:dyDescent="0.25">
      <c r="A82" s="536" t="s">
        <v>361</v>
      </c>
      <c r="B82" s="537"/>
      <c r="C82" s="538">
        <f>(C81-C79)</f>
        <v>1846660</v>
      </c>
      <c r="D82" s="538">
        <f t="shared" ref="D82:K82" si="11">(D81-D79)</f>
        <v>337336</v>
      </c>
      <c r="E82" s="538">
        <f t="shared" si="11"/>
        <v>245522</v>
      </c>
      <c r="F82" s="538">
        <f t="shared" si="11"/>
        <v>120961</v>
      </c>
      <c r="G82" s="538">
        <f t="shared" si="11"/>
        <v>44060</v>
      </c>
      <c r="H82" s="538">
        <f t="shared" si="11"/>
        <v>952559</v>
      </c>
      <c r="I82" s="538">
        <f t="shared" si="11"/>
        <v>-1947570</v>
      </c>
      <c r="J82" s="538">
        <f t="shared" si="11"/>
        <v>0</v>
      </c>
      <c r="K82" s="538">
        <f t="shared" si="11"/>
        <v>203</v>
      </c>
    </row>
    <row r="83" spans="1:12" ht="14.25" hidden="1" thickTop="1" thickBot="1" x14ac:dyDescent="0.25">
      <c r="A83" s="539" t="s">
        <v>362</v>
      </c>
      <c r="B83" s="464"/>
      <c r="C83" s="540">
        <f>C82/C81</f>
        <v>8.0618664627036193E-2</v>
      </c>
      <c r="D83" s="540">
        <f t="shared" ref="D83:K83" si="12">D82/D81</f>
        <v>0.11224434113314424</v>
      </c>
      <c r="E83" s="540">
        <f t="shared" si="12"/>
        <v>9.8497436889059695E-2</v>
      </c>
      <c r="F83" s="540">
        <f t="shared" si="12"/>
        <v>5.3318446372559565E-2</v>
      </c>
      <c r="G83" s="540">
        <f t="shared" si="12"/>
        <v>0.14760221771829618</v>
      </c>
      <c r="H83" s="540">
        <f t="shared" si="12"/>
        <v>0.47071750199641044</v>
      </c>
      <c r="I83" s="540">
        <f t="shared" si="12"/>
        <v>-0.59344729752747816</v>
      </c>
      <c r="J83" s="540" t="e">
        <f t="shared" si="12"/>
        <v>#DIV/0!</v>
      </c>
      <c r="K83" s="540">
        <f t="shared" si="12"/>
        <v>1.1521652761223678E-2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17" sqref="A17"/>
      <selection pane="bottomLeft" activeCell="A17" sqref="A1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20970997</v>
      </c>
      <c r="D5" s="481">
        <v>2591533</v>
      </c>
      <c r="E5" s="466">
        <v>3275818</v>
      </c>
      <c r="F5" s="548">
        <v>1273151</v>
      </c>
      <c r="G5" s="466">
        <v>195974</v>
      </c>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v>563094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v>64938</v>
      </c>
      <c r="H11" s="466"/>
      <c r="I11" s="466"/>
      <c r="J11" s="467"/>
      <c r="K11" s="466"/>
      <c r="L11" s="552"/>
    </row>
    <row r="12" spans="1:12" ht="12.75" customHeight="1" thickBot="1" x14ac:dyDescent="0.25">
      <c r="A12" s="1727" t="s">
        <v>29</v>
      </c>
      <c r="B12" s="1728"/>
      <c r="C12" s="1729">
        <f t="shared" ref="C12:K12" si="0">SUM(C5:C11)</f>
        <v>20970997</v>
      </c>
      <c r="D12" s="1729">
        <f t="shared" si="0"/>
        <v>2591533</v>
      </c>
      <c r="E12" s="1729">
        <f t="shared" si="0"/>
        <v>3275818</v>
      </c>
      <c r="F12" s="1729">
        <f t="shared" si="0"/>
        <v>1273151</v>
      </c>
      <c r="G12" s="1729">
        <f t="shared" si="0"/>
        <v>824006</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81529</v>
      </c>
      <c r="D16" s="466"/>
      <c r="E16" s="466"/>
      <c r="F16" s="466"/>
      <c r="G16" s="466">
        <v>6500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81529</v>
      </c>
      <c r="D18" s="1732">
        <f t="shared" ref="D18:K18" si="1">SUM(D14:D17)</f>
        <v>0</v>
      </c>
      <c r="E18" s="1732">
        <f t="shared" si="1"/>
        <v>0</v>
      </c>
      <c r="F18" s="1732">
        <f t="shared" si="1"/>
        <v>0</v>
      </c>
      <c r="G18" s="1732">
        <f t="shared" si="1"/>
        <v>6500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501357</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35306</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536663</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630</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5434</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6064</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200685</v>
      </c>
      <c r="D65" s="466">
        <v>28485</v>
      </c>
      <c r="E65" s="466">
        <v>12854</v>
      </c>
      <c r="F65" s="467">
        <v>17709</v>
      </c>
      <c r="G65" s="466">
        <v>3205</v>
      </c>
      <c r="H65" s="466">
        <v>13252</v>
      </c>
      <c r="I65" s="466">
        <v>52430</v>
      </c>
      <c r="J65" s="467"/>
      <c r="K65" s="466">
        <v>203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200685</v>
      </c>
      <c r="D67" s="1710">
        <f t="shared" ref="D67:K67" si="2">SUM(D65:D66)</f>
        <v>28485</v>
      </c>
      <c r="E67" s="1710">
        <f t="shared" si="2"/>
        <v>12854</v>
      </c>
      <c r="F67" s="1710">
        <f t="shared" si="2"/>
        <v>17709</v>
      </c>
      <c r="G67" s="1710">
        <f t="shared" si="2"/>
        <v>3205</v>
      </c>
      <c r="H67" s="1710">
        <f t="shared" si="2"/>
        <v>13252</v>
      </c>
      <c r="I67" s="1710">
        <f t="shared" si="2"/>
        <v>52430</v>
      </c>
      <c r="J67" s="1710">
        <f t="shared" si="2"/>
        <v>0</v>
      </c>
      <c r="K67" s="1710">
        <f t="shared" si="2"/>
        <v>203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17039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24664</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41703</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490603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490603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7596</v>
      </c>
      <c r="D95" s="551"/>
      <c r="E95" s="521"/>
      <c r="F95" s="521"/>
      <c r="G95" s="521"/>
      <c r="H95" s="521"/>
      <c r="I95" s="521"/>
      <c r="J95" s="521"/>
      <c r="K95" s="521"/>
    </row>
    <row r="96" spans="1:11" ht="12.75" customHeight="1" x14ac:dyDescent="0.2">
      <c r="A96" s="463" t="s">
        <v>409</v>
      </c>
      <c r="B96" s="470">
        <v>1920</v>
      </c>
      <c r="C96" s="551"/>
      <c r="D96" s="551">
        <v>8687</v>
      </c>
      <c r="E96" s="479"/>
      <c r="F96" s="478"/>
      <c r="G96" s="478"/>
      <c r="H96" s="478">
        <v>60276</v>
      </c>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20368</v>
      </c>
      <c r="D98" s="466"/>
      <c r="E98" s="512"/>
      <c r="F98" s="466">
        <v>281724</v>
      </c>
      <c r="G98" s="512"/>
      <c r="H98" s="512"/>
      <c r="I98" s="510"/>
      <c r="J98" s="512"/>
      <c r="K98" s="512"/>
    </row>
    <row r="99" spans="1:12" ht="12.75" customHeight="1" x14ac:dyDescent="0.2">
      <c r="A99" s="463" t="s">
        <v>875</v>
      </c>
      <c r="B99" s="470">
        <v>1950</v>
      </c>
      <c r="C99" s="489">
        <v>89600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v>20707</v>
      </c>
      <c r="E106" s="467"/>
      <c r="F106" s="467"/>
      <c r="G106" s="467"/>
      <c r="H106" s="467"/>
      <c r="I106" s="521"/>
      <c r="J106" s="467"/>
      <c r="K106" s="467"/>
    </row>
    <row r="107" spans="1:12" ht="12.75" customHeight="1" x14ac:dyDescent="0.2">
      <c r="A107" s="463" t="s">
        <v>80</v>
      </c>
      <c r="B107" s="470">
        <v>1999</v>
      </c>
      <c r="C107" s="551">
        <v>116146</v>
      </c>
      <c r="D107" s="466">
        <v>45512</v>
      </c>
      <c r="E107" s="466"/>
      <c r="F107" s="466">
        <v>16687</v>
      </c>
      <c r="G107" s="466"/>
      <c r="H107" s="466"/>
      <c r="I107" s="466"/>
      <c r="J107" s="467"/>
      <c r="K107" s="466"/>
    </row>
    <row r="108" spans="1:12" ht="12.75" customHeight="1" thickBot="1" x14ac:dyDescent="0.25">
      <c r="A108" s="1730" t="s">
        <v>508</v>
      </c>
      <c r="B108" s="1734"/>
      <c r="C108" s="1729">
        <f>SUM(C95:C107)</f>
        <v>233710</v>
      </c>
      <c r="D108" s="1729">
        <f t="shared" ref="D108:K108" si="3">SUM(D95:D107)</f>
        <v>74906</v>
      </c>
      <c r="E108" s="1729">
        <f t="shared" si="3"/>
        <v>0</v>
      </c>
      <c r="F108" s="1729">
        <f t="shared" si="3"/>
        <v>298411</v>
      </c>
      <c r="G108" s="1729">
        <f t="shared" si="3"/>
        <v>0</v>
      </c>
      <c r="H108" s="1729">
        <f t="shared" si="3"/>
        <v>60276</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22555890</v>
      </c>
      <c r="D109" s="1737">
        <f t="shared" si="4"/>
        <v>2694924</v>
      </c>
      <c r="E109" s="1737">
        <f t="shared" si="4"/>
        <v>3288672</v>
      </c>
      <c r="F109" s="1737">
        <f t="shared" si="4"/>
        <v>1595335</v>
      </c>
      <c r="G109" s="1737">
        <f t="shared" si="4"/>
        <v>833711</v>
      </c>
      <c r="H109" s="1737">
        <f t="shared" si="4"/>
        <v>73528</v>
      </c>
      <c r="I109" s="1737">
        <f t="shared" si="4"/>
        <v>52430</v>
      </c>
      <c r="J109" s="1737">
        <f t="shared" si="4"/>
        <v>0</v>
      </c>
      <c r="K109" s="1724">
        <f t="shared" si="4"/>
        <v>203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875060</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875060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103327</v>
      </c>
      <c r="D124" s="561"/>
      <c r="E124" s="468"/>
      <c r="F124" s="548"/>
      <c r="G124" s="468"/>
      <c r="H124" s="468"/>
      <c r="I124" s="468"/>
      <c r="J124" s="468"/>
      <c r="K124" s="468"/>
    </row>
    <row r="125" spans="1:11" ht="12.75" customHeight="1" x14ac:dyDescent="0.2">
      <c r="A125" s="463" t="s">
        <v>1521</v>
      </c>
      <c r="B125" s="562">
        <v>3105</v>
      </c>
      <c r="C125" s="466">
        <v>33585</v>
      </c>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v>1650</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138562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17070</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17070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528662</v>
      </c>
      <c r="G151" s="467"/>
      <c r="H151" s="468"/>
      <c r="I151" s="468"/>
      <c r="J151" s="468"/>
      <c r="K151" s="468"/>
    </row>
    <row r="152" spans="1:11" ht="12.75" customHeight="1" x14ac:dyDescent="0.2">
      <c r="A152" s="463" t="s">
        <v>1117</v>
      </c>
      <c r="B152" s="562">
        <v>3510</v>
      </c>
      <c r="C152" s="551"/>
      <c r="D152" s="466"/>
      <c r="E152" s="561"/>
      <c r="F152" s="466">
        <v>236833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765495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234034</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2887</v>
      </c>
      <c r="D171" s="580">
        <v>7103</v>
      </c>
      <c r="E171" s="580"/>
      <c r="F171" s="580"/>
      <c r="G171" s="581"/>
      <c r="H171" s="582"/>
      <c r="I171" s="581"/>
      <c r="J171" s="581"/>
      <c r="K171" s="582"/>
    </row>
    <row r="172" spans="1:11" ht="12.75" customHeight="1" thickTop="1" thickBot="1" x14ac:dyDescent="0.25">
      <c r="A172" s="2159" t="s">
        <v>418</v>
      </c>
      <c r="B172" s="2160"/>
      <c r="C172" s="1744">
        <f t="shared" ref="C172:K172" si="6">SUM(C131,C140,C144,C145:C149,C154,C155:C170,C171)</f>
        <v>392553</v>
      </c>
      <c r="D172" s="1744">
        <f t="shared" si="6"/>
        <v>7103</v>
      </c>
      <c r="E172" s="1744">
        <f t="shared" si="6"/>
        <v>0</v>
      </c>
      <c r="F172" s="1744">
        <f t="shared" si="6"/>
        <v>765495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1267613</v>
      </c>
      <c r="D173" s="1737">
        <f>SUM(D121,D172)</f>
        <v>7103</v>
      </c>
      <c r="E173" s="1737">
        <f>SUM(E121,E172)</f>
        <v>0</v>
      </c>
      <c r="F173" s="1737">
        <f t="shared" ref="F173:K173" si="7">SUM(F121,F172)</f>
        <v>765495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1" t="s">
        <v>1572</v>
      </c>
      <c r="B175" s="216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5" t="s">
        <v>1764</v>
      </c>
      <c r="B178" s="2166"/>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69" t="s">
        <v>1763</v>
      </c>
      <c r="B179" s="217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7" t="s">
        <v>818</v>
      </c>
      <c r="B184" s="2168"/>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3" t="s">
        <v>1906</v>
      </c>
      <c r="B185" s="2164"/>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v>14237</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14237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180174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180174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23502</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232471</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255973</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22569</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40295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17278</v>
      </c>
      <c r="D270" s="576"/>
      <c r="E270" s="468"/>
      <c r="F270" s="576"/>
      <c r="G270" s="576"/>
      <c r="H270" s="468"/>
      <c r="I270" s="468"/>
      <c r="J270" s="468"/>
      <c r="K270" s="468"/>
    </row>
    <row r="271" spans="1:11" ht="12.75" customHeight="1" thickTop="1" thickBot="1" x14ac:dyDescent="0.25">
      <c r="A271" s="463" t="s">
        <v>395</v>
      </c>
      <c r="B271" s="470">
        <v>4992</v>
      </c>
      <c r="C271" s="575">
        <v>57046</v>
      </c>
      <c r="D271" s="576"/>
      <c r="E271" s="468"/>
      <c r="F271" s="576"/>
      <c r="G271" s="576"/>
      <c r="H271" s="468"/>
      <c r="I271" s="468"/>
      <c r="J271" s="468"/>
      <c r="K271" s="468"/>
    </row>
    <row r="272" spans="1:11" s="594" customFormat="1" ht="12.75" customHeight="1" thickTop="1" thickBot="1" x14ac:dyDescent="0.25">
      <c r="A272" s="563" t="s">
        <v>77</v>
      </c>
      <c r="B272" s="557">
        <v>4999</v>
      </c>
      <c r="C272" s="575">
        <v>3018</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590590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590590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24414093</v>
      </c>
      <c r="D275" s="1737">
        <f t="shared" si="12"/>
        <v>2702027</v>
      </c>
      <c r="E275" s="1737">
        <f t="shared" si="12"/>
        <v>3288672</v>
      </c>
      <c r="F275" s="1737">
        <f t="shared" si="12"/>
        <v>2360830</v>
      </c>
      <c r="G275" s="1737">
        <f t="shared" si="12"/>
        <v>833711</v>
      </c>
      <c r="H275" s="1737">
        <f t="shared" si="12"/>
        <v>73528</v>
      </c>
      <c r="I275" s="1737">
        <f t="shared" si="12"/>
        <v>52430</v>
      </c>
      <c r="J275" s="1737">
        <f t="shared" si="12"/>
        <v>0</v>
      </c>
      <c r="K275" s="1724">
        <f t="shared" si="12"/>
        <v>203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67" activePane="bottomLeft" state="frozen"/>
      <selection activeCell="B6" sqref="B6"/>
      <selection pane="bottomLeft" activeCell="B6" sqref="B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7" t="s">
        <v>315</v>
      </c>
      <c r="B3" s="2178"/>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7790270</v>
      </c>
      <c r="D5" s="466">
        <v>1947681</v>
      </c>
      <c r="E5" s="466">
        <v>9638</v>
      </c>
      <c r="F5" s="466">
        <v>144486</v>
      </c>
      <c r="G5" s="466">
        <v>2299</v>
      </c>
      <c r="H5" s="466">
        <v>9871</v>
      </c>
      <c r="I5" s="467"/>
      <c r="J5" s="467"/>
      <c r="K5" s="1693">
        <f>SUM(C5:J5)</f>
        <v>9904245</v>
      </c>
      <c r="L5" s="466">
        <v>9853000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133641</v>
      </c>
      <c r="D7" s="467">
        <v>53590</v>
      </c>
      <c r="E7" s="467"/>
      <c r="F7" s="467">
        <v>4787</v>
      </c>
      <c r="G7" s="467"/>
      <c r="H7" s="467"/>
      <c r="I7" s="467"/>
      <c r="J7" s="467"/>
      <c r="K7" s="1693">
        <f t="shared" ref="K7:K32" si="0">SUM(C7:J7)</f>
        <v>192018</v>
      </c>
      <c r="L7" s="466">
        <v>235000</v>
      </c>
    </row>
    <row r="8" spans="1:14" x14ac:dyDescent="0.2">
      <c r="A8" s="1526" t="s">
        <v>166</v>
      </c>
      <c r="B8" s="615">
        <v>1200</v>
      </c>
      <c r="C8" s="466">
        <v>1734342</v>
      </c>
      <c r="D8" s="466">
        <v>702543</v>
      </c>
      <c r="E8" s="466">
        <v>446556</v>
      </c>
      <c r="F8" s="466">
        <v>32926</v>
      </c>
      <c r="G8" s="466"/>
      <c r="H8" s="466">
        <v>4111</v>
      </c>
      <c r="I8" s="467"/>
      <c r="J8" s="467"/>
      <c r="K8" s="1693">
        <f t="shared" si="0"/>
        <v>2920478</v>
      </c>
      <c r="L8" s="466">
        <v>3008150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22675</v>
      </c>
      <c r="D10" s="466">
        <v>4624</v>
      </c>
      <c r="E10" s="466">
        <v>110533</v>
      </c>
      <c r="F10" s="466">
        <v>2154</v>
      </c>
      <c r="G10" s="466"/>
      <c r="H10" s="466"/>
      <c r="I10" s="467"/>
      <c r="J10" s="467"/>
      <c r="K10" s="1693">
        <f t="shared" si="0"/>
        <v>139986</v>
      </c>
      <c r="L10" s="466">
        <v>156200</v>
      </c>
    </row>
    <row r="11" spans="1:14" x14ac:dyDescent="0.2">
      <c r="A11" s="1526" t="s">
        <v>1192</v>
      </c>
      <c r="B11" s="615" t="s">
        <v>163</v>
      </c>
      <c r="C11" s="467">
        <v>115959</v>
      </c>
      <c r="D11" s="467">
        <v>35978</v>
      </c>
      <c r="E11" s="467"/>
      <c r="F11" s="467">
        <v>3861</v>
      </c>
      <c r="G11" s="467"/>
      <c r="H11" s="467"/>
      <c r="I11" s="467"/>
      <c r="J11" s="467"/>
      <c r="K11" s="1693">
        <f t="shared" si="0"/>
        <v>155798</v>
      </c>
      <c r="L11" s="466">
        <v>177000</v>
      </c>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172029</v>
      </c>
      <c r="D14" s="466">
        <v>3486</v>
      </c>
      <c r="E14" s="466">
        <v>6339</v>
      </c>
      <c r="F14" s="466">
        <v>3893</v>
      </c>
      <c r="G14" s="466"/>
      <c r="H14" s="466"/>
      <c r="I14" s="467"/>
      <c r="J14" s="467"/>
      <c r="K14" s="1693">
        <f t="shared" si="0"/>
        <v>185747</v>
      </c>
      <c r="L14" s="466">
        <v>176200</v>
      </c>
    </row>
    <row r="15" spans="1:14" x14ac:dyDescent="0.2">
      <c r="A15" s="1526" t="s">
        <v>1021</v>
      </c>
      <c r="B15" s="615">
        <v>1600</v>
      </c>
      <c r="C15" s="466">
        <v>25120</v>
      </c>
      <c r="D15" s="466">
        <v>5</v>
      </c>
      <c r="E15" s="466"/>
      <c r="F15" s="466">
        <v>7792</v>
      </c>
      <c r="G15" s="466"/>
      <c r="H15" s="466"/>
      <c r="I15" s="467"/>
      <c r="J15" s="467"/>
      <c r="K15" s="1693">
        <f t="shared" si="0"/>
        <v>32917</v>
      </c>
      <c r="L15" s="466">
        <v>0</v>
      </c>
    </row>
    <row r="16" spans="1:14" x14ac:dyDescent="0.2">
      <c r="A16" s="1526" t="s">
        <v>1044</v>
      </c>
      <c r="B16" s="615" t="s">
        <v>444</v>
      </c>
      <c r="C16" s="466">
        <v>161626</v>
      </c>
      <c r="D16" s="466">
        <v>36031</v>
      </c>
      <c r="E16" s="466"/>
      <c r="F16" s="466">
        <v>1217</v>
      </c>
      <c r="G16" s="466"/>
      <c r="H16" s="466"/>
      <c r="I16" s="467"/>
      <c r="J16" s="467"/>
      <c r="K16" s="1693">
        <f t="shared" si="0"/>
        <v>198874</v>
      </c>
      <c r="L16" s="466">
        <v>209250</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486790</v>
      </c>
      <c r="D18" s="466">
        <v>123297</v>
      </c>
      <c r="E18" s="466">
        <v>1315</v>
      </c>
      <c r="F18" s="466">
        <v>9915</v>
      </c>
      <c r="G18" s="466"/>
      <c r="H18" s="466"/>
      <c r="I18" s="467"/>
      <c r="J18" s="467"/>
      <c r="K18" s="1693">
        <f t="shared" si="0"/>
        <v>621317</v>
      </c>
      <c r="L18" s="466">
        <v>601850</v>
      </c>
    </row>
    <row r="19" spans="1:12" x14ac:dyDescent="0.2">
      <c r="A19" s="1526" t="s">
        <v>136</v>
      </c>
      <c r="B19" s="615">
        <v>1900</v>
      </c>
      <c r="C19" s="466"/>
      <c r="D19" s="466">
        <v>26</v>
      </c>
      <c r="E19" s="466"/>
      <c r="F19" s="466">
        <v>-599</v>
      </c>
      <c r="G19" s="466"/>
      <c r="H19" s="466"/>
      <c r="I19" s="467"/>
      <c r="J19" s="467"/>
      <c r="K19" s="1693">
        <f t="shared" si="0"/>
        <v>-573</v>
      </c>
      <c r="L19" s="466">
        <v>51000</v>
      </c>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10642452</v>
      </c>
      <c r="D33" s="1692">
        <f t="shared" ref="D33:L33" si="1">SUM(D5:D32)</f>
        <v>2907261</v>
      </c>
      <c r="E33" s="1692">
        <f t="shared" si="1"/>
        <v>574381</v>
      </c>
      <c r="F33" s="1692">
        <f t="shared" si="1"/>
        <v>210432</v>
      </c>
      <c r="G33" s="1692">
        <f t="shared" si="1"/>
        <v>2299</v>
      </c>
      <c r="H33" s="1692">
        <f t="shared" si="1"/>
        <v>13982</v>
      </c>
      <c r="I33" s="1692">
        <f t="shared" si="1"/>
        <v>0</v>
      </c>
      <c r="J33" s="1692">
        <f t="shared" si="1"/>
        <v>0</v>
      </c>
      <c r="K33" s="1692">
        <f t="shared" si="1"/>
        <v>14350807</v>
      </c>
      <c r="L33" s="1692">
        <f t="shared" si="1"/>
        <v>14467650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197548</v>
      </c>
      <c r="D37" s="466">
        <v>41721</v>
      </c>
      <c r="E37" s="466"/>
      <c r="F37" s="466">
        <v>1603</v>
      </c>
      <c r="G37" s="466"/>
      <c r="H37" s="466"/>
      <c r="I37" s="467"/>
      <c r="J37" s="467"/>
      <c r="K37" s="1693">
        <f t="shared" si="2"/>
        <v>240872</v>
      </c>
      <c r="L37" s="466">
        <v>235150</v>
      </c>
    </row>
    <row r="38" spans="1:14" x14ac:dyDescent="0.2">
      <c r="A38" s="1526" t="s">
        <v>207</v>
      </c>
      <c r="B38" s="615">
        <v>2130</v>
      </c>
      <c r="C38" s="466">
        <v>121590</v>
      </c>
      <c r="D38" s="466">
        <v>50784</v>
      </c>
      <c r="E38" s="466">
        <v>13173</v>
      </c>
      <c r="F38" s="466">
        <v>4822</v>
      </c>
      <c r="G38" s="466"/>
      <c r="H38" s="466"/>
      <c r="I38" s="467"/>
      <c r="J38" s="467"/>
      <c r="K38" s="1693">
        <f t="shared" si="2"/>
        <v>190369</v>
      </c>
      <c r="L38" s="466">
        <v>180000</v>
      </c>
    </row>
    <row r="39" spans="1:14" x14ac:dyDescent="0.2">
      <c r="A39" s="1526" t="s">
        <v>208</v>
      </c>
      <c r="B39" s="615">
        <v>2140</v>
      </c>
      <c r="C39" s="466">
        <v>270569</v>
      </c>
      <c r="D39" s="466">
        <v>64171</v>
      </c>
      <c r="E39" s="466">
        <v>880</v>
      </c>
      <c r="F39" s="466">
        <v>3127</v>
      </c>
      <c r="G39" s="466"/>
      <c r="H39" s="466"/>
      <c r="I39" s="467"/>
      <c r="J39" s="467"/>
      <c r="K39" s="1693">
        <f t="shared" si="2"/>
        <v>338747</v>
      </c>
      <c r="L39" s="466">
        <v>361150</v>
      </c>
    </row>
    <row r="40" spans="1:14" x14ac:dyDescent="0.2">
      <c r="A40" s="1526" t="s">
        <v>209</v>
      </c>
      <c r="B40" s="615">
        <v>2150</v>
      </c>
      <c r="C40" s="466">
        <v>324807</v>
      </c>
      <c r="D40" s="466">
        <v>72482</v>
      </c>
      <c r="E40" s="466"/>
      <c r="F40" s="466">
        <v>4725</v>
      </c>
      <c r="G40" s="466"/>
      <c r="H40" s="466"/>
      <c r="I40" s="467"/>
      <c r="J40" s="467"/>
      <c r="K40" s="1693">
        <f t="shared" si="2"/>
        <v>402014</v>
      </c>
      <c r="L40" s="466">
        <v>407500</v>
      </c>
    </row>
    <row r="41" spans="1:14" x14ac:dyDescent="0.2">
      <c r="A41" s="1526" t="s">
        <v>1768</v>
      </c>
      <c r="B41" s="615">
        <v>2190</v>
      </c>
      <c r="C41" s="466">
        <v>220857</v>
      </c>
      <c r="D41" s="466">
        <v>2564</v>
      </c>
      <c r="E41" s="466"/>
      <c r="F41" s="466">
        <v>6506</v>
      </c>
      <c r="G41" s="466"/>
      <c r="H41" s="466"/>
      <c r="I41" s="467"/>
      <c r="J41" s="467"/>
      <c r="K41" s="1693">
        <f t="shared" si="2"/>
        <v>229927</v>
      </c>
      <c r="L41" s="466">
        <v>142000</v>
      </c>
    </row>
    <row r="42" spans="1:14" ht="12.75" customHeight="1" thickBot="1" x14ac:dyDescent="0.25">
      <c r="A42" s="1690" t="s">
        <v>581</v>
      </c>
      <c r="B42" s="1691" t="s">
        <v>740</v>
      </c>
      <c r="C42" s="1692">
        <f>SUM(C36:C41)</f>
        <v>1135371</v>
      </c>
      <c r="D42" s="1692">
        <f t="shared" ref="D42:L42" si="3">SUM(D36:D41)</f>
        <v>231722</v>
      </c>
      <c r="E42" s="1692">
        <f t="shared" si="3"/>
        <v>14053</v>
      </c>
      <c r="F42" s="1692">
        <f t="shared" si="3"/>
        <v>20783</v>
      </c>
      <c r="G42" s="1692">
        <f t="shared" si="3"/>
        <v>0</v>
      </c>
      <c r="H42" s="1692">
        <f t="shared" si="3"/>
        <v>0</v>
      </c>
      <c r="I42" s="1692">
        <f t="shared" si="3"/>
        <v>0</v>
      </c>
      <c r="J42" s="1692">
        <f t="shared" si="3"/>
        <v>0</v>
      </c>
      <c r="K42" s="1692">
        <f t="shared" si="3"/>
        <v>1401929</v>
      </c>
      <c r="L42" s="1692">
        <f t="shared" si="3"/>
        <v>1325800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156651</v>
      </c>
      <c r="D44" s="481">
        <v>35916</v>
      </c>
      <c r="E44" s="481">
        <v>149685</v>
      </c>
      <c r="F44" s="481">
        <v>132558</v>
      </c>
      <c r="G44" s="481"/>
      <c r="H44" s="481">
        <v>49</v>
      </c>
      <c r="I44" s="467"/>
      <c r="J44" s="467"/>
      <c r="K44" s="1694">
        <f>SUM(C44:J44)</f>
        <v>474859</v>
      </c>
      <c r="L44" s="481">
        <v>528200</v>
      </c>
    </row>
    <row r="45" spans="1:14" x14ac:dyDescent="0.2">
      <c r="A45" s="1526" t="s">
        <v>869</v>
      </c>
      <c r="B45" s="615">
        <v>2220</v>
      </c>
      <c r="C45" s="466">
        <v>600702</v>
      </c>
      <c r="D45" s="466">
        <v>145400</v>
      </c>
      <c r="E45" s="466">
        <v>649225</v>
      </c>
      <c r="F45" s="466">
        <v>127765</v>
      </c>
      <c r="G45" s="466">
        <v>391500</v>
      </c>
      <c r="H45" s="466"/>
      <c r="I45" s="467"/>
      <c r="J45" s="467"/>
      <c r="K45" s="1694">
        <f>SUM(C45:J45)</f>
        <v>1914592</v>
      </c>
      <c r="L45" s="466">
        <v>1542540</v>
      </c>
    </row>
    <row r="46" spans="1:14" x14ac:dyDescent="0.2">
      <c r="A46" s="1526" t="s">
        <v>870</v>
      </c>
      <c r="B46" s="615">
        <v>2230</v>
      </c>
      <c r="C46" s="466"/>
      <c r="D46" s="466"/>
      <c r="E46" s="466">
        <v>109188</v>
      </c>
      <c r="F46" s="466"/>
      <c r="G46" s="466"/>
      <c r="H46" s="466"/>
      <c r="I46" s="467"/>
      <c r="J46" s="467"/>
      <c r="K46" s="1694">
        <f>SUM(C46:J46)</f>
        <v>109188</v>
      </c>
      <c r="L46" s="466">
        <v>175000</v>
      </c>
    </row>
    <row r="47" spans="1:14" ht="12.75" customHeight="1" thickBot="1" x14ac:dyDescent="0.25">
      <c r="A47" s="1690" t="s">
        <v>582</v>
      </c>
      <c r="B47" s="1691" t="s">
        <v>32</v>
      </c>
      <c r="C47" s="1692">
        <f>SUM(C44:C46)</f>
        <v>757353</v>
      </c>
      <c r="D47" s="1692">
        <f t="shared" ref="D47:K47" si="4">SUM(D44:D46)</f>
        <v>181316</v>
      </c>
      <c r="E47" s="1692">
        <f t="shared" si="4"/>
        <v>908098</v>
      </c>
      <c r="F47" s="1692">
        <f t="shared" si="4"/>
        <v>260323</v>
      </c>
      <c r="G47" s="1692">
        <f t="shared" si="4"/>
        <v>391500</v>
      </c>
      <c r="H47" s="1692">
        <f t="shared" si="4"/>
        <v>49</v>
      </c>
      <c r="I47" s="1692">
        <f t="shared" si="4"/>
        <v>0</v>
      </c>
      <c r="J47" s="1692">
        <f t="shared" si="4"/>
        <v>0</v>
      </c>
      <c r="K47" s="1692">
        <f t="shared" si="4"/>
        <v>2498639</v>
      </c>
      <c r="L47" s="1692">
        <f>SUM(L44:L46)</f>
        <v>2245740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13200</v>
      </c>
      <c r="D49" s="481"/>
      <c r="E49" s="481">
        <v>614785</v>
      </c>
      <c r="F49" s="481">
        <v>15167</v>
      </c>
      <c r="G49" s="481"/>
      <c r="H49" s="481">
        <v>33590</v>
      </c>
      <c r="I49" s="467"/>
      <c r="J49" s="467">
        <v>39119</v>
      </c>
      <c r="K49" s="1694">
        <f>SUM(C49:J49)</f>
        <v>715861</v>
      </c>
      <c r="L49" s="481">
        <v>594500</v>
      </c>
    </row>
    <row r="50" spans="1:14" x14ac:dyDescent="0.2">
      <c r="A50" s="1526" t="s">
        <v>872</v>
      </c>
      <c r="B50" s="615">
        <v>2320</v>
      </c>
      <c r="C50" s="466">
        <v>272013</v>
      </c>
      <c r="D50" s="466">
        <v>65111</v>
      </c>
      <c r="E50" s="466">
        <v>13351</v>
      </c>
      <c r="F50" s="466">
        <v>1282</v>
      </c>
      <c r="G50" s="466"/>
      <c r="H50" s="466">
        <v>2815</v>
      </c>
      <c r="I50" s="467"/>
      <c r="J50" s="467"/>
      <c r="K50" s="1694">
        <f>SUM(C50:J50)</f>
        <v>354572</v>
      </c>
      <c r="L50" s="466">
        <v>382500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285213</v>
      </c>
      <c r="D53" s="1692">
        <f t="shared" ref="D53:L53" si="5">SUM(D49:D52)</f>
        <v>65111</v>
      </c>
      <c r="E53" s="1692">
        <f t="shared" si="5"/>
        <v>628136</v>
      </c>
      <c r="F53" s="1692">
        <f t="shared" si="5"/>
        <v>16449</v>
      </c>
      <c r="G53" s="1692">
        <f t="shared" si="5"/>
        <v>0</v>
      </c>
      <c r="H53" s="1692">
        <f t="shared" si="5"/>
        <v>36405</v>
      </c>
      <c r="I53" s="1692">
        <f t="shared" si="5"/>
        <v>0</v>
      </c>
      <c r="J53" s="1692">
        <f t="shared" si="5"/>
        <v>39119</v>
      </c>
      <c r="K53" s="1692">
        <f t="shared" si="5"/>
        <v>1070433</v>
      </c>
      <c r="L53" s="1692">
        <f t="shared" si="5"/>
        <v>977000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768778</v>
      </c>
      <c r="D55" s="481">
        <v>346795</v>
      </c>
      <c r="E55" s="481"/>
      <c r="F55" s="481">
        <v>7491</v>
      </c>
      <c r="G55" s="481"/>
      <c r="H55" s="481">
        <v>3688</v>
      </c>
      <c r="I55" s="467"/>
      <c r="J55" s="467"/>
      <c r="K55" s="1694">
        <f>SUM(C55:J55)</f>
        <v>1126752</v>
      </c>
      <c r="L55" s="481">
        <v>1153500</v>
      </c>
    </row>
    <row r="56" spans="1:14" ht="12.75" customHeight="1" x14ac:dyDescent="0.2">
      <c r="A56" s="1530" t="s">
        <v>394</v>
      </c>
      <c r="B56" s="629">
        <v>2490</v>
      </c>
      <c r="C56" s="466">
        <v>188406</v>
      </c>
      <c r="D56" s="466">
        <v>50833</v>
      </c>
      <c r="E56" s="466">
        <v>9859</v>
      </c>
      <c r="F56" s="466">
        <v>3956</v>
      </c>
      <c r="G56" s="466"/>
      <c r="H56" s="466">
        <v>2119</v>
      </c>
      <c r="I56" s="467"/>
      <c r="J56" s="467"/>
      <c r="K56" s="1694">
        <f>SUM(C56:J56)</f>
        <v>255173</v>
      </c>
      <c r="L56" s="466">
        <v>258500</v>
      </c>
    </row>
    <row r="57" spans="1:14" s="343" customFormat="1" ht="12.75" customHeight="1" thickBot="1" x14ac:dyDescent="0.25">
      <c r="A57" s="1690" t="s">
        <v>281</v>
      </c>
      <c r="B57" s="1695" t="s">
        <v>34</v>
      </c>
      <c r="C57" s="1696">
        <f>SUM(C55:C56)</f>
        <v>957184</v>
      </c>
      <c r="D57" s="1696">
        <f t="shared" ref="D57:K57" si="6">SUM(D55:D56)</f>
        <v>397628</v>
      </c>
      <c r="E57" s="1696">
        <f t="shared" si="6"/>
        <v>9859</v>
      </c>
      <c r="F57" s="1696">
        <f t="shared" si="6"/>
        <v>11447</v>
      </c>
      <c r="G57" s="1696">
        <f t="shared" si="6"/>
        <v>0</v>
      </c>
      <c r="H57" s="1696">
        <f t="shared" si="6"/>
        <v>5807</v>
      </c>
      <c r="I57" s="1696">
        <f t="shared" si="6"/>
        <v>0</v>
      </c>
      <c r="J57" s="1696">
        <f t="shared" si="6"/>
        <v>0</v>
      </c>
      <c r="K57" s="1696">
        <f t="shared" si="6"/>
        <v>1381925</v>
      </c>
      <c r="L57" s="1692">
        <f>SUM(L55:L56)</f>
        <v>1412000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366936</v>
      </c>
      <c r="D59" s="481">
        <v>119459</v>
      </c>
      <c r="E59" s="481">
        <v>4824</v>
      </c>
      <c r="F59" s="481">
        <v>3934</v>
      </c>
      <c r="G59" s="481"/>
      <c r="H59" s="481">
        <v>47612</v>
      </c>
      <c r="I59" s="467"/>
      <c r="J59" s="467"/>
      <c r="K59" s="1694">
        <f t="shared" ref="K59:K64" si="7">SUM(C59:J59)</f>
        <v>542765</v>
      </c>
      <c r="L59" s="481">
        <v>532200</v>
      </c>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94760</v>
      </c>
      <c r="D63" s="466"/>
      <c r="E63" s="466"/>
      <c r="F63" s="466">
        <v>14308</v>
      </c>
      <c r="G63" s="466"/>
      <c r="H63" s="466"/>
      <c r="I63" s="467"/>
      <c r="J63" s="467"/>
      <c r="K63" s="1694">
        <f t="shared" si="7"/>
        <v>109068</v>
      </c>
      <c r="L63" s="466">
        <v>145000</v>
      </c>
    </row>
    <row r="64" spans="1:14" s="610" customFormat="1" x14ac:dyDescent="0.2">
      <c r="A64" s="1531" t="s">
        <v>103</v>
      </c>
      <c r="B64" s="631">
        <v>2570</v>
      </c>
      <c r="C64" s="481"/>
      <c r="D64" s="481"/>
      <c r="E64" s="481">
        <v>190284</v>
      </c>
      <c r="F64" s="481"/>
      <c r="G64" s="481"/>
      <c r="H64" s="481"/>
      <c r="I64" s="467"/>
      <c r="J64" s="467"/>
      <c r="K64" s="1694">
        <f t="shared" si="7"/>
        <v>190284</v>
      </c>
      <c r="L64" s="481">
        <v>200000</v>
      </c>
    </row>
    <row r="65" spans="1:14" s="343" customFormat="1" ht="12.75" customHeight="1" thickBot="1" x14ac:dyDescent="0.25">
      <c r="A65" s="1690" t="s">
        <v>743</v>
      </c>
      <c r="B65" s="1691" t="s">
        <v>35</v>
      </c>
      <c r="C65" s="1692">
        <f>SUM(C59:C64)</f>
        <v>461696</v>
      </c>
      <c r="D65" s="1692">
        <f t="shared" ref="D65:L65" si="8">SUM(D59:D64)</f>
        <v>119459</v>
      </c>
      <c r="E65" s="1692">
        <f t="shared" si="8"/>
        <v>195108</v>
      </c>
      <c r="F65" s="1692">
        <f t="shared" si="8"/>
        <v>18242</v>
      </c>
      <c r="G65" s="1692">
        <f t="shared" si="8"/>
        <v>0</v>
      </c>
      <c r="H65" s="1692">
        <f t="shared" si="8"/>
        <v>47612</v>
      </c>
      <c r="I65" s="1692">
        <f t="shared" si="8"/>
        <v>0</v>
      </c>
      <c r="J65" s="1692">
        <f t="shared" si="8"/>
        <v>0</v>
      </c>
      <c r="K65" s="1692">
        <f t="shared" si="8"/>
        <v>842117</v>
      </c>
      <c r="L65" s="1692">
        <f t="shared" si="8"/>
        <v>877200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v>69327</v>
      </c>
      <c r="D69" s="466">
        <v>17243</v>
      </c>
      <c r="E69" s="466">
        <v>5983</v>
      </c>
      <c r="F69" s="466">
        <v>1145</v>
      </c>
      <c r="G69" s="466"/>
      <c r="H69" s="466"/>
      <c r="I69" s="467"/>
      <c r="J69" s="467"/>
      <c r="K69" s="1694">
        <f>SUM(C69:J69)</f>
        <v>93698</v>
      </c>
      <c r="L69" s="466">
        <v>110000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v>10175</v>
      </c>
      <c r="F71" s="466"/>
      <c r="G71" s="466"/>
      <c r="H71" s="466"/>
      <c r="I71" s="467"/>
      <c r="J71" s="467"/>
      <c r="K71" s="1694">
        <f>SUM(C71:J71)</f>
        <v>10175</v>
      </c>
      <c r="L71" s="466">
        <v>20000</v>
      </c>
      <c r="M71" s="610"/>
      <c r="N71" s="610"/>
    </row>
    <row r="72" spans="1:14" s="343" customFormat="1" ht="12.75" customHeight="1" thickBot="1" x14ac:dyDescent="0.25">
      <c r="A72" s="1690" t="s">
        <v>37</v>
      </c>
      <c r="B72" s="1697" t="s">
        <v>36</v>
      </c>
      <c r="C72" s="1692">
        <f>SUM(C67:C71)</f>
        <v>69327</v>
      </c>
      <c r="D72" s="1692">
        <f t="shared" ref="D72:K72" si="9">SUM(D67:D71)</f>
        <v>17243</v>
      </c>
      <c r="E72" s="1692">
        <f t="shared" si="9"/>
        <v>16158</v>
      </c>
      <c r="F72" s="1692">
        <f t="shared" si="9"/>
        <v>1145</v>
      </c>
      <c r="G72" s="1692">
        <f t="shared" si="9"/>
        <v>0</v>
      </c>
      <c r="H72" s="1692">
        <f t="shared" si="9"/>
        <v>0</v>
      </c>
      <c r="I72" s="1692">
        <f t="shared" si="9"/>
        <v>0</v>
      </c>
      <c r="J72" s="1692">
        <f t="shared" si="9"/>
        <v>0</v>
      </c>
      <c r="K72" s="1692">
        <f t="shared" si="9"/>
        <v>103873</v>
      </c>
      <c r="L72" s="1692">
        <f>SUM(L67:L71)</f>
        <v>130000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3666144</v>
      </c>
      <c r="D74" s="1699">
        <f t="shared" ref="D74:K74" si="10">SUM(D42,D47,D53,D57,D65,D72,D73)</f>
        <v>1012479</v>
      </c>
      <c r="E74" s="1699">
        <f t="shared" si="10"/>
        <v>1771412</v>
      </c>
      <c r="F74" s="1699">
        <f t="shared" si="10"/>
        <v>328389</v>
      </c>
      <c r="G74" s="1699">
        <f t="shared" si="10"/>
        <v>391500</v>
      </c>
      <c r="H74" s="1699">
        <f t="shared" si="10"/>
        <v>89873</v>
      </c>
      <c r="I74" s="1699">
        <f t="shared" si="10"/>
        <v>0</v>
      </c>
      <c r="J74" s="1699">
        <f t="shared" si="10"/>
        <v>39119</v>
      </c>
      <c r="K74" s="1699">
        <f t="shared" si="10"/>
        <v>7298916</v>
      </c>
      <c r="L74" s="1699">
        <f>SUM(L42,L47,L53,L57,L65,L72,L73)</f>
        <v>6967740</v>
      </c>
    </row>
    <row r="75" spans="1:14" s="259" customFormat="1" ht="15.75" customHeight="1" thickTop="1" thickBot="1" x14ac:dyDescent="0.25">
      <c r="A75" s="1632" t="s">
        <v>49</v>
      </c>
      <c r="B75" s="1633" t="s">
        <v>596</v>
      </c>
      <c r="C75" s="573">
        <v>7560</v>
      </c>
      <c r="D75" s="573">
        <v>592</v>
      </c>
      <c r="E75" s="573"/>
      <c r="F75" s="573"/>
      <c r="G75" s="573"/>
      <c r="H75" s="573"/>
      <c r="I75" s="531"/>
      <c r="J75" s="531"/>
      <c r="K75" s="1692">
        <f>SUM(C75:J75)</f>
        <v>8152</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909558</v>
      </c>
      <c r="I79" s="477"/>
      <c r="J79" s="477"/>
      <c r="K79" s="1693">
        <f t="shared" si="11"/>
        <v>909558</v>
      </c>
      <c r="L79" s="466">
        <v>935000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909558</v>
      </c>
      <c r="I84" s="477"/>
      <c r="J84" s="477"/>
      <c r="K84" s="1692">
        <f>SUM(K78:K83)</f>
        <v>909558</v>
      </c>
      <c r="L84" s="1692">
        <f>SUM(L78:L83)</f>
        <v>935000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909558</v>
      </c>
      <c r="I102" s="477"/>
      <c r="J102" s="477"/>
      <c r="K102" s="1699">
        <f>SUM(K84,K92,K100,K101)</f>
        <v>909558</v>
      </c>
      <c r="L102" s="1699">
        <f>SUM(L84,L92,L100,L101)</f>
        <v>935000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300000</v>
      </c>
      <c r="M113" s="614"/>
      <c r="N113" s="614"/>
    </row>
    <row r="114" spans="1:14" ht="12.75" customHeight="1" thickTop="1" thickBot="1" x14ac:dyDescent="0.25">
      <c r="A114" s="1690" t="s">
        <v>50</v>
      </c>
      <c r="B114" s="1704"/>
      <c r="C114" s="1692">
        <f>SUM(C33,C74,C75,C102,C112,C113)</f>
        <v>14316156</v>
      </c>
      <c r="D114" s="1692">
        <f t="shared" ref="D114:K114" si="13">SUM(D33,D74,D75,D102,D112,D113)</f>
        <v>3920332</v>
      </c>
      <c r="E114" s="1692">
        <f t="shared" si="13"/>
        <v>2345793</v>
      </c>
      <c r="F114" s="1692">
        <f t="shared" si="13"/>
        <v>538821</v>
      </c>
      <c r="G114" s="1692">
        <f t="shared" si="13"/>
        <v>393799</v>
      </c>
      <c r="H114" s="1692">
        <f>SUM(H33,H74,H75,H102,H112,H113)</f>
        <v>1013413</v>
      </c>
      <c r="I114" s="1692">
        <f t="shared" si="13"/>
        <v>0</v>
      </c>
      <c r="J114" s="1692">
        <f t="shared" si="13"/>
        <v>39119</v>
      </c>
      <c r="K114" s="1692">
        <f t="shared" si="13"/>
        <v>22567433</v>
      </c>
      <c r="L114" s="1692">
        <f>SUM(L33,L74,L75,L102,L112,L113)</f>
        <v>22670390</v>
      </c>
    </row>
    <row r="115" spans="1:14" ht="13.5" thickTop="1" x14ac:dyDescent="0.2">
      <c r="A115" s="2196" t="s">
        <v>1053</v>
      </c>
      <c r="B115" s="2197"/>
      <c r="C115" s="619"/>
      <c r="D115" s="619"/>
      <c r="E115" s="619"/>
      <c r="F115" s="619"/>
      <c r="G115" s="619"/>
      <c r="H115" s="619"/>
      <c r="I115" s="619"/>
      <c r="J115" s="619"/>
      <c r="K115" s="1706">
        <f>'Revenues 9-14'!C275-'Expenditures 15-22'!K114</f>
        <v>1846660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4" t="s">
        <v>314</v>
      </c>
      <c r="B117" s="2175"/>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344392</v>
      </c>
      <c r="D124" s="466">
        <v>108168</v>
      </c>
      <c r="E124" s="466">
        <v>888760</v>
      </c>
      <c r="F124" s="466">
        <v>575711</v>
      </c>
      <c r="G124" s="466">
        <v>250386</v>
      </c>
      <c r="H124" s="466">
        <v>103359</v>
      </c>
      <c r="I124" s="467"/>
      <c r="J124" s="467"/>
      <c r="K124" s="1692">
        <f>SUM(C124:J124)</f>
        <v>2270776</v>
      </c>
      <c r="L124" s="466">
        <v>2558500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344392</v>
      </c>
      <c r="D127" s="1692">
        <f t="shared" ref="D127:L127" si="14">SUM(D122:D126)</f>
        <v>108168</v>
      </c>
      <c r="E127" s="1692">
        <f t="shared" si="14"/>
        <v>888760</v>
      </c>
      <c r="F127" s="1692">
        <f t="shared" si="14"/>
        <v>575711</v>
      </c>
      <c r="G127" s="1692">
        <f t="shared" si="14"/>
        <v>250386</v>
      </c>
      <c r="H127" s="1692">
        <f t="shared" si="14"/>
        <v>103359</v>
      </c>
      <c r="I127" s="1692">
        <f t="shared" si="14"/>
        <v>0</v>
      </c>
      <c r="J127" s="1692">
        <f t="shared" si="14"/>
        <v>0</v>
      </c>
      <c r="K127" s="1692">
        <f t="shared" si="14"/>
        <v>2270776</v>
      </c>
      <c r="L127" s="1692">
        <f t="shared" si="14"/>
        <v>2558500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344392</v>
      </c>
      <c r="D129" s="1699">
        <f t="shared" ref="D129:L129" si="15">SUM(D120,D127,D128)</f>
        <v>108168</v>
      </c>
      <c r="E129" s="1699">
        <f t="shared" si="15"/>
        <v>888760</v>
      </c>
      <c r="F129" s="1699">
        <f t="shared" si="15"/>
        <v>575711</v>
      </c>
      <c r="G129" s="1699">
        <f t="shared" si="15"/>
        <v>250386</v>
      </c>
      <c r="H129" s="1699">
        <f t="shared" si="15"/>
        <v>103359</v>
      </c>
      <c r="I129" s="1699">
        <f t="shared" si="15"/>
        <v>0</v>
      </c>
      <c r="J129" s="1699">
        <f t="shared" si="15"/>
        <v>0</v>
      </c>
      <c r="K129" s="1699">
        <f t="shared" si="15"/>
        <v>2270776</v>
      </c>
      <c r="L129" s="1699">
        <f t="shared" si="15"/>
        <v>2558500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v>93915</v>
      </c>
      <c r="I138" s="477"/>
      <c r="J138" s="617"/>
      <c r="K138" s="1694">
        <f>SUM(E138,H138)</f>
        <v>93915</v>
      </c>
      <c r="L138" s="576">
        <v>0</v>
      </c>
    </row>
    <row r="139" spans="1:14" ht="12.75" customHeight="1" thickTop="1" thickBot="1" x14ac:dyDescent="0.25">
      <c r="A139" s="1690" t="s">
        <v>1567</v>
      </c>
      <c r="B139" s="1700">
        <v>4000</v>
      </c>
      <c r="C139" s="617"/>
      <c r="D139" s="617"/>
      <c r="E139" s="1692">
        <f>SUM(E137,E138)</f>
        <v>0</v>
      </c>
      <c r="F139" s="617"/>
      <c r="G139" s="617"/>
      <c r="H139" s="1701">
        <f>SUM(H137:H138)</f>
        <v>93915</v>
      </c>
      <c r="I139" s="477"/>
      <c r="J139" s="617"/>
      <c r="K139" s="1694">
        <f>SUM(K137,K138)</f>
        <v>93915</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6" t="s">
        <v>641</v>
      </c>
      <c r="B151" s="2168"/>
      <c r="C151" s="1692">
        <f>SUM(C129,C130,C139,C149,C150)</f>
        <v>344392</v>
      </c>
      <c r="D151" s="1692">
        <f t="shared" ref="D151:K151" si="16">SUM(D129,D130,D139,D149,D150)</f>
        <v>108168</v>
      </c>
      <c r="E151" s="1692">
        <f t="shared" si="16"/>
        <v>888760</v>
      </c>
      <c r="F151" s="1692">
        <f t="shared" si="16"/>
        <v>575711</v>
      </c>
      <c r="G151" s="1692">
        <f t="shared" si="16"/>
        <v>250386</v>
      </c>
      <c r="H151" s="1692">
        <f t="shared" si="16"/>
        <v>197274</v>
      </c>
      <c r="I151" s="1692">
        <f t="shared" si="16"/>
        <v>0</v>
      </c>
      <c r="J151" s="1692">
        <f t="shared" si="16"/>
        <v>0</v>
      </c>
      <c r="K151" s="1692">
        <f t="shared" si="16"/>
        <v>2364691</v>
      </c>
      <c r="L151" s="1692">
        <f>SUM(L129,L130,L139,L149,L150)</f>
        <v>2558500</v>
      </c>
    </row>
    <row r="152" spans="1:14" ht="12.75" customHeight="1" thickTop="1" x14ac:dyDescent="0.2">
      <c r="A152" s="2189" t="s">
        <v>1240</v>
      </c>
      <c r="B152" s="2190"/>
      <c r="C152" s="619"/>
      <c r="D152" s="619"/>
      <c r="E152" s="619"/>
      <c r="F152" s="619"/>
      <c r="G152" s="619"/>
      <c r="H152" s="619"/>
      <c r="I152" s="619"/>
      <c r="J152" s="617"/>
      <c r="K152" s="1706">
        <f>'Revenues 9-14'!D275-'Expenditures 15-22'!K151</f>
        <v>337336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4" t="s">
        <v>642</v>
      </c>
      <c r="B154" s="217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627200</v>
      </c>
      <c r="I169" s="617"/>
      <c r="J169" s="617"/>
      <c r="K169" s="1693">
        <f>SUM(C169:H169)</f>
        <v>627200</v>
      </c>
      <c r="L169" s="657">
        <v>3097200</v>
      </c>
    </row>
    <row r="170" spans="1:14" ht="33.75" customHeight="1" x14ac:dyDescent="0.2">
      <c r="A170" s="670" t="s">
        <v>1769</v>
      </c>
      <c r="B170" s="672" t="s">
        <v>31</v>
      </c>
      <c r="C170" s="617"/>
      <c r="D170" s="617"/>
      <c r="E170" s="617"/>
      <c r="F170" s="617"/>
      <c r="G170" s="617"/>
      <c r="H170" s="569">
        <v>2415000</v>
      </c>
      <c r="I170" s="617"/>
      <c r="J170" s="617"/>
      <c r="K170" s="1693">
        <f>SUM(C170:J170)</f>
        <v>2415000</v>
      </c>
      <c r="L170" s="569"/>
    </row>
    <row r="171" spans="1:14" ht="15.75" customHeight="1" x14ac:dyDescent="0.2">
      <c r="A171" s="622" t="s">
        <v>790</v>
      </c>
      <c r="B171" s="673" t="s">
        <v>86</v>
      </c>
      <c r="C171" s="617"/>
      <c r="D171" s="617"/>
      <c r="E171" s="466"/>
      <c r="F171" s="617"/>
      <c r="G171" s="617"/>
      <c r="H171" s="569">
        <v>950</v>
      </c>
      <c r="I171" s="477"/>
      <c r="J171" s="617"/>
      <c r="K171" s="1693">
        <f>SUM(C171:J171)</f>
        <v>950</v>
      </c>
      <c r="L171" s="569">
        <v>5000</v>
      </c>
    </row>
    <row r="172" spans="1:14" ht="12.75" customHeight="1" thickBot="1" x14ac:dyDescent="0.25">
      <c r="A172" s="1690" t="s">
        <v>659</v>
      </c>
      <c r="B172" s="1691" t="s">
        <v>513</v>
      </c>
      <c r="C172" s="617"/>
      <c r="D172" s="617"/>
      <c r="E172" s="1699">
        <f>SUM(E168,E169,E170,E171)</f>
        <v>0</v>
      </c>
      <c r="F172" s="617"/>
      <c r="G172" s="617"/>
      <c r="H172" s="1699">
        <f>SUM(H168,H169,H170,H171)</f>
        <v>3043150</v>
      </c>
      <c r="I172" s="639"/>
      <c r="J172" s="617"/>
      <c r="K172" s="1699">
        <f>SUM(K168,K169,K170,K171)</f>
        <v>3043150</v>
      </c>
      <c r="L172" s="1699">
        <f>SUM(L168,L169,L170,L171)</f>
        <v>3102200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3043150</v>
      </c>
      <c r="I174" s="639"/>
      <c r="J174" s="617"/>
      <c r="K174" s="1699">
        <f>SUM(K160,K172,K173)</f>
        <v>3043150</v>
      </c>
      <c r="L174" s="1699">
        <f>SUM(L160,L172,L173)</f>
        <v>3102200</v>
      </c>
    </row>
    <row r="175" spans="1:14" ht="13.5" thickTop="1" x14ac:dyDescent="0.2">
      <c r="A175" s="2196" t="s">
        <v>1053</v>
      </c>
      <c r="B175" s="2197"/>
      <c r="C175" s="617"/>
      <c r="D175" s="617"/>
      <c r="E175" s="617"/>
      <c r="F175" s="617"/>
      <c r="G175" s="617"/>
      <c r="H175" s="619"/>
      <c r="I175" s="617"/>
      <c r="J175" s="617"/>
      <c r="K175" s="1706">
        <f>'Revenues 9-14'!E275-'Expenditures 15-22'!K174</f>
        <v>245522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1156376</v>
      </c>
      <c r="D182" s="466">
        <v>363912</v>
      </c>
      <c r="E182" s="466">
        <v>262772</v>
      </c>
      <c r="F182" s="466">
        <v>200951</v>
      </c>
      <c r="G182" s="466">
        <v>201124</v>
      </c>
      <c r="H182" s="466"/>
      <c r="I182" s="467"/>
      <c r="J182" s="467"/>
      <c r="K182" s="1693">
        <f>SUM(C182:J182)</f>
        <v>2185135</v>
      </c>
      <c r="L182" s="466">
        <v>2312000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1156376</v>
      </c>
      <c r="D184" s="1699">
        <f t="shared" ref="D184:J184" si="17">SUM(D180,D182,D183)</f>
        <v>363912</v>
      </c>
      <c r="E184" s="1699">
        <f t="shared" si="17"/>
        <v>262772</v>
      </c>
      <c r="F184" s="1699">
        <f t="shared" si="17"/>
        <v>200951</v>
      </c>
      <c r="G184" s="1699">
        <f t="shared" si="17"/>
        <v>201124</v>
      </c>
      <c r="H184" s="1699">
        <f t="shared" si="17"/>
        <v>0</v>
      </c>
      <c r="I184" s="1699">
        <f t="shared" si="17"/>
        <v>0</v>
      </c>
      <c r="J184" s="1699">
        <f t="shared" si="17"/>
        <v>0</v>
      </c>
      <c r="K184" s="1699">
        <f>SUM(K180,K182,K183)</f>
        <v>2185135</v>
      </c>
      <c r="L184" s="1699">
        <f>SUM(L180, L182:L183)</f>
        <v>2312000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12403</v>
      </c>
      <c r="I205" s="617"/>
      <c r="J205" s="617"/>
      <c r="K205" s="1707">
        <f>SUM(H205)</f>
        <v>12403</v>
      </c>
      <c r="L205" s="535">
        <v>0</v>
      </c>
    </row>
    <row r="206" spans="1:14" ht="30" customHeight="1" x14ac:dyDescent="0.2">
      <c r="A206" s="682" t="s">
        <v>1770</v>
      </c>
      <c r="B206" s="673" t="s">
        <v>31</v>
      </c>
      <c r="C206" s="617"/>
      <c r="D206" s="617"/>
      <c r="E206" s="617"/>
      <c r="F206" s="617"/>
      <c r="G206" s="617"/>
      <c r="H206" s="466">
        <v>243455</v>
      </c>
      <c r="I206" s="617"/>
      <c r="J206" s="617"/>
      <c r="K206" s="1693">
        <f>SUM(H206)</f>
        <v>243455</v>
      </c>
      <c r="L206" s="466">
        <v>0</v>
      </c>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255858</v>
      </c>
      <c r="I208" s="617"/>
      <c r="J208" s="617"/>
      <c r="K208" s="1699">
        <f>SUM(K204,K205,K206,K207)</f>
        <v>255858</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1156376</v>
      </c>
      <c r="D210" s="1692">
        <f>SUM(D184,D185)</f>
        <v>363912</v>
      </c>
      <c r="E210" s="1692">
        <f>SUM(E184,E185,E196)</f>
        <v>262772</v>
      </c>
      <c r="F210" s="1692">
        <f>SUM(F184,F185)</f>
        <v>200951</v>
      </c>
      <c r="G210" s="1692">
        <f>SUM(G184,G185)</f>
        <v>201124</v>
      </c>
      <c r="H210" s="1692">
        <f>SUM(H184,H185,H196,H208,H209)</f>
        <v>255858</v>
      </c>
      <c r="I210" s="1692">
        <f>SUM(I184,I185)</f>
        <v>0</v>
      </c>
      <c r="J210" s="1692">
        <f>SUM(J184,J185)</f>
        <v>0</v>
      </c>
      <c r="K210" s="1693">
        <f>SUM(K184,K185,K196,K208,K209)</f>
        <v>2440993</v>
      </c>
      <c r="L210" s="1692">
        <f>SUM(L184,L185,L196,L208,L209)</f>
        <v>2312000</v>
      </c>
    </row>
    <row r="211" spans="1:14" ht="13.5" thickTop="1" x14ac:dyDescent="0.2">
      <c r="A211" s="2196" t="s">
        <v>1053</v>
      </c>
      <c r="B211" s="2197"/>
      <c r="C211" s="619"/>
      <c r="D211" s="619"/>
      <c r="E211" s="619"/>
      <c r="F211" s="619"/>
      <c r="G211" s="619"/>
      <c r="H211" s="619"/>
      <c r="I211" s="617"/>
      <c r="J211" s="617"/>
      <c r="K211" s="1706">
        <f>'Revenues 9-14'!F275-'Expenditures 15-22'!K210</f>
        <v>-80163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1" t="s">
        <v>1022</v>
      </c>
      <c r="B213" s="2192"/>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111223</v>
      </c>
      <c r="E215" s="617"/>
      <c r="F215" s="617"/>
      <c r="G215" s="617"/>
      <c r="H215" s="617"/>
      <c r="I215" s="617"/>
      <c r="J215" s="617"/>
      <c r="K215" s="1693">
        <f>D215</f>
        <v>111223</v>
      </c>
      <c r="L215" s="466">
        <v>118000</v>
      </c>
    </row>
    <row r="216" spans="1:14" x14ac:dyDescent="0.2">
      <c r="A216" s="1526" t="s">
        <v>165</v>
      </c>
      <c r="B216" s="615" t="s">
        <v>1024</v>
      </c>
      <c r="C216" s="617"/>
      <c r="D216" s="467">
        <v>1952</v>
      </c>
      <c r="E216" s="617"/>
      <c r="F216" s="617"/>
      <c r="G216" s="617"/>
      <c r="H216" s="617"/>
      <c r="I216" s="617"/>
      <c r="J216" s="617"/>
      <c r="K216" s="1693">
        <f t="shared" ref="K216:K228" si="19">D216</f>
        <v>1952</v>
      </c>
      <c r="L216" s="466">
        <v>7500</v>
      </c>
    </row>
    <row r="217" spans="1:14" x14ac:dyDescent="0.2">
      <c r="A217" s="1526" t="s">
        <v>166</v>
      </c>
      <c r="B217" s="615">
        <v>1200</v>
      </c>
      <c r="C217" s="617"/>
      <c r="D217" s="466">
        <v>133967</v>
      </c>
      <c r="E217" s="617"/>
      <c r="F217" s="617"/>
      <c r="G217" s="617"/>
      <c r="H217" s="617"/>
      <c r="I217" s="617"/>
      <c r="J217" s="617"/>
      <c r="K217" s="1693">
        <f t="shared" si="19"/>
        <v>133967</v>
      </c>
      <c r="L217" s="466">
        <v>95000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325</v>
      </c>
      <c r="E219" s="617"/>
      <c r="F219" s="617"/>
      <c r="G219" s="617"/>
      <c r="H219" s="617"/>
      <c r="I219" s="617"/>
      <c r="J219" s="617"/>
      <c r="K219" s="1693">
        <f t="shared" si="19"/>
        <v>325</v>
      </c>
      <c r="L219" s="466"/>
    </row>
    <row r="220" spans="1:14" x14ac:dyDescent="0.2">
      <c r="A220" s="1526" t="s">
        <v>298</v>
      </c>
      <c r="B220" s="615" t="s">
        <v>163</v>
      </c>
      <c r="C220" s="617"/>
      <c r="D220" s="467">
        <v>1681</v>
      </c>
      <c r="E220" s="617"/>
      <c r="F220" s="617"/>
      <c r="G220" s="617"/>
      <c r="H220" s="617"/>
      <c r="I220" s="617"/>
      <c r="J220" s="617"/>
      <c r="K220" s="1693">
        <f t="shared" si="19"/>
        <v>1681</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4883</v>
      </c>
      <c r="E223" s="617"/>
      <c r="F223" s="617"/>
      <c r="G223" s="617"/>
      <c r="H223" s="617"/>
      <c r="I223" s="617"/>
      <c r="J223" s="617"/>
      <c r="K223" s="1693">
        <f t="shared" si="19"/>
        <v>4883</v>
      </c>
      <c r="L223" s="466">
        <v>4300</v>
      </c>
    </row>
    <row r="224" spans="1:14" x14ac:dyDescent="0.2">
      <c r="A224" s="1526" t="s">
        <v>1021</v>
      </c>
      <c r="B224" s="615">
        <v>1600</v>
      </c>
      <c r="C224" s="617"/>
      <c r="D224" s="466">
        <v>672</v>
      </c>
      <c r="E224" s="617"/>
      <c r="F224" s="617"/>
      <c r="G224" s="617"/>
      <c r="H224" s="617"/>
      <c r="I224" s="617"/>
      <c r="J224" s="617"/>
      <c r="K224" s="1693">
        <f t="shared" si="19"/>
        <v>672</v>
      </c>
      <c r="L224" s="466"/>
    </row>
    <row r="225" spans="1:12" x14ac:dyDescent="0.2">
      <c r="A225" s="1526" t="s">
        <v>1044</v>
      </c>
      <c r="B225" s="615">
        <v>1650</v>
      </c>
      <c r="C225" s="617"/>
      <c r="D225" s="466">
        <v>2338</v>
      </c>
      <c r="E225" s="617"/>
      <c r="F225" s="617"/>
      <c r="G225" s="617"/>
      <c r="H225" s="617"/>
      <c r="I225" s="617"/>
      <c r="J225" s="617"/>
      <c r="K225" s="1693">
        <f t="shared" si="19"/>
        <v>2338</v>
      </c>
      <c r="L225" s="466">
        <v>4100</v>
      </c>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8423</v>
      </c>
      <c r="E227" s="617"/>
      <c r="F227" s="617"/>
      <c r="G227" s="617"/>
      <c r="H227" s="617"/>
      <c r="I227" s="617"/>
      <c r="J227" s="617"/>
      <c r="K227" s="1693">
        <f t="shared" si="19"/>
        <v>8423</v>
      </c>
      <c r="L227" s="466">
        <v>8700</v>
      </c>
    </row>
    <row r="228" spans="1:12" x14ac:dyDescent="0.2">
      <c r="A228" s="1526" t="s">
        <v>1149</v>
      </c>
      <c r="B228" s="615">
        <v>1900</v>
      </c>
      <c r="C228" s="617"/>
      <c r="D228" s="466">
        <v>142</v>
      </c>
      <c r="E228" s="617"/>
      <c r="F228" s="617"/>
      <c r="G228" s="617"/>
      <c r="H228" s="617"/>
      <c r="I228" s="617"/>
      <c r="J228" s="617"/>
      <c r="K228" s="1693">
        <f t="shared" si="19"/>
        <v>142</v>
      </c>
      <c r="L228" s="466">
        <v>1700</v>
      </c>
    </row>
    <row r="229" spans="1:12" ht="12.75" customHeight="1" thickBot="1" x14ac:dyDescent="0.25">
      <c r="A229" s="1690" t="s">
        <v>739</v>
      </c>
      <c r="B229" s="1697" t="s">
        <v>591</v>
      </c>
      <c r="C229" s="617"/>
      <c r="D229" s="1692">
        <f>SUM(D215:D228)</f>
        <v>265606</v>
      </c>
      <c r="E229" s="617"/>
      <c r="F229" s="617"/>
      <c r="G229" s="617"/>
      <c r="H229" s="617"/>
      <c r="I229" s="617"/>
      <c r="J229" s="617"/>
      <c r="K229" s="1692">
        <f>SUM(K215:K228)</f>
        <v>265606</v>
      </c>
      <c r="L229" s="1692">
        <f>SUM(L215:L228)</f>
        <v>239300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2864</v>
      </c>
      <c r="E233" s="617"/>
      <c r="F233" s="617"/>
      <c r="G233" s="617"/>
      <c r="H233" s="617"/>
      <c r="I233" s="617"/>
      <c r="J233" s="617"/>
      <c r="K233" s="1693">
        <f t="shared" si="20"/>
        <v>2864</v>
      </c>
      <c r="L233" s="466">
        <v>6000</v>
      </c>
    </row>
    <row r="234" spans="1:12" x14ac:dyDescent="0.2">
      <c r="A234" s="1526" t="s">
        <v>207</v>
      </c>
      <c r="B234" s="615">
        <v>2130</v>
      </c>
      <c r="C234" s="617"/>
      <c r="D234" s="466">
        <v>21516</v>
      </c>
      <c r="E234" s="617"/>
      <c r="F234" s="617"/>
      <c r="G234" s="617"/>
      <c r="H234" s="617"/>
      <c r="I234" s="617"/>
      <c r="J234" s="617"/>
      <c r="K234" s="1693">
        <f t="shared" si="20"/>
        <v>21516</v>
      </c>
      <c r="L234" s="466">
        <v>19700</v>
      </c>
    </row>
    <row r="235" spans="1:12" x14ac:dyDescent="0.2">
      <c r="A235" s="1526" t="s">
        <v>208</v>
      </c>
      <c r="B235" s="615">
        <v>2140</v>
      </c>
      <c r="C235" s="617"/>
      <c r="D235" s="466">
        <v>3926</v>
      </c>
      <c r="E235" s="617"/>
      <c r="F235" s="617"/>
      <c r="G235" s="617"/>
      <c r="H235" s="617"/>
      <c r="I235" s="617"/>
      <c r="J235" s="617"/>
      <c r="K235" s="1693">
        <f t="shared" si="20"/>
        <v>3926</v>
      </c>
      <c r="L235" s="466">
        <v>2500</v>
      </c>
    </row>
    <row r="236" spans="1:12" x14ac:dyDescent="0.2">
      <c r="A236" s="1526" t="s">
        <v>209</v>
      </c>
      <c r="B236" s="615">
        <v>2150</v>
      </c>
      <c r="C236" s="617"/>
      <c r="D236" s="466">
        <v>4702</v>
      </c>
      <c r="E236" s="617"/>
      <c r="F236" s="617"/>
      <c r="G236" s="617"/>
      <c r="H236" s="617"/>
      <c r="I236" s="617"/>
      <c r="J236" s="617"/>
      <c r="K236" s="1693">
        <f t="shared" si="20"/>
        <v>4702</v>
      </c>
      <c r="L236" s="466">
        <v>4300</v>
      </c>
    </row>
    <row r="237" spans="1:12" x14ac:dyDescent="0.2">
      <c r="A237" s="1526" t="s">
        <v>167</v>
      </c>
      <c r="B237" s="615">
        <v>2190</v>
      </c>
      <c r="C237" s="617"/>
      <c r="D237" s="466">
        <v>7276</v>
      </c>
      <c r="E237" s="617"/>
      <c r="F237" s="617"/>
      <c r="G237" s="617"/>
      <c r="H237" s="617"/>
      <c r="I237" s="617"/>
      <c r="J237" s="617"/>
      <c r="K237" s="1693">
        <f t="shared" si="20"/>
        <v>7276</v>
      </c>
      <c r="L237" s="466">
        <v>7000</v>
      </c>
    </row>
    <row r="238" spans="1:12" ht="12.75" customHeight="1" thickBot="1" x14ac:dyDescent="0.25">
      <c r="A238" s="1690" t="s">
        <v>581</v>
      </c>
      <c r="B238" s="1697" t="s">
        <v>740</v>
      </c>
      <c r="C238" s="617"/>
      <c r="D238" s="1692">
        <f>SUM(D232:D237)</f>
        <v>40284</v>
      </c>
      <c r="E238" s="617"/>
      <c r="F238" s="617"/>
      <c r="G238" s="617"/>
      <c r="H238" s="617"/>
      <c r="I238" s="617"/>
      <c r="J238" s="617"/>
      <c r="K238" s="1692">
        <f>SUM(K232:K237)</f>
        <v>40284</v>
      </c>
      <c r="L238" s="1692">
        <f>SUM(L232:L237)</f>
        <v>39500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2475</v>
      </c>
      <c r="E240" s="617"/>
      <c r="F240" s="617"/>
      <c r="G240" s="617"/>
      <c r="H240" s="617"/>
      <c r="I240" s="617"/>
      <c r="J240" s="617"/>
      <c r="K240" s="1694">
        <f>D240</f>
        <v>2475</v>
      </c>
      <c r="L240" s="481">
        <v>3000</v>
      </c>
    </row>
    <row r="241" spans="1:12" x14ac:dyDescent="0.2">
      <c r="A241" s="1526" t="s">
        <v>869</v>
      </c>
      <c r="B241" s="615">
        <v>2220</v>
      </c>
      <c r="C241" s="617"/>
      <c r="D241" s="466">
        <v>15464</v>
      </c>
      <c r="E241" s="617"/>
      <c r="F241" s="617"/>
      <c r="G241" s="617"/>
      <c r="H241" s="617"/>
      <c r="I241" s="617"/>
      <c r="J241" s="617"/>
      <c r="K241" s="1694">
        <f>D241</f>
        <v>15464</v>
      </c>
      <c r="L241" s="466">
        <v>36300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17939</v>
      </c>
      <c r="E243" s="617"/>
      <c r="F243" s="617"/>
      <c r="G243" s="617"/>
      <c r="H243" s="617"/>
      <c r="I243" s="617"/>
      <c r="J243" s="617"/>
      <c r="K243" s="1692">
        <f>SUM(K240:K242)</f>
        <v>17939</v>
      </c>
      <c r="L243" s="1692">
        <f>SUM(L240:L242)</f>
        <v>39300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20646</v>
      </c>
      <c r="E246" s="617"/>
      <c r="F246" s="617"/>
      <c r="G246" s="617"/>
      <c r="H246" s="617"/>
      <c r="I246" s="617"/>
      <c r="J246" s="617"/>
      <c r="K246" s="1694">
        <f t="shared" ref="K246:K256" si="21">D246</f>
        <v>20646</v>
      </c>
      <c r="L246" s="466">
        <v>23500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20646</v>
      </c>
      <c r="E257" s="617"/>
      <c r="F257" s="617"/>
      <c r="G257" s="617"/>
      <c r="H257" s="617"/>
      <c r="I257" s="617"/>
      <c r="J257" s="617"/>
      <c r="K257" s="1692">
        <f>SUM(K245:K256)</f>
        <v>20646</v>
      </c>
      <c r="L257" s="1692">
        <f>SUM(L245:L256)</f>
        <v>23500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46519</v>
      </c>
      <c r="E259" s="617"/>
      <c r="F259" s="617"/>
      <c r="G259" s="617"/>
      <c r="H259" s="617"/>
      <c r="I259" s="617"/>
      <c r="J259" s="617"/>
      <c r="K259" s="1694">
        <f>D259</f>
        <v>46519</v>
      </c>
      <c r="L259" s="481">
        <v>52000</v>
      </c>
    </row>
    <row r="260" spans="1:14" s="598" customFormat="1" x14ac:dyDescent="0.2">
      <c r="A260" s="1544" t="s">
        <v>1907</v>
      </c>
      <c r="B260" s="629">
        <v>2490</v>
      </c>
      <c r="C260" s="617"/>
      <c r="D260" s="466">
        <v>13035</v>
      </c>
      <c r="E260" s="617"/>
      <c r="F260" s="617"/>
      <c r="G260" s="617"/>
      <c r="H260" s="617"/>
      <c r="I260" s="617"/>
      <c r="J260" s="617"/>
      <c r="K260" s="1694">
        <f>D260</f>
        <v>13035</v>
      </c>
      <c r="L260" s="466">
        <v>13000</v>
      </c>
      <c r="M260" s="210"/>
      <c r="N260" s="210"/>
    </row>
    <row r="261" spans="1:14" ht="12.75" customHeight="1" thickBot="1" x14ac:dyDescent="0.25">
      <c r="A261" s="1714" t="s">
        <v>281</v>
      </c>
      <c r="B261" s="1719" t="s">
        <v>34</v>
      </c>
      <c r="C261" s="617"/>
      <c r="D261" s="1692">
        <f>SUM(D259:D260)</f>
        <v>59554</v>
      </c>
      <c r="E261" s="617"/>
      <c r="F261" s="617"/>
      <c r="G261" s="617"/>
      <c r="H261" s="617"/>
      <c r="I261" s="617"/>
      <c r="J261" s="617"/>
      <c r="K261" s="1692">
        <f>SUM(K259:K260)</f>
        <v>59554</v>
      </c>
      <c r="L261" s="1692">
        <f>SUM(L259:L260)</f>
        <v>65000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35638</v>
      </c>
      <c r="E263" s="617"/>
      <c r="F263" s="617"/>
      <c r="G263" s="617"/>
      <c r="H263" s="617"/>
      <c r="I263" s="617"/>
      <c r="J263" s="617"/>
      <c r="K263" s="1694">
        <f>D263</f>
        <v>35638</v>
      </c>
      <c r="L263" s="481">
        <v>33800</v>
      </c>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60760</v>
      </c>
      <c r="E266" s="617"/>
      <c r="F266" s="617"/>
      <c r="G266" s="617"/>
      <c r="H266" s="617"/>
      <c r="I266" s="617"/>
      <c r="J266" s="617"/>
      <c r="K266" s="1694">
        <f t="shared" si="22"/>
        <v>60760</v>
      </c>
      <c r="L266" s="466">
        <v>53200</v>
      </c>
    </row>
    <row r="267" spans="1:14" x14ac:dyDescent="0.2">
      <c r="A267" s="1526" t="s">
        <v>1010</v>
      </c>
      <c r="B267" s="615">
        <v>2550</v>
      </c>
      <c r="C267" s="617"/>
      <c r="D267" s="466">
        <v>207061</v>
      </c>
      <c r="E267" s="617"/>
      <c r="F267" s="617"/>
      <c r="G267" s="617"/>
      <c r="H267" s="617"/>
      <c r="I267" s="617"/>
      <c r="J267" s="617"/>
      <c r="K267" s="1694">
        <f t="shared" si="22"/>
        <v>207061</v>
      </c>
      <c r="L267" s="466">
        <v>185000</v>
      </c>
    </row>
    <row r="268" spans="1:14" x14ac:dyDescent="0.2">
      <c r="A268" s="1526" t="s">
        <v>102</v>
      </c>
      <c r="B268" s="615">
        <v>2560</v>
      </c>
      <c r="C268" s="617"/>
      <c r="D268" s="466">
        <v>8274</v>
      </c>
      <c r="E268" s="617"/>
      <c r="F268" s="617"/>
      <c r="G268" s="617"/>
      <c r="H268" s="617"/>
      <c r="I268" s="617"/>
      <c r="J268" s="617"/>
      <c r="K268" s="1694">
        <f t="shared" si="22"/>
        <v>8274</v>
      </c>
      <c r="L268" s="466">
        <v>6000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311733</v>
      </c>
      <c r="E270" s="617"/>
      <c r="F270" s="617"/>
      <c r="G270" s="617"/>
      <c r="H270" s="617"/>
      <c r="I270" s="617"/>
      <c r="J270" s="617"/>
      <c r="K270" s="1692">
        <f>SUM(K263:K269)</f>
        <v>311733</v>
      </c>
      <c r="L270" s="1692">
        <f>SUM(L263:L269)</f>
        <v>278000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v>12601</v>
      </c>
      <c r="E274" s="617"/>
      <c r="F274" s="617"/>
      <c r="G274" s="617"/>
      <c r="H274" s="617"/>
      <c r="I274" s="617"/>
      <c r="J274" s="617"/>
      <c r="K274" s="1694">
        <f>D274</f>
        <v>12601</v>
      </c>
      <c r="L274" s="466">
        <v>10800</v>
      </c>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12601</v>
      </c>
      <c r="E277" s="617"/>
      <c r="F277" s="617"/>
      <c r="G277" s="617"/>
      <c r="H277" s="617"/>
      <c r="I277" s="617"/>
      <c r="J277" s="617"/>
      <c r="K277" s="1692">
        <f>SUM(K272:K276)</f>
        <v>12601</v>
      </c>
      <c r="L277" s="1692">
        <f>SUM(L272:L276)</f>
        <v>10800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462757</v>
      </c>
      <c r="E279" s="617"/>
      <c r="F279" s="617"/>
      <c r="G279" s="617"/>
      <c r="H279" s="617"/>
      <c r="I279" s="617"/>
      <c r="J279" s="617"/>
      <c r="K279" s="1699">
        <f>SUM(K238,K243,K257,K261,K270,K277,K278)</f>
        <v>462757</v>
      </c>
      <c r="L279" s="1699">
        <f>SUM(L238,L243,L257,L261,L270,L277,L278)</f>
        <v>456100</v>
      </c>
    </row>
    <row r="280" spans="1:12" ht="15.75" customHeight="1" thickTop="1" thickBot="1" x14ac:dyDescent="0.25">
      <c r="A280" s="1646" t="s">
        <v>930</v>
      </c>
      <c r="B280" s="1635">
        <v>3000</v>
      </c>
      <c r="C280" s="617"/>
      <c r="D280" s="576">
        <v>547</v>
      </c>
      <c r="E280" s="617"/>
      <c r="F280" s="617"/>
      <c r="G280" s="617"/>
      <c r="H280" s="617"/>
      <c r="I280" s="617"/>
      <c r="J280" s="617"/>
      <c r="K280" s="1701">
        <f>D280</f>
        <v>547</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v>60741</v>
      </c>
      <c r="E284" s="617"/>
      <c r="F284" s="617"/>
      <c r="G284" s="617"/>
      <c r="H284" s="617"/>
      <c r="I284" s="617"/>
      <c r="J284" s="617"/>
      <c r="K284" s="1693">
        <f>D284</f>
        <v>60741</v>
      </c>
      <c r="L284" s="466">
        <v>61000</v>
      </c>
    </row>
    <row r="285" spans="1:12" ht="12.75" customHeight="1" thickBot="1" x14ac:dyDescent="0.25">
      <c r="A285" s="1690" t="s">
        <v>1567</v>
      </c>
      <c r="B285" s="1691" t="s">
        <v>915</v>
      </c>
      <c r="C285" s="617"/>
      <c r="D285" s="1692">
        <f>SUM(D282:D284)</f>
        <v>60741</v>
      </c>
      <c r="E285" s="617"/>
      <c r="F285" s="617"/>
      <c r="G285" s="617"/>
      <c r="H285" s="617"/>
      <c r="I285" s="617"/>
      <c r="J285" s="617"/>
      <c r="K285" s="1692">
        <f>SUM(K282:K284)</f>
        <v>60741</v>
      </c>
      <c r="L285" s="1692">
        <f>SUM(L282:L284)</f>
        <v>61000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7" t="s">
        <v>526</v>
      </c>
      <c r="B295" s="2188"/>
      <c r="C295" s="617"/>
      <c r="D295" s="1692">
        <f>SUM(D229,D279,D280,D285)</f>
        <v>789651</v>
      </c>
      <c r="E295" s="617"/>
      <c r="F295" s="617"/>
      <c r="G295" s="617"/>
      <c r="H295" s="1692">
        <f>H293</f>
        <v>0</v>
      </c>
      <c r="I295" s="617"/>
      <c r="J295" s="617"/>
      <c r="K295" s="1692">
        <f>SUM(K229,K279,K280,K285,K293,K294)</f>
        <v>789651</v>
      </c>
      <c r="L295" s="1692">
        <f>SUM(L229,L279,L280,L285,L293,L294)</f>
        <v>756400</v>
      </c>
    </row>
    <row r="296" spans="1:14" ht="13.5" thickTop="1" x14ac:dyDescent="0.2">
      <c r="A296" s="2196" t="s">
        <v>1053</v>
      </c>
      <c r="B296" s="2197"/>
      <c r="C296" s="617"/>
      <c r="D296" s="619"/>
      <c r="E296" s="617"/>
      <c r="F296" s="617"/>
      <c r="G296" s="617"/>
      <c r="H296" s="688"/>
      <c r="I296" s="617"/>
      <c r="J296" s="617"/>
      <c r="K296" s="1706">
        <f>'Revenues 9-14'!G275-'Expenditures 15-22'!K295</f>
        <v>44060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9" t="s">
        <v>145</v>
      </c>
      <c r="B298" s="2173"/>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38378</v>
      </c>
      <c r="F301" s="466">
        <v>81755</v>
      </c>
      <c r="G301" s="466">
        <v>1000836</v>
      </c>
      <c r="H301" s="466"/>
      <c r="I301" s="467"/>
      <c r="J301" s="467"/>
      <c r="K301" s="1693">
        <f>SUM(C301:J301)</f>
        <v>1120969</v>
      </c>
      <c r="L301" s="467">
        <v>2050000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38378</v>
      </c>
      <c r="F303" s="1699">
        <f t="shared" si="23"/>
        <v>81755</v>
      </c>
      <c r="G303" s="1699">
        <f t="shared" si="23"/>
        <v>1000836</v>
      </c>
      <c r="H303" s="1699">
        <f t="shared" si="23"/>
        <v>0</v>
      </c>
      <c r="I303" s="1699">
        <f t="shared" si="23"/>
        <v>0</v>
      </c>
      <c r="J303" s="1699">
        <f t="shared" si="23"/>
        <v>0</v>
      </c>
      <c r="K303" s="1699">
        <f t="shared" si="23"/>
        <v>1120969</v>
      </c>
      <c r="L303" s="1699">
        <f t="shared" si="23"/>
        <v>2050000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4" t="s">
        <v>295</v>
      </c>
      <c r="B312" s="2185"/>
      <c r="C312" s="1692">
        <f>SUM(C303)</f>
        <v>0</v>
      </c>
      <c r="D312" s="1692">
        <f>SUM(D303)</f>
        <v>0</v>
      </c>
      <c r="E312" s="1692">
        <f>SUM(E303,E310)</f>
        <v>38378</v>
      </c>
      <c r="F312" s="1692">
        <f>SUM(F303)</f>
        <v>81755</v>
      </c>
      <c r="G312" s="1692">
        <f>SUM(G303)</f>
        <v>1000836</v>
      </c>
      <c r="H312" s="1692">
        <f>SUM(H303,H310)</f>
        <v>0</v>
      </c>
      <c r="I312" s="1692">
        <f>SUM(I303)</f>
        <v>0</v>
      </c>
      <c r="J312" s="1692">
        <f>SUM(J303)</f>
        <v>0</v>
      </c>
      <c r="K312" s="1692">
        <f>SUM(K303,K310,K311)</f>
        <v>1120969</v>
      </c>
      <c r="L312" s="1692">
        <f>SUM(L303,L310,L311)</f>
        <v>2050000</v>
      </c>
      <c r="M312" s="666"/>
      <c r="N312" s="666"/>
    </row>
    <row r="313" spans="1:14" ht="13.5" thickTop="1" x14ac:dyDescent="0.2">
      <c r="A313" s="2180" t="s">
        <v>1053</v>
      </c>
      <c r="B313" s="2181"/>
      <c r="C313" s="627"/>
      <c r="D313" s="627"/>
      <c r="E313" s="627"/>
      <c r="F313" s="627"/>
      <c r="G313" s="627"/>
      <c r="H313" s="627"/>
      <c r="I313" s="627"/>
      <c r="J313" s="627"/>
      <c r="K313" s="1707">
        <f>'Revenues 9-14'!H275-'Expenditures 15-22'!K312</f>
        <v>-1047441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3" t="s">
        <v>151</v>
      </c>
      <c r="B315" s="219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5" t="s">
        <v>954</v>
      </c>
      <c r="B317" s="2194"/>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2" t="s">
        <v>1053</v>
      </c>
      <c r="B343" s="2183"/>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2" t="s">
        <v>1023</v>
      </c>
      <c r="B345" s="2173"/>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6" t="s">
        <v>1053</v>
      </c>
      <c r="B368" s="2197"/>
      <c r="C368" s="655"/>
      <c r="D368" s="655"/>
      <c r="E368" s="627"/>
      <c r="F368" s="627"/>
      <c r="G368" s="627"/>
      <c r="H368" s="627"/>
      <c r="I368" s="627"/>
      <c r="J368" s="624"/>
      <c r="K368" s="1693">
        <f>'Revenues 9-14'!K275-'Expenditures 15-22'!K367</f>
        <v>203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schemas.microsoft.com/office/2006/documentManagement/types"/>
    <ds:schemaRef ds:uri="http://schemas.microsoft.com/office/infopath/2007/PartnerControls"/>
    <ds:schemaRef ds:uri="http://schemas.microsoft.com/sharepoint/v3"/>
    <ds:schemaRef ds:uri="http://purl.org/dc/terms/"/>
    <ds:schemaRef ds:uri="http://www.w3.org/XML/1998/namespace"/>
    <ds:schemaRef ds:uri="http://purl.org/dc/elements/1.1/"/>
    <ds:schemaRef ds:uri="6ce3111e-7420-4802-b50a-75d4e9a0b980"/>
    <ds:schemaRef ds:uri="http://schemas.openxmlformats.org/package/2006/metadata/core-properties"/>
    <ds:schemaRef ds:uri="4d435f69-8686-490b-bd6d-b153bf22ab50"/>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2018-12-11T00:16:38Z</cp:lastPrinted>
  <dcterms:created xsi:type="dcterms:W3CDTF">2003-10-29T19:06:34Z</dcterms:created>
  <dcterms:modified xsi:type="dcterms:W3CDTF">2018-12-14T19:59:56Z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vt:lpwstr>
  </property>
  <property fmtid="{D5CDD505-2E9C-101B-9397-08002B2CF9AE}" pid="3" name="ContentTypeId">
    <vt:lpwstr>0x010100552988822C20F24E83D1DD5E4C131AA0</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