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6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I27" i="183" l="1"/>
  <c r="F27" i="183"/>
  <c r="B4" i="184"/>
  <c r="I16" i="183"/>
  <c r="F16" i="183"/>
  <c r="L14" i="183"/>
  <c r="L24" i="183"/>
  <c r="L23" i="183"/>
  <c r="L22" i="183"/>
  <c r="L21" i="183"/>
  <c r="L13" i="183"/>
  <c r="B4" i="183"/>
  <c r="I26" i="179"/>
  <c r="F26" i="179"/>
  <c r="F12" i="184" s="1"/>
  <c r="I12" i="184" l="1"/>
  <c r="D17" i="181"/>
  <c r="F32" i="3" l="1"/>
  <c r="G31" i="8" l="1"/>
  <c r="M19" i="3"/>
  <c r="D8"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4" i="179" l="1"/>
  <c r="L23" i="179"/>
  <c r="L22" i="179"/>
  <c r="L21" i="179"/>
  <c r="L17" i="179"/>
  <c r="L15"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s="1"/>
  <c r="B5107" i="106"/>
  <c r="D5107" i="106" s="1"/>
  <c r="B5108" i="106"/>
  <c r="D5108" i="106" s="1"/>
  <c r="B5109" i="106"/>
  <c r="D5109" i="106" s="1"/>
  <c r="B5110" i="106"/>
  <c r="D5110" i="106"/>
  <c r="B5111" i="106"/>
  <c r="D5111" i="106" s="1"/>
  <c r="B5113" i="106"/>
  <c r="D5113" i="106" s="1"/>
  <c r="B5114" i="106"/>
  <c r="D5114" i="106" s="1"/>
  <c r="B5115" i="106"/>
  <c r="D5115" i="106" s="1"/>
  <c r="B5116" i="106"/>
  <c r="D5116" i="106" s="1"/>
  <c r="B5117" i="106"/>
  <c r="D5117" i="106" s="1"/>
  <c r="B5118" i="106"/>
  <c r="D5118" i="106" s="1"/>
  <c r="B5119" i="106"/>
  <c r="D5119" i="106"/>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s="1"/>
  <c r="B6302" i="106"/>
  <c r="D6302" i="106" s="1"/>
  <c r="B6303" i="106"/>
  <c r="D6303" i="106"/>
  <c r="B6304" i="106"/>
  <c r="D6304" i="106" s="1"/>
  <c r="B6305" i="106"/>
  <c r="D6305" i="106" s="1"/>
  <c r="B6307" i="106"/>
  <c r="D6307" i="106" s="1"/>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E26" i="108"/>
  <c r="G26" i="108"/>
  <c r="D27" i="108"/>
  <c r="E27" i="108"/>
  <c r="G27" i="108"/>
  <c r="F31" i="108"/>
  <c r="G28" i="108"/>
  <c r="E30" i="108"/>
  <c r="G30" i="108"/>
  <c r="D31" i="108"/>
  <c r="E31" i="108"/>
  <c r="G31" i="108"/>
  <c r="E33" i="108"/>
  <c r="G33" i="108"/>
  <c r="G34"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D13" i="7"/>
  <c r="B3726" i="106" s="1"/>
  <c r="D3726" i="106" s="1"/>
  <c r="B5752" i="106"/>
  <c r="D5752" i="106" s="1"/>
  <c r="F106" i="34"/>
  <c r="D15" i="7"/>
  <c r="B1772" i="106" s="1"/>
  <c r="D1772" i="106" s="1"/>
  <c r="L5" i="11" l="1"/>
  <c r="B2056" i="106" s="1"/>
  <c r="D2056" i="106" s="1"/>
  <c r="L13" i="11"/>
  <c r="B2060" i="106" s="1"/>
  <c r="D2060" i="106" s="1"/>
  <c r="B1124" i="106"/>
  <c r="D1124" i="106" s="1"/>
  <c r="J77" i="4"/>
  <c r="B6262" i="106" s="1"/>
  <c r="D6262" i="106" s="1"/>
  <c r="F77" i="4"/>
  <c r="B3255" i="106" s="1"/>
  <c r="D3255" i="106" s="1"/>
  <c r="I24" i="12"/>
  <c r="F127" i="34"/>
  <c r="D7245" i="106"/>
  <c r="B1746" i="106"/>
  <c r="D1746" i="106" s="1"/>
  <c r="F131" i="34"/>
  <c r="I274" i="5"/>
  <c r="F128" i="34"/>
  <c r="K173" i="5"/>
  <c r="K6" i="4" s="1"/>
  <c r="B3570" i="106" s="1"/>
  <c r="D3570" i="106" s="1"/>
  <c r="J41" i="3"/>
  <c r="H365" i="29"/>
  <c r="B7242" i="106" s="1"/>
  <c r="D7242" i="106" s="1"/>
  <c r="K76" i="4"/>
  <c r="B3586" i="106" s="1"/>
  <c r="D3586" i="106" s="1"/>
  <c r="C172" i="5"/>
  <c r="B5214" i="106" s="1"/>
  <c r="D5214" i="106" s="1"/>
  <c r="F111" i="34"/>
  <c r="L312" i="29"/>
  <c r="F94" i="34"/>
  <c r="G15" i="145"/>
  <c r="H173" i="5"/>
  <c r="B5906" i="106" s="1"/>
  <c r="D5906" i="106" s="1"/>
  <c r="C342" i="29"/>
  <c r="B7216" i="106" s="1"/>
  <c r="D7216" i="106" s="1"/>
  <c r="D12" i="7"/>
  <c r="B1769" i="106" s="1"/>
  <c r="D1769" i="106" s="1"/>
  <c r="G172" i="5"/>
  <c r="B5770" i="106" s="1"/>
  <c r="D5770" i="106" s="1"/>
  <c r="K274" i="5"/>
  <c r="B6022" i="106" s="1"/>
  <c r="D6022" i="106" s="1"/>
  <c r="D4" i="7"/>
  <c r="B1760" i="106" s="1"/>
  <c r="D1760" i="106" s="1"/>
  <c r="G5" i="4"/>
  <c r="B3409" i="106" s="1"/>
  <c r="D3409" i="106" s="1"/>
  <c r="L342" i="29"/>
  <c r="B7235" i="106"/>
  <c r="D7235" i="106" s="1"/>
  <c r="B3254" i="106"/>
  <c r="D3254" i="106" s="1"/>
  <c r="F21" i="8"/>
  <c r="B3621" i="106"/>
  <c r="D3621" i="106" s="1"/>
  <c r="C367" i="29"/>
  <c r="D11" i="7"/>
  <c r="B1768" i="106" s="1"/>
  <c r="D1768" i="106" s="1"/>
  <c r="F136" i="34"/>
  <c r="D5" i="7"/>
  <c r="B1761" i="106" s="1"/>
  <c r="D1761" i="106" s="1"/>
  <c r="D5" i="4"/>
  <c r="B3406" i="106" s="1"/>
  <c r="D3406" i="106" s="1"/>
  <c r="I342" i="29"/>
  <c r="B7222" i="106" s="1"/>
  <c r="D7222" i="106" s="1"/>
  <c r="G352" i="29"/>
  <c r="B3619" i="106"/>
  <c r="D3619" i="106" s="1"/>
  <c r="E174" i="29"/>
  <c r="B1309" i="106" s="1"/>
  <c r="D1309" i="106" s="1"/>
  <c r="K24" i="12"/>
  <c r="K350" i="29"/>
  <c r="D17" i="7"/>
  <c r="B4104" i="106" s="1"/>
  <c r="D4104" i="106" s="1"/>
  <c r="F130" i="34"/>
  <c r="D9" i="7"/>
  <c r="B1767" i="106" s="1"/>
  <c r="D1767" i="106" s="1"/>
  <c r="I173" i="5"/>
  <c r="B4216" i="106" s="1"/>
  <c r="D4216" i="106" s="1"/>
  <c r="L367" i="29"/>
  <c r="K41" i="3"/>
  <c r="L15" i="11"/>
  <c r="B3459" i="106" s="1"/>
  <c r="D3459" i="106" s="1"/>
  <c r="K285" i="29"/>
  <c r="G210" i="29"/>
  <c r="G109" i="5"/>
  <c r="B6024" i="106" s="1"/>
  <c r="D6024" i="106" s="1"/>
  <c r="D54" i="36"/>
  <c r="H109" i="5"/>
  <c r="B6025" i="106" s="1"/>
  <c r="D6025" i="106" s="1"/>
  <c r="B1410" i="106"/>
  <c r="D1410" i="106" s="1"/>
  <c r="G173" i="5"/>
  <c r="B5778" i="106" s="1"/>
  <c r="D5778" i="106" s="1"/>
  <c r="E29" i="108"/>
  <c r="G29" i="108"/>
  <c r="K184" i="29"/>
  <c r="F13" i="4" s="1"/>
  <c r="B2596" i="106" s="1"/>
  <c r="D2596" i="106" s="1"/>
  <c r="D7" i="7"/>
  <c r="B1763" i="106" s="1"/>
  <c r="D1763" i="106" s="1"/>
  <c r="B1329" i="106"/>
  <c r="D1329" i="106" s="1"/>
  <c r="F61" i="34"/>
  <c r="E109" i="5"/>
  <c r="E4" i="4" s="1"/>
  <c r="B2630" i="106" s="1"/>
  <c r="D2630" i="106" s="1"/>
  <c r="F28" i="108"/>
  <c r="E28" i="108"/>
  <c r="D109" i="5"/>
  <c r="B5356" i="106" s="1"/>
  <c r="D5356" i="106" s="1"/>
  <c r="B6995" i="106"/>
  <c r="D6995" i="106" s="1"/>
  <c r="D37" i="108"/>
  <c r="F37" i="108"/>
  <c r="D36" i="108"/>
  <c r="F36" i="108"/>
  <c r="E35" i="108"/>
  <c r="B1126" i="106"/>
  <c r="D1126" i="106" s="1"/>
  <c r="D26" i="108"/>
  <c r="F26" i="108"/>
  <c r="B2724" i="106"/>
  <c r="D2724" i="106" s="1"/>
  <c r="F34" i="34"/>
  <c r="C173" i="5"/>
  <c r="B5223" i="106" s="1"/>
  <c r="D5223" i="106" s="1"/>
  <c r="C109" i="5"/>
  <c r="B5121" i="106" s="1"/>
  <c r="D5121" i="106" s="1"/>
  <c r="D69" i="36"/>
  <c r="D68" i="36"/>
  <c r="F19" i="7"/>
  <c r="B1807" i="106" s="1"/>
  <c r="D1807" i="106" s="1"/>
  <c r="D11" i="37"/>
  <c r="H29" i="118"/>
  <c r="K28" i="118" s="1"/>
  <c r="O27" i="118" s="1"/>
  <c r="O29" i="118"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J32" i="8"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D7254" i="106" l="1"/>
  <c r="D7250" i="106"/>
  <c r="H6" i="4"/>
  <c r="B2656" i="106" s="1"/>
  <c r="D2656" i="106" s="1"/>
  <c r="I26" i="12"/>
  <c r="B7741" i="106" s="1"/>
  <c r="D7741" i="106" s="1"/>
  <c r="B1996" i="106"/>
  <c r="D1996" i="106" s="1"/>
  <c r="B3628" i="106"/>
  <c r="D3628" i="106" s="1"/>
  <c r="D7253" i="106"/>
  <c r="B5527" i="106"/>
  <c r="D5527" i="106" s="1"/>
  <c r="B1879" i="106"/>
  <c r="D1879" i="106" s="1"/>
  <c r="H22" i="37"/>
  <c r="B3670" i="106"/>
  <c r="D3670" i="106" s="1"/>
  <c r="K352" i="29"/>
  <c r="J36" i="8"/>
  <c r="K367" i="29"/>
  <c r="B1365" i="106"/>
  <c r="D1365" i="106" s="1"/>
  <c r="F65" i="34"/>
  <c r="B3568" i="106"/>
  <c r="D3568" i="106" s="1"/>
  <c r="D52" i="36"/>
  <c r="J31" i="8"/>
  <c r="D7252" i="106"/>
  <c r="G4" i="4"/>
  <c r="B2603" i="106" s="1"/>
  <c r="D2603" i="106" s="1"/>
  <c r="H367" i="29"/>
  <c r="B3660" i="106" s="1"/>
  <c r="D3660" i="106" s="1"/>
  <c r="J34" i="8"/>
  <c r="J35" i="8"/>
  <c r="B3649" i="106"/>
  <c r="D3649" i="106" s="1"/>
  <c r="G367" i="29"/>
  <c r="B3650" i="106" s="1"/>
  <c r="D3650" i="106" s="1"/>
  <c r="K342" i="29"/>
  <c r="F13" i="34" s="1"/>
  <c r="F275" i="5"/>
  <c r="D4" i="4"/>
  <c r="B2564" i="106" s="1"/>
  <c r="D2564" i="106" s="1"/>
  <c r="F73" i="34"/>
  <c r="G15" i="4"/>
  <c r="B6032" i="106" s="1"/>
  <c r="D6032" i="106" s="1"/>
  <c r="B7733" i="106"/>
  <c r="D7733" i="106" s="1"/>
  <c r="K26" i="12"/>
  <c r="B7743" i="106" s="1"/>
  <c r="D7743" i="106" s="1"/>
  <c r="D44" i="36"/>
  <c r="L16" i="11"/>
  <c r="B2061" i="106" s="1"/>
  <c r="D2061" i="106" s="1"/>
  <c r="H4" i="4"/>
  <c r="G6" i="4"/>
  <c r="B2604" i="106" s="1"/>
  <c r="D2604" i="106" s="1"/>
  <c r="B1381" i="106"/>
  <c r="D1381" i="106" s="1"/>
  <c r="B1317" i="106"/>
  <c r="D1317" i="106" s="1"/>
  <c r="D41" i="108"/>
  <c r="E43" i="108" s="1"/>
  <c r="C114" i="29"/>
  <c r="B757" i="106" s="1"/>
  <c r="D757" i="106" s="1"/>
  <c r="C6" i="4"/>
  <c r="B2553" i="106" s="1"/>
  <c r="D255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K13" i="4" l="1"/>
  <c r="B3572" i="106" s="1"/>
  <c r="D3572" i="106" s="1"/>
  <c r="B3672" i="106"/>
  <c r="D3672" i="106" s="1"/>
  <c r="J49" i="8"/>
  <c r="B2655" i="106"/>
  <c r="D2655" i="106" s="1"/>
  <c r="H8" i="4"/>
  <c r="F8" i="4"/>
  <c r="D8" i="14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4172" i="106" l="1"/>
  <c r="D4172" i="106" s="1"/>
  <c r="N22" i="3"/>
  <c r="B2658" i="106"/>
  <c r="D2658" i="106" s="1"/>
  <c r="H10" i="4"/>
  <c r="B4127" i="106" s="1"/>
  <c r="D4127"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83" i="106" l="1"/>
  <c r="D283" i="106" s="1"/>
  <c r="N23" i="3"/>
  <c r="B284" i="106" s="1"/>
  <c r="D28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D55" i="3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<sst xmlns="http://schemas.openxmlformats.org/spreadsheetml/2006/main" count="5295" uniqueCount="2181">
  <si>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</si>
  <si>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</si>
  <si>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</si>
  <si>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</si>
  <si>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</si>
  <si>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</si>
  <si>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</si>
  <si>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</si>
  <si>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</si>
  <si>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</si>
  <si>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</si>
  <si>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</si>
  <si>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</si>
  <si>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</si>
  <si>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</si>
  <si>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</si>
  <si>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</si>
  <si>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</si>
  <si>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</si>
  <si>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</si>
  <si>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</si>
  <si>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</si>
  <si>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</si>
  <si>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</si>
  <si>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</si>
  <si>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</si>
  <si>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</si>
  <si>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</si>
  <si>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</si>
  <si>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</si>
  <si>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</si>
  <si>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</si>
  <si>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</si>
  <si>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</si>
  <si>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</si>
  <si>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</si>
  <si>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</si>
  <si>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</si>
  <si>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</si>
  <si>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</si>
  <si>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</si>
  <si>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</si>
  <si>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</si>
  <si>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</si>
  <si>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</si>
  <si>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</si>
  <si>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</si>
  <si>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</si>
  <si>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</si>
  <si>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</si>
  <si>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</si>
  <si>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</si>
  <si>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</si>
  <si>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</si>
  <si>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</si>
  <si>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</si>
  <si>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</si>
  <si>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</si>
  <si>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</si>
  <si>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</si>
  <si>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</si>
  <si>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</si>
  <si>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</si>
  <si>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</si>
  <si>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</si>
  <si>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</si>
  <si>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</si>
  <si>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</si>
  <si>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</si>
  <si>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</si>
  <si>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</si>
  <si>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</si>
  <si>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</si>
  <si>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</si>
  <si>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</si>
  <si>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</si>
  <si>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</si>
  <si>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</si>
  <si>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</si>
  <si>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</si>
  <si>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</si>
  <si>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</si>
  <si>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</si>
  <si>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</si>
  <si>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</si>
  <si>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</si>
  <si>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</si>
  <si>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</si>
  <si>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</si>
  <si>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</si>
  <si>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</si>
  <si>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</si>
  <si>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</si>
  <si>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</si>
  <si>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</si>
  <si>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</si>
  <si>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</si>
  <si>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</si>
  <si>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</si>
  <si>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</si>
  <si>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</si>
  <si>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</si>
  <si>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</si>
  <si>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</si>
  <si>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</si>
  <si>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</si>
  <si>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</si>
  <si>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</si>
  <si>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</si>
  <si>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</si>
  <si>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</si>
  <si>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</si>
  <si>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</si>
  <si>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</si>
  <si>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</si>
  <si>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</si>
  <si>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</si>
  <si>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</si>
  <si>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</si>
  <si>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</si>
  <si>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</si>
  <si>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</si>
  <si>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</si>
  <si>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</si>
  <si>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</si>
  <si>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</si>
  <si>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</si>
  <si>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</si>
  <si>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</si>
  <si>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</si>
  <si>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</si>
  <si>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</si>
  <si>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</si>
  <si>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</si>
  <si>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</si>
  <si>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</si>
  <si>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</si>
  <si>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</si>
  <si>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</si>
  <si>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</si>
  <si>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</si>
  <si>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</si>
  <si>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</si>
  <si>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</si>
  <si>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</si>
  <si>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</si>
  <si>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</si>
  <si>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</si>
  <si>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</si>
  <si>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</si>
  <si>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</si>
  <si>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</si>
  <si>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</si>
  <si>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</si>
  <si>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</si>
  <si>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</si>
  <si>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</si>
  <si>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</si>
  <si>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</si>
  <si>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</si>
  <si>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</si>
  <si>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</si>
  <si>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</si>
  <si>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</si>
  <si>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</si>
  <si>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</si>
  <si>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</si>
  <si>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</si>
  <si>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</si>
  <si>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</si>
  <si>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</si>
  <si>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</si>
  <si>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</si>
  <si>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</si>
  <si>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</si>
  <si>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</si>
  <si>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</si>
  <si>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</si>
  <si>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</si>
  <si>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</si>
  <si>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</si>
  <si>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</si>
  <si>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</si>
  <si>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</si>
  <si>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</si>
  <si>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</si>
  <si>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</si>
  <si>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</si>
  <si>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</si>
  <si>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</si>
  <si>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</si>
  <si>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</si>
  <si>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</si>
  <si>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</si>
  <si>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</si>
  <si>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</si>
  <si>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</si>
  <si>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</si>
  <si>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</si>
  <si>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</si>
  <si>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</si>
  <si>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</si>
  <si>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</si>
  <si>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</si>
  <si>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</si>
  <si>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</si>
  <si>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</si>
  <si>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</si>
  <si>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</si>
  <si>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</si>
  <si>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</si>
  <si>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</si>
  <si>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</si>
  <si>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</si>
  <si>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</si>
  <si>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</si>
  <si>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</si>
  <si>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</si>
  <si>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</si>
  <si>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</si>
  <si>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</si>
  <si>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</si>
  <si>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</si>
  <si>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</si>
  <si>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</si>
  <si>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</si>
  <si>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</si>
  <si>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</si>
  <si>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</si>
  <si>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</si>
  <si>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</si>
  <si>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</si>
  <si>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</si>
  <si>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</si>
  <si>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</si>
  <si>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</si>
  <si>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</si>
  <si>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</si>
  <si>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</si>
  <si>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</si>
  <si>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</si>
  <si>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</si>
  <si>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</si>
  <si>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</si>
  <si>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</si>
  <si>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</si>
  <si>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</si>
  <si>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</si>
  <si>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</si>
  <si>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</si>
  <si>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</si>
  <si>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</si>
  <si>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</si>
  <si>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</si>
  <si>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</si>
  <si>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</si>
  <si>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</si>
  <si>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</si>
  <si>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</si>
  <si>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</si>
  <si>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</si>
  <si>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</si>
  <si>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</si>
  <si>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</si>
  <si>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</si>
  <si>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</si>
  <si>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</si>
  <si>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</si>
  <si>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</si>
  <si>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</si>
  <si>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</si>
  <si>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</si>
  <si>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</si>
  <si>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</si>
  <si>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</si>
  <si>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</si>
  <si>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</si>
  <si>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</si>
  <si>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</si>
  <si>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</si>
  <si>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</si>
  <si>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</si>
  <si>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</si>
  <si>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</si>
  <si>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</si>
  <si>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</si>
  <si>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</si>
  <si>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</si>
  <si>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</si>
  <si>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</si>
  <si>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</si>
  <si>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</si>
  <si>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</si>
  <si>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</si>
  <si>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</si>
  <si>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</si>
  <si>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</si>
  <si>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</si>
  <si>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</si>
  <si>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</si>
  <si>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</si>
  <si>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</si>
  <si>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</si>
  <si>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</si>
  <si>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</si>
  <si>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</si>
  <si>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</si>
  <si>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</si>
  <si>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</si>
  <si>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</si>
  <si>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</si>
  <si>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</si>
  <si>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</si>
  <si>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</si>
  <si>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</si>
  <si>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</si>
  <si>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</si>
  <si>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</si>
  <si>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</si>
  <si>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</si>
  <si>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</si>
  <si>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</si>
  <si>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</si>
  <si>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</si>
  <si>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</si>
  <si>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</si>
  <si>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</si>
  <si>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</si>
  <si>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</si>
  <si>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</si>
  <si>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</si>
  <si>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</si>
  <si>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</si>
  <si>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</si>
  <si>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</si>
  <si>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</si>
  <si>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</si>
  <si>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</si>
  <si>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</si>
  <si>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</si>
  <si>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</si>
  <si>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</si>
  <si>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</si>
  <si>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</si>
  <si>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</si>
  <si>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</si>
  <si>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</si>
  <si>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</si>
  <si>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</si>
  <si>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</si>
  <si>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</si>
  <si>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</si>
  <si>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</si>
  <si>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</si>
  <si>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</si>
  <si>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</si>
  <si>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</si>
  <si>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</si>
  <si>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</si>
  <si>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</si>
  <si>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</si>
  <si>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</si>
  <si>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</si>
  <si>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</si>
  <si>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</si>
  <si>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</si>
  <si>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</si>
  <si>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</si>
  <si>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</si>
  <si>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</si>
  <si>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</si>
  <si>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</si>
  <si>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</si>
  <si>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</si>
  <si>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</si>
  <si>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</si>
  <si>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</si>
  <si>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</si>
  <si>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</si>
  <si>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</si>
  <si>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</si>
  <si>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</si>
  <si>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</si>
  <si>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</si>
  <si>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</si>
  <si>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</si>
  <si>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</si>
  <si>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</si>
  <si>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</si>
  <si>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</si>
  <si>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</si>
  <si>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</si>
  <si>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</si>
  <si>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</si>
  <si>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</si>
  <si>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</si>
  <si>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</si>
  <si>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</si>
  <si>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</si>
  <si>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</si>
  <si>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</si>
  <si>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</si>
  <si>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</si>
  <si>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</si>
  <si>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</si>
  <si>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</si>
  <si>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</si>
  <si>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</si>
  <si>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</si>
  <si>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</si>
  <si>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</si>
  <si>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</si>
  <si>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</si>
  <si>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</si>
  <si>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</si>
  <si>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</si>
  <si>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</si>
  <si>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</si>
  <si>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</si>
  <si>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</si>
  <si>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</si>
  <si>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</si>
  <si>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</si>
  <si>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</si>
  <si>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</si>
  <si>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</si>
  <si>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</si>
  <si>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</si>
  <si>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</si>
  <si>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</si>
  <si>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</si>
  <si>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</si>
  <si>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</si>
  <si>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</si>
  <si>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</si>
  <si>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</si>
  <si>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</si>
  <si>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</si>
  <si>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</si>
  <si>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</si>
  <si>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</si>
  <si>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</si>
  <si>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</si>
  <si>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</si>
  <si>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</si>
  <si>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</si>
  <si>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</si>
  <si>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</si>
  <si>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</si>
  <si>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</si>
  <si>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</si>
  <si>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</si>
  <si>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</si>
  <si>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</si>
  <si>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</si>
  <si>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</si>
  <si>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</si>
  <si>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</si>
  <si>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</si>
  <si>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</si>
  <si>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</si>
  <si>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</si>
  <si>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</si>
  <si>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</si>
  <si>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</si>
  <si>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</si>
  <si>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</si>
  <si>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</si>
  <si>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</si>
  <si>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</si>
  <si>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</si>
  <si>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</si>
  <si>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</si>
  <si>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</si>
  <si>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</si>
  <si>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</si>
  <si>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</si>
  <si>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</si>
  <si>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</si>
  <si>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</si>
  <si>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</si>
  <si>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</si>
  <si>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</si>
  <si>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</si>
  <si>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</si>
  <si>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</si>
  <si>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</si>
  <si>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</si>
  <si>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</si>
  <si>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</si>
  <si>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</si>
  <si>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</si>
  <si>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</si>
  <si>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</si>
  <si>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</si>
  <si>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</si>
  <si>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</si>
  <si>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</si>
  <si>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</si>
  <si>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</si>
  <si>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</si>
  <si>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</si>
  <si>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</si>
  <si>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</si>
  <si>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</si>
  <si>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</si>
  <si>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</si>
  <si>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</si>
  <si>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</si>
  <si>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</si>
  <si>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</si>
  <si>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</si>
  <si>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</si>
  <si>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</si>
  <si>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</si>
  <si>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</si>
  <si>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</si>
  <si>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</si>
  <si>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</si>
  <si>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</si>
  <si>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</si>
  <si>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</si>
  <si>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</si>
  <si>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</si>
  <si>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</si>
  <si>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</si>
  <si>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</si>
  <si>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</si>
  <si>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</si>
  <si>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</si>
  <si>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</si>
  <si>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</si>
  <si>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</si>
  <si>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</si>
  <si>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</si>
  <si>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</si>
  <si>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</si>
  <si>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</si>
  <si>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</si>
  <si>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</si>
  <si>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</si>
  <si>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</si>
  <si>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</si>
  <si>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</si>
  <si>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</si>
  <si>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</si>
  <si>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</si>
  <si>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</si>
  <si>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</si>
  <si>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</si>
  <si>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</si>
  <si>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</si>
  <si>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</si>
  <si>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</si>
  <si>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</si>
  <si>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</si>
  <si>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</si>
  <si>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</si>
  <si>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</si>
  <si>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</si>
  <si>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</si>
  <si>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</si>
  <si>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</si>
  <si>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</si>
  <si>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</si>
  <si>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</si>
  <si>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</si>
  <si>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</si>
  <si>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</si>
  <si>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</si>
  <si>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</si>
  <si>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</si>
  <si>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</si>
  <si>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</si>
  <si>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</si>
  <si>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</si>
  <si>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</si>
  <si>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</si>
  <si>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</si>
  <si>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</si>
  <si>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</si>
  <si>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</si>
  <si>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</si>
  <si>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</si>
  <si>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</si>
  <si>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</si>
  <si>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</si>
  <si>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</si>
  <si>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</si>
  <si>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</si>
  <si>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</si>
  <si>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</si>
  <si>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</si>
  <si>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</si>
  <si>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</si>
  <si>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</si>
  <si>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</si>
  <si>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</si>
  <si>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</si>
  <si>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</si>
  <si>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</si>
  <si>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</si>
  <si>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</si>
  <si>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</si>
  <si>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</si>
  <si>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</si>
  <si>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</si>
  <si>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</si>
  <si>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</si>
  <si>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</si>
  <si>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</si>
  <si>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</si>
  <si>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</si>
  <si>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</si>
  <si>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</si>
  <si>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</si>
  <si>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</si>
  <si>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</si>
  <si>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</si>
  <si>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</si>
  <si>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</si>
  <si>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</si>
  <si>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</si>
  <si>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</si>
  <si>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</si>
  <si>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</si>
  <si>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</si>
  <si>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</si>
  <si>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</si>
  <si>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</si>
  <si>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</si>
  <si>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</si>
  <si>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</si>
  <si>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</si>
  <si>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</si>
  <si>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</si>
  <si>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</si>
  <si>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</si>
  <si>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</si>
  <si>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</si>
  <si>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</si>
  <si>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</si>
  <si>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</si>
  <si>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</si>
  <si>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</si>
  <si>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</si>
  <si>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</si>
  <si>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</si>
  <si>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</si>
  <si>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</si>
  <si>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</si>
  <si>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</si>
  <si>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</si>
  <si>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</si>
  <si>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</si>
  <si>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</si>
  <si>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</si>
  <si>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</si>
  <si>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</si>
  <si>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</si>
  <si>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</si>
  <si>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</si>
  <si>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</si>
  <si>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</si>
  <si>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</si>
  <si>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</si>
  <si>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</si>
  <si>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</si>
  <si>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</si>
  <si>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</si>
  <si>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</si>
  <si>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</si>
  <si>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</si>
  <si>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</si>
  <si>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</si>
  <si>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</si>
  <si>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</si>
  <si>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</si>
  <si>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</si>
  <si>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</si>
  <si>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</si>
  <si>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</si>
  <si>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</si>
  <si>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</si>
  <si>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</si>
  <si>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</si>
  <si>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</si>
  <si>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</si>
  <si>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</si>
  <si>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</si>
  <si>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</si>
  <si>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</si>
  <si>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</si>
  <si>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</si>
  <si>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</si>
  <si>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</si>
  <si>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</si>
  <si>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</si>
  <si>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</si>
  <si>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</si>
  <si>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</si>
  <si>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</si>
  <si>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</si>
  <si>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</si>
  <si>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</si>
  <si>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</si>
  <si>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</si>
  <si>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</si>
  <si>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</si>
  <si>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</si>
  <si>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</si>
  <si>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</si>
  <si>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</si>
  <si>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</si>
  <si>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</si>
  <si>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</si>
  <si>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</si>
  <si>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</si>
  <si>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</si>
  <si>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</si>
  <si>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</si>
  <si>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</si>
  <si>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</si>
  <si>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</si>
  <si>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</si>
  <si>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</si>
  <si>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</si>
  <si>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</si>
  <si>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</si>
  <si>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</si>
  <si>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</si>
  <si>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</si>
  <si>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</si>
  <si>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</si>
  <si>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</si>
  <si>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</si>
  <si>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</si>
  <si>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</si>
  <si>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</si>
  <si>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</si>
  <si>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</si>
  <si>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</si>
  <si>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</si>
  <si>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</si>
  <si>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</si>
  <si>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</si>
  <si>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</si>
  <si>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</si>
  <si>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</si>
  <si>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</si>
  <si>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</si>
  <si>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</si>
  <si>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</si>
  <si>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</si>
  <si>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</si>
  <si>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</si>
  <si>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</si>
  <si>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</si>
  <si>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</si>
  <si>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</si>
  <si>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</si>
  <si>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</si>
  <si>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</si>
  <si>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</si>
  <si>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</si>
  <si>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</si>
  <si>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</si>
  <si>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</si>
  <si>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</si>
  <si>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</si>
  <si>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</si>
  <si>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</si>
  <si>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</si>
  <si>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</si>
  <si>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</si>
  <si>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</si>
  <si>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</si>
  <si>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</si>
  <si>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</si>
  <si>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</si>
  <si>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</si>
  <si>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</si>
  <si>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</si>
  <si>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</si>
  <si>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</si>
  <si>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</si>
  <si>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</si>
  <si>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</si>
  <si>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</si>
  <si>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</si>
  <si>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</si>
  <si>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</si>
  <si>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</si>
  <si>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</si>
  <si>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</si>
  <si>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</si>
  <si>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</si>
  <si>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</si>
  <si>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</si>
  <si>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</si>
  <si>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</si>
  <si>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</si>
  <si>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</si>
  <si>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</si>
  <si>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</si>
  <si>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</si>
  <si>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</si>
  <si>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</si>
  <si>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</si>
  <si>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</si>
  <si>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</si>
  <si>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</si>
  <si>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</si>
  <si>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</si>
  <si>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</si>
  <si>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</si>
  <si>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</si>
  <si>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</si>
  <si>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</si>
  <si>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</si>
  <si>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</si>
  <si>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</si>
  <si>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</si>
  <si>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</si>
  <si>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</si>
  <si>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</si>
  <si>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</si>
  <si>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</si>
  <si>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</si>
  <si>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</si>
  <si>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</si>
  <si>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</si>
  <si>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</si>
  <si>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</si>
  <si>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</si>
  <si>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</si>
  <si>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</si>
  <si>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</si>
  <si>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</si>
  <si>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</si>
  <si>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</si>
  <si>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</si>
  <si>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</si>
  <si>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</si>
  <si>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</si>
  <si>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</si>
  <si>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</si>
  <si>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</si>
  <si>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</si>
  <si>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</si>
  <si>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</si>
  <si>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</si>
  <si>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</si>
  <si>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</si>
  <si>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</si>
  <si>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</si>
  <si>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</si>
  <si>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</si>
  <si>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</si>
  <si>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</si>
  <si>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</si>
  <si>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</si>
  <si>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</si>
  <si>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</si>
  <si>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</si>
  <si>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</si>
  <si>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</si>
  <si>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</si>
  <si>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</si>
  <si>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</si>
  <si>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</si>
  <si>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</si>
  <si>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</si>
  <si>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</si>
  <si>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</si>
  <si>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</si>
  <si>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</si>
  <si>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</si>
  <si>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</si>
  <si>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</si>
  <si>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</si>
  <si>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</si>
  <si>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</si>
  <si>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</si>
  <si>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</si>
  <si>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</si>
  <si>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</si>
  <si>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</si>
  <si>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</si>
  <si>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</si>
  <si>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</si>
  <si>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</si>
  <si>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</si>
  <si>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</si>
  <si>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</si>
  <si>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</si>
  <si>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</si>
  <si>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</si>
  <si>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</si>
  <si>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</si>
  <si>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</si>
  <si>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</si>
  <si>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</si>
  <si>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</si>
  <si>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</si>
  <si>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</si>
  <si>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</si>
  <si>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</si>
  <si>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</si>
  <si>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</si>
  <si>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</si>
  <si>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</si>
  <si>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</si>
  <si>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</si>
  <si>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</si>
  <si>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</si>
  <si>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</si>
  <si>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</si>
  <si>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</si>
  <si>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</si>
  <si>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</si>
  <si>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</si>
  <si>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</si>
  <si>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</si>
  <si>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</si>
  <si>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</si>
  <si>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</si>
  <si>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</si>
  <si>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</si>
  <si>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</si>
  <si>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</si>
  <si>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</si>
  <si>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</si>
  <si>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</si>
  <si>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</si>
  <si>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</si>
  <si>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</si>
  <si>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</si>
  <si>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</si>
  <si>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</si>
  <si>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</si>
  <si>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</si>
  <si>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</si>
  <si>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</si>
  <si>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</si>
  <si>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</si>
  <si>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</si>
  <si>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</si>
  <si>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</si>
  <si>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</si>
  <si>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</si>
  <si>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</si>
  <si>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</si>
  <si>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</si>
  <si>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</si>
  <si>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</si>
  <si>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</si>
  <si>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</si>
  <si>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</si>
  <si>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</si>
  <si>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</si>
  <si>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</si>
  <si>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</si>
  <si>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</si>
  <si>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</si>
  <si>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</si>
  <si>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</si>
  <si>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</si>
  <si>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</si>
  <si>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</si>
  <si>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</si>
  <si>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</si>
  <si>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</si>
  <si>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</si>
  <si>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</si>
  <si>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</si>
  <si>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</si>
  <si>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</si>
  <si>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</si>
  <si>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</si>
  <si>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</si>
  <si>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</si>
  <si>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</si>
  <si>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</si>
  <si>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</si>
  <si>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</si>
  <si>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</si>
  <si>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</si>
  <si>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</si>
  <si>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</si>
  <si>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</si>
  <si>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</si>
  <si>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</si>
  <si>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</si>
  <si>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</si>
  <si>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</si>
  <si>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</si>
  <si>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</si>
  <si>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</si>
  <si>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</si>
  <si>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</si>
  <si>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</si>
  <si>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</si>
  <si>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</si>
  <si>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</si>
  <si>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</si>
  <si>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</si>
  <si>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</si>
  <si>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</si>
  <si>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</si>
  <si>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</si>
  <si>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</si>
  <si>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</si>
  <si>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</si>
  <si>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</si>
  <si>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</si>
  <si>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</si>
  <si>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</si>
  <si>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</si>
  <si>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</si>
  <si>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</si>
  <si>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</si>
  <si>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</si>
  <si>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</si>
  <si>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</si>
  <si>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</si>
  <si>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</si>
  <si>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</si>
  <si>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</si>
  <si>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</si>
  <si>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</si>
  <si>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</si>
  <si>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</si>
  <si>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</si>
  <si>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</si>
  <si>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</si>
  <si>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</si>
  <si>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</si>
  <si>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</si>
  <si>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</si>
  <si>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</si>
  <si>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</si>
  <si>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</si>
  <si>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</si>
  <si>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</si>
  <si>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</si>
  <si>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</si>
  <si>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</si>
  <si>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</si>
  <si>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</si>
  <si>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</si>
  <si>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</si>
  <si>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</si>
  <si>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</si>
  <si>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</si>
  <si>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</si>
  <si>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</si>
  <si>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</si>
  <si>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</si>
  <si>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</si>
  <si>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</si>
  <si>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</si>
  <si>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</si>
  <si>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</si>
  <si>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</si>
  <si>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</si>
  <si>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</si>
  <si>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</si>
  <si>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</si>
  <si>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</si>
  <si>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</si>
  <si>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</si>
  <si>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</si>
  <si>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</si>
  <si>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</si>
  <si>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</si>
  <si>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</si>
  <si>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</si>
  <si>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</si>
  <si>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</si>
  <si>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</si>
  <si>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</si>
  <si>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</si>
  <si>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</si>
  <si>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</si>
  <si>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</si>
  <si>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</si>
  <si>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</si>
  <si>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</si>
  <si>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</si>
  <si>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</si>
  <si>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</si>
  <si>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</si>
  <si>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</si>
  <si>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</si>
  <si>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</si>
  <si>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</si>
  <si>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</si>
  <si>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</si>
  <si>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</si>
  <si>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</si>
  <si>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</si>
  <si>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</si>
  <si>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</si>
  <si>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</si>
  <si>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</si>
  <si>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</si>
  <si>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</si>
  <si>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</si>
  <si>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</si>
  <si>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</si>
  <si>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</si>
  <si>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</si>
  <si>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</si>
  <si>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</si>
  <si>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</si>
  <si>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</si>
  <si>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</si>
  <si>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</si>
  <si>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</si>
  <si>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</si>
  <si>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</si>
  <si>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</si>
  <si>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</si>
  <si>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</si>
  <si>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</si>
  <si>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</si>
  <si>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</si>
  <si>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</si>
  <si>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</si>
  <si>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</si>
  <si>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</si>
  <si>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</si>
  <si>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</si>
  <si>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</si>
  <si>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</si>
  <si>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</si>
  <si>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</si>
  <si>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</si>
  <si>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</si>
  <si>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</si>
  <si>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</si>
  <si>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</si>
  <si>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</si>
  <si>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</si>
  <si>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</si>
  <si>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</si>
  <si>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</si>
  <si>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</si>
  <si>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</si>
  <si>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</si>
  <si>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</si>
  <si>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</si>
  <si>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</si>
  <si>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</si>
  <si>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</si>
  <si>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</si>
  <si>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</si>
  <si>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</si>
  <si>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</si>
  <si>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</si>
  <si>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</si>
  <si>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</si>
  <si>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</si>
  <si>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</si>
  <si>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</si>
  <si>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</si>
  <si>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</si>
  <si>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</si>
  <si>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</si>
  <si>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</si>
  <si>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</si>
  <si>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</si>
  <si>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</si>
  <si>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</si>
  <si>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</si>
  <si>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</si>
  <si>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</si>
  <si>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</si>
  <si>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</si>
  <si>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</si>
  <si>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</si>
  <si>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</si>
  <si>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</si>
  <si>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</si>
  <si>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</si>
  <si>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</si>
  <si>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</si>
  <si>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</si>
  <si>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</si>
  <si>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</si>
  <si>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</si>
  <si>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</si>
  <si>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</si>
  <si>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</si>
  <si>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</si>
  <si>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</si>
  <si>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</si>
  <si>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</si>
  <si>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</si>
  <si>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</si>
  <si>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</si>
  <si>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</si>
  <si>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</si>
  <si>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</si>
  <si>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</si>
  <si>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</si>
  <si>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</si>
  <si>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</si>
  <si>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</si>
  <si>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</si>
  <si>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</si>
  <si>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</si>
  <si>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</si>
  <si>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</si>
  <si>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</si>
  <si>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</si>
  <si>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</si>
  <si>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</si>
  <si>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</si>
  <si>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</si>
  <si>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</si>
  <si>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</si>
  <si>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</si>
  <si>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</si>
  <si>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</si>
  <si>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</si>
  <si>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</si>
  <si>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</si>
  <si>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</si>
  <si>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</si>
  <si>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</si>
  <si>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</si>
  <si>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</si>
  <si>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</si>
  <si>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</si>
  <si>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</si>
  <si>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</si>
  <si>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</si>
  <si>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</si>
  <si>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</si>
  <si>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</si>
  <si>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</si>
  <si>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</si>
  <si>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</si>
  <si>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</si>
  <si>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</si>
  <si>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</si>
  <si>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</si>
  <si>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</si>
  <si>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</si>
  <si>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</si>
  <si>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</si>
  <si>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</si>
  <si>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</si>
  <si>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</si>
  <si>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</si>
  <si>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</si>
  <si>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</si>
  <si>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</si>
  <si>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</si>
  <si>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</si>
  <si>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</si>
  <si>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</si>
  <si>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</si>
  <si>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</si>
  <si>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</si>
  <si>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</si>
  <si>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</si>
  <si>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</si>
  <si>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</si>
  <si>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</si>
  <si>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</si>
  <si>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</si>
  <si>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</si>
  <si>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</si>
  <si>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</si>
  <si>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</si>
  <si>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</si>
  <si>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</si>
  <si>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</si>
  <si>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</si>
  <si>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</si>
  <si>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</si>
  <si>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</si>
  <si>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</si>
  <si>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</si>
  <si>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</si>
  <si>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</si>
  <si>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</si>
  <si>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</si>
  <si>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</si>
  <si>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</si>
  <si>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</si>
  <si>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</si>
  <si>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</si>
  <si>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</si>
  <si>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</si>
  <si>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</si>
  <si>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</si>
  <si>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</si>
  <si>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</si>
  <si>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</si>
  <si>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</si>
  <si>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</si>
  <si>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</si>
  <si>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</si>
  <si>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</si>
  <si>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</si>
  <si>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</si>
  <si>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</si>
  <si>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</si>
  <si>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</si>
  <si>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</si>
  <si>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</si>
  <si>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</si>
  <si>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</si>
  <si>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</si>
  <si>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</si>
  <si>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</si>
  <si>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</si>
  <si>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</si>
  <si>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</si>
  <si>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</si>
  <si>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</si>
  <si>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</si>
  <si>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</si>
  <si>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</si>
  <si>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</si>
  <si>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</si>
  <si>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</si>
  <si>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</si>
  <si>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</si>
  <si>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</si>
  <si>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</si>
  <si>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</si>
  <si>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</si>
  <si>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</si>
  <si>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</si>
  <si>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</si>
  <si>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</si>
  <si>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</si>
  <si>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</si>
  <si>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</si>
  <si>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</si>
  <si>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</si>
  <si>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</si>
  <si>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</si>
  <si>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</si>
  <si>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</si>
  <si>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</si>
  <si>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</si>
  <si>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</si>
  <si>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</si>
  <si>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</si>
  <si>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</si>
  <si>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</si>
  <si>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</si>
  <si>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</si>
  <si>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</si>
  <si>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</si>
  <si>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</si>
  <si>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</si>
  <si>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</si>
  <si>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</si>
  <si>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</si>
  <si>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</si>
  <si>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</si>
  <si>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</si>
  <si>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</si>
  <si>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</si>
  <si>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</si>
  <si>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</si>
  <si>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</si>
  <si>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</si>
  <si>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</si>
  <si>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</si>
  <si>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</si>
  <si>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</si>
  <si>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</si>
  <si>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</si>
  <si>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</si>
  <si>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</si>
  <si>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</si>
  <si>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</si>
  <si>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</si>
  <si>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</si>
  <si>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</si>
  <si>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</si>
  <si>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</si>
  <si>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</si>
  <si>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</si>
  <si>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</si>
  <si>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</si>
  <si>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</si>
  <si>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</si>
  <si>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</si>
  <si>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</si>
  <si>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</si>
  <si>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</si>
  <si>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</si>
  <si>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</si>
  <si>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</si>
  <si>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</si>
  <si>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</si>
  <si>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</si>
  <si>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</si>
  <si>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</si>
  <si>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</si>
  <si>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</si>
  <si>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</si>
  <si>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</si>
  <si>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</si>
  <si>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</si>
  <si>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</si>
  <si>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</si>
  <si>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</si>
  <si>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</si>
  <si>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</si>
  <si>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</si>
  <si>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</si>
  <si>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</si>
  <si>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</si>
  <si>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</si>
  <si>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</si>
  <si>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</si>
  <si>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</si>
  <si>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</si>
  <si>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</si>
  <si>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</si>
  <si>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</si>
  <si>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</si>
  <si>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</si>
  <si>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</si>
  <si>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</si>
  <si>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</si>
  <si>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</si>
  <si>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</si>
  <si>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</si>
  <si>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</si>
  <si>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</si>
  <si>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</si>
  <si>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</si>
  <si>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</si>
  <si>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</si>
  <si>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</si>
  <si>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</si>
  <si>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</si>
  <si>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</si>
  <si>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</si>
  <si>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</si>
  <si>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</si>
  <si>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</si>
  <si>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</si>
  <si>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</si>
  <si>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</si>
  <si>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</si>
  <si>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</si>
  <si>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</si>
  <si>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</si>
  <si>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</si>
  <si>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</si>
  <si>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</si>
  <si>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</si>
  <si>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</si>
  <si>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</si>
  <si>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</si>
  <si>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</si>
  <si>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</si>
  <si>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</si>
  <si>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</si>
  <si>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</si>
  <si>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</si>
  <si>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</si>
  <si>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</si>
  <si>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</si>
  <si>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</si>
  <si>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</si>
  <si>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</si>
  <si>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</si>
  <si>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</si>
  <si>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</si>
  <si>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</si>
  <si>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</si>
  <si>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</si>
  <si>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</si>
  <si>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</si>
  <si>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</si>
  <si>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</si>
  <si>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</si>
  <si>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</si>
  <si>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</si>
  <si>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</si>
  <si>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</si>
  <si>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</si>
  <si>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</si>
  <si>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</si>
  <si>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</si>
  <si>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</si>
  <si>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</si>
  <si>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</si>
  <si>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</si>
  <si>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</si>
  <si>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</si>
  <si>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</si>
  <si>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</si>
  <si>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</si>
  <si>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</si>
  <si>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</si>
  <si>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</si>
  <si>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</si>
  <si>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</si>
  <si>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</si>
  <si>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</si>
  <si>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</si>
  <si>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</si>
  <si>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</si>
  <si>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</si>
  <si>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</si>
  <si>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</si>
  <si>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</si>
  <si>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</si>
  <si>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</si>
  <si>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</si>
  <si>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</si>
  <si>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</si>
  <si>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</si>
  <si>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</si>
  <si>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</si>
  <si>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</si>
  <si>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</si>
  <si>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</si>
  <si>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</si>
  <si>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</si>
  <si>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</si>
  <si>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</si>
  <si>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</si>
  <si>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</si>
  <si>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</si>
  <si>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</si>
  <si>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</si>
  <si>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</si>
  <si>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</si>
  <si>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</si>
  <si>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</si>
  <si>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</si>
  <si>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</si>
  <si>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</si>
  <si>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</si>
  <si>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</si>
  <si>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</si>
  <si>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</si>
  <si>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</si>
  <si>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</si>
  <si>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</si>
  <si>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</si>
  <si>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</si>
  <si>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</si>
  <si>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</si>
  <si>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</si>
  <si>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</si>
  <si>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</si>
  <si>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</si>
  <si>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</si>
  <si>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</si>
  <si>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</si>
  <si>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</si>
  <si>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</si>
  <si>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</si>
  <si>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</si>
  <si>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</si>
  <si>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</si>
  <si>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</si>
  <si>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</si>
  <si>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</si>
  <si>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</si>
  <si>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</si>
  <si>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</si>
  <si>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</si>
  <si>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</si>
  <si>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</si>
  <si>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</si>
  <si>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</si>
  <si>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</si>
  <si>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</si>
  <si>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</si>
  <si>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</si>
  <si>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</si>
  <si>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</si>
  <si>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</si>
  <si>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</si>
  <si>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</si>
  <si>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</si>
  <si>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</si>
  <si>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</si>
  <si>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</si>
  <si>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</si>
  <si>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</si>
  <si>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</si>
  <si>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</si>
  <si>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</si>
  <si>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</si>
  <si>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</si>
  <si>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</si>
  <si>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</si>
  <si>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</si>
  <si>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</si>
  <si>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</si>
  <si>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</si>
  <si>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</si>
  <si>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</si>
  <si>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</si>
  <si>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</si>
  <si>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</si>
  <si>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</si>
  <si>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</si>
  <si>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</si>
  <si>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</si>
  <si>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</si>
  <si>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</si>
  <si>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</si>
  <si>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</si>
  <si>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</si>
  <si>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</si>
  <si>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</si>
  <si>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</si>
  <si>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</si>
  <si>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</si>
  <si>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</si>
  <si>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</si>
  <si>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</si>
  <si>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</si>
  <si>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</si>
  <si>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</si>
  <si>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</si>
  <si>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</si>
  <si>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</si>
  <si>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</si>
  <si>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</si>
  <si>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</si>
  <si>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</si>
  <si>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</si>
  <si>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</si>
  <si>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</si>
  <si>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</si>
  <si>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</si>
  <si>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</si>
  <si>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</si>
  <si>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</si>
  <si>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</si>
  <si>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</si>
  <si>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</si>
  <si>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</si>
  <si>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</si>
  <si>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</si>
  <si>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</si>
  <si>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</si>
  <si>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</si>
  <si>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</si>
  <si>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</si>
  <si>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</si>
  <si>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</si>
  <si>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</si>
  <si>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</si>
  <si>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</si>
  <si>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</si>
  <si>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</si>
  <si>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</si>
  <si>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</si>
  <si>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</si>
  <si>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</si>
  <si>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</si>
  <si>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</si>
  <si>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</si>
  <si>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</si>
  <si>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</si>
  <si>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</si>
  <si>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</si>
  <si>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</si>
  <si>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</si>
  <si>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</si>
  <si>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</si>
  <si>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</si>
  <si>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</si>
  <si>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</si>
  <si>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</si>
  <si>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</si>
  <si>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</si>
  <si>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</si>
  <si>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</si>
  <si>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</si>
  <si>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</si>
  <si>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</si>
  <si>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</si>
  <si>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</si>
  <si>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</si>
  <si>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</si>
  <si>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</si>
  <si>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</si>
  <si>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</si>
  <si>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</si>
  <si>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</si>
  <si>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</si>
  <si>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</si>
  <si>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</si>
  <si>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</si>
  <si>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</si>
  <si>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</si>
  <si>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</si>
  <si>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</si>
  <si>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</si>
  <si>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</si>
  <si>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</si>
  <si>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</si>
  <si>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</si>
  <si>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</si>
  <si>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</si>
  <si>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</si>
  <si>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</si>
  <si>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</si>
  <si>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</si>
  <si>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</si>
  <si>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</si>
  <si>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</si>
  <si>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</si>
  <si>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</si>
  <si>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</si>
  <si>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</si>
  <si>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</si>
  <si>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</si>
  <si>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</si>
  <si>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</si>
  <si>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</si>
  <si>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</si>
  <si>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</si>
  <si>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</si>
  <si>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</si>
  <si>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</si>
  <si>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</si>
  <si>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</si>
  <si>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</si>
  <si>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</si>
  <si>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</si>
  <si>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</si>
  <si>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</si>
  <si>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</si>
  <si>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</si>
  <si>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</si>
  <si>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</si>
  <si>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</si>
  <si>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</si>
  <si>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</si>
  <si>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</si>
  <si>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</si>
  <si>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</si>
  <si>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</si>
  <si>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</si>
  <si>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</si>
  <si>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</si>
  <si>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</si>
  <si>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</si>
  <si>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</si>
  <si>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</si>
  <si>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</si>
  <si>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</si>
  <si>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</si>
  <si>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</si>
  <si>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</si>
  <si>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</si>
  <si>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</si>
  <si>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</si>
  <si>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</si>
  <si>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</si>
  <si>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</si>
  <si>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</si>
  <si>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</si>
  <si>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</si>
  <si>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</si>
  <si>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</si>
  <si>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</si>
  <si>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</si>
  <si>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</si>
  <si>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</si>
  <si>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</si>
  <si>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</si>
  <si>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</si>
  <si>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</si>
  <si>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</si>
  <si>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</si>
  <si>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</si>
  <si>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</si>
  <si>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</si>
  <si>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</si>
  <si>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</si>
  <si>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</si>
  <si>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</si>
  <si>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</si>
  <si>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</si>
  <si>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</si>
  <si>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</si>
  <si>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</si>
  <si>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</si>
  <si>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</si>
  <si>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</si>
  <si>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</si>
  <si>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</si>
  <si>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</si>
  <si>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</si>
  <si>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</si>
  <si>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</si>
  <si>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</si>
  <si>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</si>
  <si>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</si>
  <si>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</si>
  <si>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</si>
  <si>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</si>
  <si>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</si>
  <si>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</si>
  <si>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</si>
  <si>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</si>
  <si>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</si>
  <si>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</si>
  <si>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</si>
  <si>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</si>
  <si>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</si>
  <si>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</si>
  <si>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</si>
  <si>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</si>
  <si>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</si>
  <si>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</si>
  <si>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</si>
  <si>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</si>
  <si>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</si>
  <si>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</si>
  <si>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</si>
  <si>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</si>
  <si>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</si>
  <si>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</si>
  <si>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</si>
  <si>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</si>
  <si>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</si>
  <si>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</si>
  <si>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</si>
  <si>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</si>
  <si>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</si>
  <si>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</si>
  <si>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</si>
  <si>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</si>
  <si>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</si>
  <si>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</si>
  <si>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</si>
  <si>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</si>
  <si>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</si>
  <si>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</si>
  <si>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</si>
  <si>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</si>
  <si>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</si>
  <si>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</si>
  <si>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</si>
  <si>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</si>
  <si>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</si>
  <si>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</si>
  <si>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</si>
  <si>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</si>
  <si>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</si>
  <si>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</si>
  <si>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</si>
  <si>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</si>
  <si>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</si>
  <si>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</si>
  <si>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</si>
  <si>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</si>
  <si>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</si>
  <si>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</si>
  <si>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</si>
  <si>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</si>
  <si>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</si>
  <si>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</si>
  <si>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</si>
  <si>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</si>
  <si>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</si>
  <si>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</si>
  <si>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</si>
  <si>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</si>
  <si>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</si>
  <si>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</si>
  <si>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</si>
  <si>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</si>
  <si>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</si>
  <si>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</si>
  <si>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</si>
  <si>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</si>
  <si>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</si>
  <si>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</si>
  <si>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</si>
  <si>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</si>
  <si>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</si>
  <si>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</si>
  <si>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</si>
  <si>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</si>
  <si>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</si>
  <si>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</si>
  <si>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</si>
  <si>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</si>
  <si>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</si>
  <si>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</si>
  <si>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</si>
  <si>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</si>
  <si>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</si>
  <si>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</si>
  <si>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</si>
  <si>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</si>
  <si>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</si>
  <si>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</si>
  <si>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</si>
  <si>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</si>
  <si>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</si>
  <si>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</si>
  <si>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</si>
  <si>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</si>
  <si>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</si>
  <si>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</si>
  <si>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</si>
  <si>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</si>
  <si>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</si>
  <si>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</si>
  <si>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</si>
  <si>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</si>
  <si>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</si>
  <si>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</si>
  <si>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</si>
  <si>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</si>
  <si>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</si>
  <si>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</si>
  <si>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</si>
  <si>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</si>
  <si>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</si>
  <si>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</si>
  <si>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</si>
  <si>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</si>
  <si>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</si>
  <si>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</si>
  <si>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</si>
  <si>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</si>
  <si>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</si>
  <si>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</si>
  <si>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</si>
  <si>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</si>
  <si>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</si>
  <si>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</si>
  <si>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</si>
  <si>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</si>
  <si>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</si>
  <si>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</si>
  <si>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</si>
  <si>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</si>
  <si>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</si>
  <si>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</si>
  <si>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</si>
  <si>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</si>
  <si>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</si>
  <si>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</si>
  <si>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</si>
  <si>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</si>
  <si>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</si>
  <si>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</si>
  <si>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</si>
  <si>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</si>
  <si>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</si>
  <si>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</si>
  <si>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</si>
  <si>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</si>
  <si>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</si>
  <si>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</si>
  <si>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</si>
  <si>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</si>
  <si>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</si>
  <si>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</si>
  <si>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</si>
  <si>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</si>
  <si>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</si>
  <si>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</si>
  <si>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</si>
  <si>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</si>
  <si>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</si>
  <si>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</si>
  <si>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</si>
  <si>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</si>
  <si>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</si>
  <si>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</si>
  <si>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</si>
  <si>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</si>
  <si>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</si>
  <si>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</si>
  <si>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</si>
  <si>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</si>
  <si>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</si>
  <si>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</si>
  <si>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</si>
  <si>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</si>
  <si>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</si>
  <si>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</si>
  <si>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</si>
  <si>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</si>
  <si>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</si>
  <si>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</si>
  <si>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</si>
  <si>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</si>
  <si>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</si>
  <si>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</si>
  <si>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</si>
  <si>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</si>
  <si>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</si>
  <si>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</si>
  <si>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</si>
  <si>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</si>
  <si>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</si>
  <si>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</si>
  <si>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</si>
  <si>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</si>
  <si>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</si>
  <si>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</si>
  <si>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</si>
  <si>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</si>
  <si>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</si>
  <si>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</si>
  <si>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</si>
  <si>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</si>
  <si>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</si>
  <si>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</si>
  <si>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</si>
  <si>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</si>
  <si>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</si>
  <si>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</si>
  <si>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</si>
  <si>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</si>
  <si>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</si>
  <si>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</si>
  <si>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</si>
  <si>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</si>
  <si>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</si>
  <si>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</si>
  <si>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</si>
  <si>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</si>
  <si>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</si>
  <si>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</si>
  <si>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</si>
  <si>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</si>
  <si>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</si>
  <si>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</si>
  <si>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</si>
  <si>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</si>
  <si>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</si>
  <si>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</si>
  <si>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</si>
  <si>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</si>
  <si>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</si>
  <si>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</si>
  <si>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</si>
  <si>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</si>
  <si>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</si>
  <si>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</si>
  <si>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</si>
  <si>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</si>
  <si>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</si>
  <si>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</si>
  <si>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</si>
  <si>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</si>
  <si>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</si>
  <si>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</si>
  <si>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</si>
  <si>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</si>
  <si>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</si>
  <si>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</si>
  <si>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</si>
  <si>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</si>
  <si>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LAKE</t>
  </si>
  <si>
    <t>MUNDELEIN ELEMENTARY SCHOOL DISTRICT NO. 75</t>
  </si>
  <si>
    <t>470 NORTH LAKE STREET</t>
  </si>
  <si>
    <t>MUNDELEIN</t>
  </si>
  <si>
    <t>TRANCAK@D75.ORG</t>
  </si>
  <si>
    <t>EVANS, MARSHALL &amp; PEASE, P.C.</t>
  </si>
  <si>
    <t>JEFFERY M. ROLLEFSON, CPA</t>
  </si>
  <si>
    <t>1875 HICKS ROAD</t>
  </si>
  <si>
    <t>ROLLING MEADOWS</t>
  </si>
  <si>
    <t>IL</t>
  </si>
  <si>
    <t>847-221-5700</t>
  </si>
  <si>
    <t>847-221-5701</t>
  </si>
  <si>
    <t>060-003973</t>
  </si>
  <si>
    <t>JEFF@EMPCPA.COM</t>
  </si>
  <si>
    <t>CAPITAL APPRECIATION BONDS</t>
  </si>
  <si>
    <t>DEBT CERTIFICATE</t>
  </si>
  <si>
    <t>BUILDING BONDS</t>
  </si>
  <si>
    <t>GENERAL OBLIGATION BONDS</t>
  </si>
  <si>
    <t>SEDOL DEBT PAYMENT</t>
  </si>
  <si>
    <t xml:space="preserve">    CAB's maturing in the current year versus accretion which is not reported ($495,141), and SEDOL revenue ($20,110).</t>
  </si>
  <si>
    <t>Differences in "Short-Term Long-Term Debt 24" include bonds refunded (-$1,415,000), difference between principal payments on</t>
  </si>
  <si>
    <r>
      <t xml:space="preserve">The accompanying Schedule of Expenditures of Federal Awards includes the federal grant activity of </t>
    </r>
    <r>
      <rPr>
        <b/>
        <sz val="9"/>
        <rFont val="Calibri"/>
        <family val="2"/>
        <scheme val="minor"/>
      </rPr>
      <t xml:space="preserve">Mundelein Elementary School District No. 75 </t>
    </r>
    <r>
      <rPr>
        <sz val="9"/>
        <rFont val="Calibri"/>
        <family val="2"/>
        <scheme val="minor"/>
      </rPr>
      <t xml:space="preserve">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</si>
  <si>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</si>
  <si>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SD 120</t>
  </si>
  <si>
    <t>SD 73 &amp; SD 79; TRI-DISTRICT CHILDHOOD CENTER</t>
  </si>
  <si>
    <t>NIHIP, SELF</t>
  </si>
  <si>
    <t>IUPC COOPERATIVE</t>
  </si>
  <si>
    <t>SEDOL</t>
  </si>
  <si>
    <t>SD 120 CS FIELDS; MUDELEIN PARK DISTRICT PLAYGROUND</t>
  </si>
  <si>
    <t>CLIC</t>
  </si>
  <si>
    <t>PMA</t>
  </si>
  <si>
    <t>SD 73, SD 79, SD 95, SD 116 &amp; SD120</t>
  </si>
  <si>
    <t>LAKE COUNTY ROE, NIRRC; VILLAGE OF MUNDELEIN POLICE</t>
  </si>
  <si>
    <t>SD 75 STEAM FOUNDATION - INNOVATION STATION</t>
  </si>
  <si>
    <t>SD 120 REG ED, FREMONT SD 79 SP ED</t>
  </si>
  <si>
    <t>MUNDELEIN REC DIST GYM BEFORE/AFTER SCHOOL</t>
  </si>
  <si>
    <t>O&amp;M-Operation &amp; Maintenance of Plant Services-Purchased Services</t>
  </si>
  <si>
    <t>20-2540-300</t>
  </si>
  <si>
    <t>Cabinet Creations Plus</t>
  </si>
  <si>
    <t>Ed-Food Services-Purchased Services</t>
  </si>
  <si>
    <t>10-2560-300</t>
  </si>
  <si>
    <t>ChartWells</t>
  </si>
  <si>
    <t>TR-Pupil Transportation Services-Purchases Services</t>
  </si>
  <si>
    <t>40-2550-300</t>
  </si>
  <si>
    <t>Durham School Services</t>
  </si>
  <si>
    <t>GCA Services Group</t>
  </si>
  <si>
    <t>10-2100-300</t>
  </si>
  <si>
    <t>Beth Moffitt</t>
  </si>
  <si>
    <t>10-2660-300</t>
  </si>
  <si>
    <t>ED-Speech Pathology &amp; Audiology Services-Purchased Services</t>
  </si>
  <si>
    <t>ED-Data Processing Services-Purchased Services</t>
  </si>
  <si>
    <t>Mundelein High School District 120</t>
  </si>
  <si>
    <t>Fremont School District 7</t>
  </si>
  <si>
    <r>
      <t xml:space="preserve">The following amounts were expended in the form of non-cash assistance by </t>
    </r>
    <r>
      <rPr>
        <b/>
        <sz val="9"/>
        <rFont val="Calibri"/>
        <family val="2"/>
        <scheme val="minor"/>
      </rPr>
      <t>Mundelein Elementary School District No. 75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</si>
  <si>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EDUCATION</t>
  </si>
  <si>
    <t>PASSED THROUGH THE ILLINOIS STATE BOARD OF EDUCATION</t>
  </si>
  <si>
    <t>TITLE I - LOW INCOME</t>
  </si>
  <si>
    <t xml:space="preserve">  TITLE II - TEACHER QUALITY</t>
  </si>
  <si>
    <t xml:space="preserve"> TITLE II - TEACHER QUALITY</t>
  </si>
  <si>
    <t>TITLE III - LANGUAGE INSTRUCTION PROGRAM</t>
  </si>
  <si>
    <t>84.010A</t>
  </si>
  <si>
    <t>17-4300-00</t>
  </si>
  <si>
    <t>18-4300-00</t>
  </si>
  <si>
    <t>PROG. END 8/31</t>
  </si>
  <si>
    <t>84.367A</t>
  </si>
  <si>
    <t>17-4932-00</t>
  </si>
  <si>
    <t>18-4932-00</t>
  </si>
  <si>
    <t>84.365A</t>
  </si>
  <si>
    <t>17-4909-00</t>
  </si>
  <si>
    <t>18-4909-00</t>
  </si>
  <si>
    <t>PASSED THROUGH THE SPECIAL EDUCATION DISTRICT  OF LAKE COUNTY</t>
  </si>
  <si>
    <t>IDEA PRESCHOOL FLOW THROUGH</t>
  </si>
  <si>
    <t>IDEA FLOW THROUGH</t>
  </si>
  <si>
    <t>TOTAL US DEPARTMENT OF EDUCATION</t>
  </si>
  <si>
    <t>84.173A</t>
  </si>
  <si>
    <t>17-4600-00</t>
  </si>
  <si>
    <t>N/A</t>
  </si>
  <si>
    <t>84-173A</t>
  </si>
  <si>
    <t>18-4600-00</t>
  </si>
  <si>
    <t>84.027A</t>
  </si>
  <si>
    <t>17-4620-00</t>
  </si>
  <si>
    <t>18-4620-00</t>
  </si>
  <si>
    <t>US DEPARTMENT OF HEALTH AND HUMAN SERVICES</t>
  </si>
  <si>
    <t>PASSED THROUGH THE ILLINOIS DEPARTMENT OF HEALTHCARE AND FAMILY SERVICES</t>
  </si>
  <si>
    <t>MEDICAID - ADMINISTRATIVE OUTREACH</t>
  </si>
  <si>
    <t>TOTAL US DEPARTMENT OF HEALTH AND HUMAN SERVICES</t>
  </si>
  <si>
    <t>17-4991-00</t>
  </si>
  <si>
    <t>18-4991-00</t>
  </si>
  <si>
    <t>US DEPARTMENT OF AGRICULTURE</t>
  </si>
  <si>
    <t>COMMODITIES (NON-CASH)</t>
  </si>
  <si>
    <t>DOD FRESH FRUITS AND VEGETABLES (NON-CASH)</t>
  </si>
  <si>
    <t>NATIONAL SCHOOL LUNCH</t>
  </si>
  <si>
    <t>SCHOOL BREAKFAST</t>
  </si>
  <si>
    <t>TOTAL US DEPARTMENT OF AGRICULTURE</t>
  </si>
  <si>
    <t>FY 2018</t>
  </si>
  <si>
    <t>17-4210-00</t>
  </si>
  <si>
    <t>18-4210-00</t>
  </si>
  <si>
    <t>17-4220-00</t>
  </si>
  <si>
    <t>18-4220-00</t>
  </si>
  <si>
    <t>TOTAL FEDERAL AWARDS</t>
  </si>
  <si>
    <t>Unmodified</t>
  </si>
  <si>
    <t>IDEA PRESCHOOL FLOW THROUGH (M)</t>
  </si>
  <si>
    <t>IDEA FLOW THROUGH (M)</t>
  </si>
  <si>
    <t>UNMODIFIED</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</si>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</sst>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3</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1466850</xdr:colOff>
          <xdr:row>0</xdr:row>
          <xdr:rowOff>57150</xdr:rowOff>
        </xdr:from>
        <xdr:to>
          <xdr:col>1</xdr:col>
          <xdr:colOff>2381250</xdr:colOff>
          <xdr:row>4</xdr:row>
          <xdr:rowOff>47625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2075</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t="s">
        <v>2075</v>
      </c>
      <c r="P12" s="100" t="s">
        <v>211</v>
      </c>
      <c r="Q12" s="74"/>
      <c r="R12" s="30"/>
      <c r="S12" s="30"/>
      <c r="T12" s="85" t="s">
        <v>283</v>
      </c>
      <c r="U12" s="51"/>
      <c r="V12" s="51"/>
      <c r="W12" s="51"/>
      <c r="X12" s="51"/>
      <c r="Y12" s="45"/>
      <c r="Z12" s="45"/>
      <c r="AA12" s="46"/>
    </row>
    <row r="13" spans="1:28" ht="13.5" customHeight="1" x14ac:dyDescent="0.2">
      <c r="A13" s="2036">
        <v>34049075002</v>
      </c>
      <c r="B13" s="2037"/>
      <c r="C13" s="2037"/>
      <c r="D13" s="2037"/>
      <c r="E13" s="2037"/>
      <c r="F13" s="2037"/>
      <c r="G13" s="2037"/>
      <c r="H13" s="2038"/>
      <c r="I13" s="31"/>
      <c r="J13" s="30"/>
      <c r="K13" s="28"/>
      <c r="L13" s="30"/>
      <c r="M13" s="30"/>
      <c r="N13" s="30"/>
      <c r="O13" s="30"/>
      <c r="P13" s="30"/>
      <c r="Q13" s="30"/>
      <c r="R13" s="30"/>
      <c r="S13" s="30"/>
      <c r="T13" s="2041" t="s">
        <v>2081</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2076</v>
      </c>
      <c r="B15" s="2039"/>
      <c r="C15" s="2039"/>
      <c r="D15" s="2039"/>
      <c r="E15" s="2039"/>
      <c r="F15" s="2039"/>
      <c r="G15" s="2039"/>
      <c r="H15" s="2040"/>
      <c r="T15" s="2045" t="s">
        <v>2082</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2077</v>
      </c>
      <c r="B17" s="1996"/>
      <c r="C17" s="1996"/>
      <c r="D17" s="1996"/>
      <c r="E17" s="1996"/>
      <c r="F17" s="1996"/>
      <c r="G17" s="1996"/>
      <c r="H17" s="2021"/>
      <c r="T17" s="2052" t="s">
        <v>2083</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2078</v>
      </c>
      <c r="B19" s="1981"/>
      <c r="C19" s="1981"/>
      <c r="D19" s="1981"/>
      <c r="E19" s="1981"/>
      <c r="F19" s="1981"/>
      <c r="G19" s="1981"/>
      <c r="H19" s="1961"/>
      <c r="I19" s="30"/>
      <c r="J19" s="99"/>
      <c r="K19" s="40"/>
      <c r="L19" s="38"/>
      <c r="M19" s="112" t="s">
        <v>333</v>
      </c>
      <c r="P19" s="27"/>
      <c r="Q19" s="27"/>
      <c r="R19" s="27"/>
      <c r="S19" s="31"/>
      <c r="T19" s="2035" t="s">
        <v>2084</v>
      </c>
      <c r="U19" s="1960"/>
      <c r="V19" s="1960"/>
      <c r="W19" s="1961"/>
      <c r="X19" s="2050" t="s">
        <v>2085</v>
      </c>
      <c r="Y19" s="2051"/>
      <c r="Z19" s="2048">
        <v>60008</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2079</v>
      </c>
      <c r="B21" s="1960"/>
      <c r="C21" s="1960"/>
      <c r="D21" s="1960"/>
      <c r="E21" s="1960"/>
      <c r="F21" s="1960"/>
      <c r="G21" s="1960"/>
      <c r="H21" s="1961"/>
      <c r="I21" s="2015" t="s">
        <v>699</v>
      </c>
      <c r="J21" s="2010"/>
      <c r="K21" s="2010"/>
      <c r="L21" s="2010"/>
      <c r="M21" s="2010"/>
      <c r="N21" s="2010"/>
      <c r="O21" s="2010"/>
      <c r="P21" s="2010"/>
      <c r="Q21" s="2010"/>
      <c r="R21" s="2010"/>
      <c r="S21" s="2016"/>
      <c r="T21" s="2059" t="s">
        <v>2086</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2080</v>
      </c>
      <c r="B23" s="2013"/>
      <c r="C23" s="2013"/>
      <c r="D23" s="2013"/>
      <c r="E23" s="2013"/>
      <c r="F23" s="2013"/>
      <c r="G23" s="2013"/>
      <c r="H23" s="2014"/>
      <c r="T23" s="1995" t="s">
        <v>2088</v>
      </c>
      <c r="U23" s="2058"/>
      <c r="V23" s="2058"/>
      <c r="W23" s="2058"/>
      <c r="X23" s="2062">
        <v>43466</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60060</v>
      </c>
      <c r="B25" s="1960"/>
      <c r="C25" s="1960"/>
      <c r="D25" s="1960"/>
      <c r="E25" s="1960"/>
      <c r="F25" s="1960"/>
      <c r="G25" s="1960"/>
      <c r="H25" s="1961"/>
      <c r="I25" s="113"/>
      <c r="J25" s="1984"/>
      <c r="K25" s="1984"/>
      <c r="L25" s="1984"/>
      <c r="M25" s="1984"/>
      <c r="N25" s="1984"/>
      <c r="O25" s="1984"/>
      <c r="P25" s="1984"/>
      <c r="Q25" s="1984"/>
      <c r="R25" s="1984"/>
      <c r="S25" s="1985"/>
      <c r="T25" s="2055" t="s">
        <v>2089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2075</v>
      </c>
      <c r="F29" s="141" t="s">
        <v>1383</v>
      </c>
      <c r="G29" s="114"/>
      <c r="I29" s="54"/>
      <c r="J29" s="148"/>
      <c r="K29" s="28" t="s">
        <v>597</v>
      </c>
      <c r="L29" s="148" t="s">
        <v>2075</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c r="K30" s="28" t="s">
        <v>597</v>
      </c>
      <c r="L30" s="148" t="s">
        <v>2075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5" sqref="A15:H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1903</v>
      </c>
      <c r="B2" s="1550" t="s">
        <v>2033</v>
      </c>
      <c r="C2" s="715" t="s">
        <v>1908</v>
      </c>
      <c r="D2" s="715" t="s">
        <v>1909</v>
      </c>
      <c r="E2" s="715" t="s">
        <v>1910</v>
      </c>
      <c r="F2" s="715" t="s">
        <v>1911</v>
      </c>
    </row>
    <row r="3" spans="1:6" ht="12" customHeight="1" x14ac:dyDescent="0.2">
      <c r="A3" s="2202"/>
      <c r="B3" s="1547"/>
      <c r="C3" s="1548"/>
      <c r="D3" s="1549" t="s">
        <v>274</v>
      </c>
      <c r="E3" s="1548"/>
      <c r="F3" s="1549" t="s">
        <v>275</v>
      </c>
    </row>
    <row r="4" spans="1:6" ht="13.7" customHeight="1" x14ac:dyDescent="0.2">
      <c r="A4" s="716" t="s">
        <v>1217</v>
      </c>
      <c r="B4" s="1771">
        <f>'Revenues 9-14'!C5</f>
        <v>10925632</v>
      </c>
      <c r="C4" s="1546">
        <v>0</v>
      </c>
      <c r="D4" s="1774">
        <f>B4-C4</f>
        <v>10925632</v>
      </c>
      <c r="E4" s="1546">
        <v>11903320</v>
      </c>
      <c r="F4" s="1774">
        <f>E4-C4</f>
        <v>11903320</v>
      </c>
    </row>
    <row r="5" spans="1:6" ht="13.7" customHeight="1" x14ac:dyDescent="0.2">
      <c r="A5" s="716" t="s">
        <v>925</v>
      </c>
      <c r="B5" s="1772">
        <f>'Revenues 9-14'!D5</f>
        <v>1716237</v>
      </c>
      <c r="C5" s="585">
        <v>0</v>
      </c>
      <c r="D5" s="1775">
        <f t="shared" ref="D5:D18" si="0">B5-C5</f>
        <v>1716237</v>
      </c>
      <c r="E5" s="585">
        <v>1099999</v>
      </c>
      <c r="F5" s="1775">
        <f>E5-C5</f>
        <v>1099999</v>
      </c>
    </row>
    <row r="6" spans="1:6" ht="13.7" customHeight="1" x14ac:dyDescent="0.2">
      <c r="A6" s="716" t="s">
        <v>431</v>
      </c>
      <c r="B6" s="1772">
        <f>'Revenues 9-14'!E5</f>
        <v>1491933</v>
      </c>
      <c r="C6" s="585">
        <v>0</v>
      </c>
      <c r="D6" s="1775">
        <f t="shared" si="0"/>
        <v>1491933</v>
      </c>
      <c r="E6" s="585">
        <v>1536548</v>
      </c>
      <c r="F6" s="1775">
        <f t="shared" ref="F6:F18" si="1">E6-C6</f>
        <v>1536548</v>
      </c>
    </row>
    <row r="7" spans="1:6" ht="13.7" customHeight="1" x14ac:dyDescent="0.2">
      <c r="A7" s="716" t="s">
        <v>157</v>
      </c>
      <c r="B7" s="1772">
        <f>'Revenues 9-14'!F5</f>
        <v>320554</v>
      </c>
      <c r="C7" s="585">
        <v>0</v>
      </c>
      <c r="D7" s="1775">
        <f t="shared" si="0"/>
        <v>320554</v>
      </c>
      <c r="E7" s="585">
        <v>324998</v>
      </c>
      <c r="F7" s="1775">
        <f t="shared" si="1"/>
        <v>324998</v>
      </c>
    </row>
    <row r="8" spans="1:6" ht="13.7" customHeight="1" x14ac:dyDescent="0.2">
      <c r="A8" s="716" t="s">
        <v>1241</v>
      </c>
      <c r="B8" s="1772">
        <f>'Revenues 9-14'!G5</f>
        <v>5066</v>
      </c>
      <c r="C8" s="585">
        <v>0</v>
      </c>
      <c r="D8" s="1775">
        <f t="shared" si="0"/>
        <v>5066</v>
      </c>
      <c r="E8" s="585">
        <v>10001</v>
      </c>
      <c r="F8" s="1775">
        <f t="shared" si="1"/>
        <v>10001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5135</v>
      </c>
      <c r="C10" s="585">
        <v>0</v>
      </c>
      <c r="D10" s="1775">
        <f t="shared" si="0"/>
        <v>5135</v>
      </c>
      <c r="E10" s="585">
        <v>5146</v>
      </c>
      <c r="F10" s="1775">
        <f t="shared" si="1"/>
        <v>5146</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1246968</v>
      </c>
      <c r="C14" s="585">
        <v>0</v>
      </c>
      <c r="D14" s="1775">
        <f t="shared" si="0"/>
        <v>1246968</v>
      </c>
      <c r="E14" s="585">
        <v>1340003</v>
      </c>
      <c r="F14" s="1775">
        <f t="shared" si="1"/>
        <v>1340003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140868</v>
      </c>
      <c r="C16" s="585">
        <v>0</v>
      </c>
      <c r="D16" s="1775">
        <f t="shared" si="0"/>
        <v>140868</v>
      </c>
      <c r="E16" s="585">
        <v>150002</v>
      </c>
      <c r="F16" s="1775">
        <f t="shared" si="1"/>
        <v>150002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29125</v>
      </c>
      <c r="C18" s="585">
        <v>0</v>
      </c>
      <c r="D18" s="1775">
        <f t="shared" si="0"/>
        <v>29125</v>
      </c>
      <c r="E18" s="585">
        <v>24271</v>
      </c>
      <c r="F18" s="1775">
        <f t="shared" si="1"/>
        <v>24271</v>
      </c>
    </row>
    <row r="19" spans="1:6" ht="13.7" customHeight="1" thickBot="1" x14ac:dyDescent="0.25">
      <c r="A19" s="1776" t="s">
        <v>1223</v>
      </c>
      <c r="B19" s="1773">
        <f>SUM(B4:B18)</f>
        <v>15881518</v>
      </c>
      <c r="C19" s="1773">
        <f>SUM(C4:C18)</f>
        <v>0</v>
      </c>
      <c r="D19" s="1773">
        <f>SUM(D4:D18)</f>
        <v>15881518</v>
      </c>
      <c r="E19" s="1773">
        <f>SUM(E4:E18)</f>
        <v>16394288</v>
      </c>
      <c r="F19" s="1773">
        <f>SUM(F4:F18)</f>
        <v>16394288</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15" sqref="A15:H1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1903</v>
      </c>
      <c r="B2" s="2229"/>
      <c r="C2" s="1909" t="s">
        <v>2034</v>
      </c>
      <c r="D2" s="724" t="s">
        <v>2041</v>
      </c>
      <c r="E2" s="724" t="s">
        <v>2042</v>
      </c>
      <c r="F2" s="1909" t="s">
        <v>2035</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2036</v>
      </c>
      <c r="F30" s="1910" t="s">
        <v>2037</v>
      </c>
      <c r="G30" s="1910" t="s">
        <v>2040</v>
      </c>
      <c r="H30" s="1910" t="s">
        <v>2038</v>
      </c>
      <c r="I30" s="1910" t="s">
        <v>2039</v>
      </c>
      <c r="J30" s="1911" t="s">
        <v>2</v>
      </c>
      <c r="K30" s="732"/>
    </row>
    <row r="31" spans="1:11" ht="12" customHeight="1" x14ac:dyDescent="0.2">
      <c r="A31" s="733" t="s">
        <v>2090</v>
      </c>
      <c r="B31" s="734">
        <v>36705</v>
      </c>
      <c r="C31" s="735">
        <v>2071777</v>
      </c>
      <c r="D31" s="736">
        <v>6</v>
      </c>
      <c r="E31" s="735">
        <v>771278</v>
      </c>
      <c r="F31" s="735"/>
      <c r="G31" s="735">
        <f>496419-1278</f>
        <v>495141</v>
      </c>
      <c r="H31" s="735">
        <v>770000</v>
      </c>
      <c r="I31" s="1778">
        <f>((E31+F31)-H31)+G31</f>
        <v>496419</v>
      </c>
      <c r="J31" s="735">
        <f>+(I31/$I$49)*11575190</f>
        <v>448447.38508980308</v>
      </c>
      <c r="K31" s="737"/>
    </row>
    <row r="32" spans="1:11" ht="12" customHeight="1" x14ac:dyDescent="0.2">
      <c r="A32" s="733" t="s">
        <v>2091</v>
      </c>
      <c r="B32" s="734">
        <v>38196</v>
      </c>
      <c r="C32" s="735">
        <v>525000</v>
      </c>
      <c r="D32" s="736">
        <v>6</v>
      </c>
      <c r="E32" s="735">
        <v>105000</v>
      </c>
      <c r="F32" s="735"/>
      <c r="G32" s="735"/>
      <c r="H32" s="735">
        <v>50000</v>
      </c>
      <c r="I32" s="1778">
        <f>((E32+F32)-H32)+G32</f>
        <v>55000</v>
      </c>
      <c r="J32" s="735">
        <f t="shared" ref="J32:J36" si="1">+(I32/$I$49)*11575190</f>
        <v>49685.056736223174</v>
      </c>
      <c r="K32" s="737"/>
    </row>
    <row r="33" spans="1:11" ht="12" customHeight="1" x14ac:dyDescent="0.2">
      <c r="A33" s="733" t="s">
        <v>2092</v>
      </c>
      <c r="B33" s="734">
        <v>39848</v>
      </c>
      <c r="C33" s="735">
        <v>1900000</v>
      </c>
      <c r="D33" s="736">
        <v>6</v>
      </c>
      <c r="E33" s="735">
        <v>1505000</v>
      </c>
      <c r="F33" s="735"/>
      <c r="G33" s="735">
        <v>-1415000</v>
      </c>
      <c r="H33" s="735">
        <v>90000</v>
      </c>
      <c r="I33" s="1778">
        <f t="shared" ref="I33:I48" si="2">((E33+F33)-H33)+G33</f>
        <v>0</v>
      </c>
      <c r="J33" s="735"/>
      <c r="K33" s="737"/>
    </row>
    <row r="34" spans="1:11" ht="12" customHeight="1" x14ac:dyDescent="0.2">
      <c r="A34" s="733" t="s">
        <v>2093</v>
      </c>
      <c r="B34" s="734">
        <v>42108</v>
      </c>
      <c r="C34" s="735">
        <v>7550000</v>
      </c>
      <c r="D34" s="736">
        <v>3</v>
      </c>
      <c r="E34" s="735">
        <v>7390000</v>
      </c>
      <c r="F34" s="735"/>
      <c r="G34" s="735"/>
      <c r="H34" s="735">
        <v>310000</v>
      </c>
      <c r="I34" s="1778">
        <f t="shared" si="2"/>
        <v>7080000</v>
      </c>
      <c r="J34" s="735">
        <f t="shared" si="1"/>
        <v>6395821.8489538198</v>
      </c>
      <c r="K34" s="738"/>
    </row>
    <row r="35" spans="1:11" ht="12" customHeight="1" x14ac:dyDescent="0.2">
      <c r="A35" s="733" t="s">
        <v>2093</v>
      </c>
      <c r="B35" s="734">
        <v>43160</v>
      </c>
      <c r="C35" s="739">
        <v>1475000</v>
      </c>
      <c r="D35" s="736">
        <v>3</v>
      </c>
      <c r="E35" s="739"/>
      <c r="F35" s="739">
        <v>1475000</v>
      </c>
      <c r="G35" s="739"/>
      <c r="H35" s="739"/>
      <c r="I35" s="1778">
        <f t="shared" si="2"/>
        <v>1475000</v>
      </c>
      <c r="J35" s="735">
        <f t="shared" si="1"/>
        <v>1332462.8851987123</v>
      </c>
      <c r="K35" s="738"/>
    </row>
    <row r="36" spans="1:11" ht="12" customHeight="1" x14ac:dyDescent="0.2">
      <c r="A36" s="733" t="s">
        <v>2092</v>
      </c>
      <c r="B36" s="734">
        <v>43160</v>
      </c>
      <c r="C36" s="735">
        <v>3707000</v>
      </c>
      <c r="D36" s="736">
        <v>6</v>
      </c>
      <c r="E36" s="735"/>
      <c r="F36" s="735">
        <v>3707000</v>
      </c>
      <c r="G36" s="735"/>
      <c r="H36" s="735"/>
      <c r="I36" s="1778">
        <f t="shared" si="2"/>
        <v>3707000</v>
      </c>
      <c r="J36" s="735">
        <f t="shared" si="1"/>
        <v>3348772.8240214419</v>
      </c>
      <c r="K36" s="740"/>
    </row>
    <row r="37" spans="1:11" ht="12" customHeight="1" x14ac:dyDescent="0.2">
      <c r="A37" s="733"/>
      <c r="B37" s="734"/>
      <c r="C37" s="467"/>
      <c r="D37" s="741"/>
      <c r="E37" s="467"/>
      <c r="F37" s="467"/>
      <c r="G37" s="467"/>
      <c r="H37" s="467"/>
      <c r="I37" s="1778">
        <f t="shared" si="2"/>
        <v>0</v>
      </c>
      <c r="J37" s="467"/>
      <c r="K37" s="738"/>
    </row>
    <row r="38" spans="1:11" ht="12" customHeight="1" x14ac:dyDescent="0.2">
      <c r="A38" s="733"/>
      <c r="B38" s="734"/>
      <c r="C38" s="735"/>
      <c r="D38" s="742"/>
      <c r="E38" s="743"/>
      <c r="F38" s="743"/>
      <c r="G38" s="743"/>
      <c r="H38" s="743"/>
      <c r="I38" s="1778">
        <f t="shared" si="2"/>
        <v>0</v>
      </c>
      <c r="J38" s="744" t="s">
        <v>282</v>
      </c>
      <c r="K38" s="745"/>
    </row>
    <row r="39" spans="1:11" ht="12" customHeight="1" x14ac:dyDescent="0.2">
      <c r="A39" s="733"/>
      <c r="B39" s="734"/>
      <c r="C39" s="735"/>
      <c r="D39" s="742"/>
      <c r="E39" s="743"/>
      <c r="F39" s="743"/>
      <c r="G39" s="743"/>
      <c r="H39" s="743"/>
      <c r="I39" s="1778">
        <f t="shared" si="2"/>
        <v>0</v>
      </c>
      <c r="J39" s="744"/>
      <c r="K39" s="745"/>
    </row>
    <row r="40" spans="1:11" ht="12" customHeight="1" x14ac:dyDescent="0.2">
      <c r="A40" s="733"/>
      <c r="B40" s="734"/>
      <c r="C40" s="735"/>
      <c r="D40" s="742"/>
      <c r="E40" s="743"/>
      <c r="F40" s="743"/>
      <c r="G40" s="743"/>
      <c r="H40" s="743"/>
      <c r="I40" s="1778">
        <f t="shared" si="2"/>
        <v>0</v>
      </c>
      <c r="J40" s="744"/>
      <c r="K40" s="745"/>
    </row>
    <row r="41" spans="1:11" ht="12" customHeight="1" x14ac:dyDescent="0.2">
      <c r="A41" s="733" t="s">
        <v>2094</v>
      </c>
      <c r="B41" s="734"/>
      <c r="C41" s="735"/>
      <c r="D41" s="742"/>
      <c r="E41" s="743"/>
      <c r="F41" s="743"/>
      <c r="G41" s="743">
        <v>20110</v>
      </c>
      <c r="H41" s="743">
        <v>20110</v>
      </c>
      <c r="I41" s="1778">
        <f t="shared" si="2"/>
        <v>0</v>
      </c>
      <c r="J41" s="744"/>
      <c r="K41" s="745"/>
    </row>
    <row r="42" spans="1:11" ht="12" customHeight="1" x14ac:dyDescent="0.2">
      <c r="A42" s="733"/>
      <c r="B42" s="734"/>
      <c r="C42" s="735"/>
      <c r="D42" s="742"/>
      <c r="E42" s="743"/>
      <c r="F42" s="743"/>
      <c r="G42" s="743"/>
      <c r="H42" s="743"/>
      <c r="I42" s="1778">
        <f t="shared" si="2"/>
        <v>0</v>
      </c>
      <c r="J42" s="744"/>
      <c r="K42" s="745"/>
    </row>
    <row r="43" spans="1:11" ht="12" customHeight="1" x14ac:dyDescent="0.2">
      <c r="A43" s="733"/>
      <c r="B43" s="734"/>
      <c r="C43" s="735"/>
      <c r="D43" s="742"/>
      <c r="E43" s="743"/>
      <c r="F43" s="743"/>
      <c r="G43" s="743"/>
      <c r="H43" s="743"/>
      <c r="I43" s="1778">
        <f t="shared" si="2"/>
        <v>0</v>
      </c>
      <c r="J43" s="744"/>
      <c r="K43" s="745"/>
    </row>
    <row r="44" spans="1:11" ht="12" customHeight="1" x14ac:dyDescent="0.2">
      <c r="A44" s="733"/>
      <c r="B44" s="734"/>
      <c r="C44" s="735"/>
      <c r="D44" s="736"/>
      <c r="E44" s="735"/>
      <c r="F44" s="735"/>
      <c r="G44" s="735"/>
      <c r="H44" s="735"/>
      <c r="I44" s="1778">
        <f t="shared" si="2"/>
        <v>0</v>
      </c>
      <c r="J44" s="735"/>
      <c r="K44" s="738"/>
    </row>
    <row r="45" spans="1:11" ht="12" customHeight="1" x14ac:dyDescent="0.2">
      <c r="A45" s="733"/>
      <c r="B45" s="734"/>
      <c r="C45" s="735"/>
      <c r="D45" s="736"/>
      <c r="E45" s="735"/>
      <c r="F45" s="735"/>
      <c r="G45" s="735"/>
      <c r="H45" s="735"/>
      <c r="I45" s="1778">
        <f t="shared" si="2"/>
        <v>0</v>
      </c>
      <c r="J45" s="735"/>
      <c r="K45" s="738"/>
    </row>
    <row r="46" spans="1:11" ht="12" customHeight="1" x14ac:dyDescent="0.2">
      <c r="A46" s="733"/>
      <c r="B46" s="734"/>
      <c r="C46" s="735"/>
      <c r="D46" s="736"/>
      <c r="E46" s="735"/>
      <c r="F46" s="735"/>
      <c r="G46" s="735"/>
      <c r="H46" s="735"/>
      <c r="I46" s="1778">
        <f t="shared" si="2"/>
        <v>0</v>
      </c>
      <c r="J46" s="735"/>
      <c r="K46" s="738"/>
    </row>
    <row r="47" spans="1:11" ht="12" customHeight="1" x14ac:dyDescent="0.2">
      <c r="A47" s="733"/>
      <c r="B47" s="734"/>
      <c r="C47" s="739"/>
      <c r="D47" s="736"/>
      <c r="E47" s="739"/>
      <c r="F47" s="739"/>
      <c r="G47" s="739"/>
      <c r="H47" s="739"/>
      <c r="I47" s="1778">
        <f t="shared" si="2"/>
        <v>0</v>
      </c>
      <c r="J47" s="739"/>
      <c r="K47" s="738"/>
    </row>
    <row r="48" spans="1:11" ht="12" customHeight="1" x14ac:dyDescent="0.2">
      <c r="A48" s="733"/>
      <c r="B48" s="734"/>
      <c r="C48" s="735"/>
      <c r="D48" s="736"/>
      <c r="E48" s="735"/>
      <c r="F48" s="735"/>
      <c r="G48" s="735"/>
      <c r="H48" s="735"/>
      <c r="I48" s="1778">
        <f t="shared" si="2"/>
        <v>0</v>
      </c>
      <c r="J48" s="735"/>
      <c r="K48" s="738"/>
    </row>
    <row r="49" spans="1:11" ht="12" customHeight="1" x14ac:dyDescent="0.2">
      <c r="A49" s="733"/>
      <c r="B49" s="734"/>
      <c r="C49" s="1778">
        <f>SUM(C31:C48)</f>
        <v>17228777</v>
      </c>
      <c r="D49" s="746"/>
      <c r="E49" s="1778">
        <f t="shared" ref="E49:J49" si="3">SUM(E31:E48)</f>
        <v>9771278</v>
      </c>
      <c r="F49" s="1778">
        <f t="shared" si="3"/>
        <v>5182000</v>
      </c>
      <c r="G49" s="1778">
        <f t="shared" si="3"/>
        <v>-899749</v>
      </c>
      <c r="H49" s="1778">
        <f t="shared" si="3"/>
        <v>1240110</v>
      </c>
      <c r="I49" s="1778">
        <f t="shared" si="3"/>
        <v>12813419</v>
      </c>
      <c r="J49" s="1778">
        <f t="shared" si="3"/>
        <v>11575190</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A15" sqref="A15: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1917</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1246968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1918</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1246968</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1246968</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1914</v>
      </c>
      <c r="B19" s="2244"/>
      <c r="C19" s="2244"/>
      <c r="D19" s="2244"/>
      <c r="E19" s="2245"/>
      <c r="F19" s="790" t="s">
        <v>990</v>
      </c>
      <c r="G19" s="783"/>
      <c r="H19" s="783"/>
      <c r="I19" s="783"/>
      <c r="J19" s="766"/>
      <c r="K19" s="796"/>
    </row>
    <row r="20" spans="1:11" x14ac:dyDescent="0.2">
      <c r="A20" s="2246" t="s">
        <v>1919</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1920</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1246968</v>
      </c>
      <c r="I23" s="1780">
        <f>SUM(I14:I16,I21,I22)</f>
        <v>0</v>
      </c>
      <c r="J23" s="1780">
        <f>SUM(J14:J16,J21,J22)</f>
        <v>0</v>
      </c>
      <c r="K23" s="1780">
        <f>SUM(K14:K16,K21,K22)</f>
        <v>0</v>
      </c>
    </row>
    <row r="24" spans="1:11" ht="14.25" thickTop="1" thickBot="1" x14ac:dyDescent="0.25">
      <c r="A24" s="2266" t="s">
        <v>2022</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63071</v>
      </c>
    </row>
    <row r="37" spans="1:11" x14ac:dyDescent="0.2">
      <c r="A37" s="821" t="s">
        <v>952</v>
      </c>
      <c r="B37" s="819"/>
      <c r="C37" s="819"/>
      <c r="D37" s="819"/>
      <c r="E37" s="819"/>
      <c r="F37" s="820"/>
      <c r="G37" s="766">
        <v>23093</v>
      </c>
    </row>
    <row r="38" spans="1:11" x14ac:dyDescent="0.2">
      <c r="A38" s="821" t="s">
        <v>1050</v>
      </c>
      <c r="B38" s="819"/>
      <c r="C38" s="819"/>
      <c r="D38" s="819"/>
      <c r="E38" s="819"/>
      <c r="F38" s="820"/>
      <c r="G38" s="766"/>
    </row>
    <row r="39" spans="1:11" x14ac:dyDescent="0.2">
      <c r="A39" s="821" t="s">
        <v>1051</v>
      </c>
      <c r="B39" s="819"/>
      <c r="C39" s="819"/>
      <c r="D39" s="819"/>
      <c r="E39" s="819"/>
      <c r="F39" s="820"/>
      <c r="G39" s="766">
        <v>68054</v>
      </c>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v>72600</v>
      </c>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5" sqref="A15:H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2031</v>
      </c>
      <c r="B1" s="2272"/>
      <c r="C1" s="2273"/>
      <c r="D1" s="827"/>
      <c r="E1" s="828"/>
      <c r="F1" s="828"/>
      <c r="G1" s="829"/>
      <c r="H1" s="830"/>
      <c r="I1" s="831"/>
      <c r="J1" s="2269"/>
      <c r="K1" s="2270"/>
      <c r="L1" s="2270"/>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387375</v>
      </c>
      <c r="D5" s="842"/>
      <c r="E5" s="842"/>
      <c r="F5" s="1782">
        <f>(C5+D5)-E5</f>
        <v>387375</v>
      </c>
      <c r="G5" s="838"/>
      <c r="H5" s="843"/>
      <c r="I5" s="843"/>
      <c r="J5" s="843"/>
      <c r="K5" s="794"/>
      <c r="L5" s="1791">
        <f>F5-K5</f>
        <v>387375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20412896</v>
      </c>
      <c r="D8" s="845">
        <v>331976</v>
      </c>
      <c r="E8" s="845"/>
      <c r="F8" s="1782">
        <f>(C8+D8)-E8</f>
        <v>20744872</v>
      </c>
      <c r="G8" s="844">
        <v>50</v>
      </c>
      <c r="H8" s="766">
        <v>8173753</v>
      </c>
      <c r="I8" s="766">
        <v>431745</v>
      </c>
      <c r="J8" s="766"/>
      <c r="K8" s="1791">
        <f>(H8+I8)-J8</f>
        <v>8605498</v>
      </c>
      <c r="L8" s="1791">
        <f>F8-K8</f>
        <v>12139374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2557221</v>
      </c>
      <c r="D12" s="845">
        <v>50718</v>
      </c>
      <c r="E12" s="845">
        <v>136687</v>
      </c>
      <c r="F12" s="1782">
        <f>(C12+D12)-E12</f>
        <v>2471252</v>
      </c>
      <c r="G12" s="844">
        <v>10</v>
      </c>
      <c r="H12" s="766">
        <v>1991079</v>
      </c>
      <c r="I12" s="766">
        <v>99762</v>
      </c>
      <c r="J12" s="766">
        <v>134177</v>
      </c>
      <c r="K12" s="1791">
        <f>(H12+I12)-J12</f>
        <v>1956664</v>
      </c>
      <c r="L12" s="1791">
        <f>F12-K12</f>
        <v>514588</v>
      </c>
    </row>
    <row r="13" spans="1:14" ht="14.25" thickTop="1" thickBot="1" x14ac:dyDescent="0.25">
      <c r="A13" s="849" t="s">
        <v>1184</v>
      </c>
      <c r="B13" s="841">
        <v>252</v>
      </c>
      <c r="C13" s="845">
        <v>113122</v>
      </c>
      <c r="D13" s="845"/>
      <c r="E13" s="845"/>
      <c r="F13" s="1782">
        <f>(C13+D13)-E13</f>
        <v>113122</v>
      </c>
      <c r="G13" s="844">
        <v>5</v>
      </c>
      <c r="H13" s="766">
        <v>104159</v>
      </c>
      <c r="I13" s="766">
        <v>3073</v>
      </c>
      <c r="J13" s="766"/>
      <c r="K13" s="1791">
        <f>(H13+I13)-J13</f>
        <v>107232</v>
      </c>
      <c r="L13" s="1791">
        <f>F13-K13</f>
        <v>5890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55325</v>
      </c>
      <c r="E15" s="845"/>
      <c r="F15" s="1782">
        <f>(C15+D15)-E15</f>
        <v>55325</v>
      </c>
      <c r="G15" s="850" t="s">
        <v>917</v>
      </c>
      <c r="H15" s="782"/>
      <c r="I15" s="782"/>
      <c r="J15" s="782"/>
      <c r="K15" s="782"/>
      <c r="L15" s="1791">
        <f>F15-K15</f>
        <v>55325</v>
      </c>
    </row>
    <row r="16" spans="1:14" ht="15" customHeight="1" thickTop="1" thickBot="1" x14ac:dyDescent="0.25">
      <c r="A16" s="1787" t="s">
        <v>664</v>
      </c>
      <c r="B16" s="1788">
        <v>200</v>
      </c>
      <c r="C16" s="1782">
        <f>SUM(C3,C5:C6,C8:C10,C12:C15)</f>
        <v>23470614</v>
      </c>
      <c r="D16" s="1782">
        <f>SUM(D3,D5:D6,D8:D10,D12:D15)</f>
        <v>438019</v>
      </c>
      <c r="E16" s="1782">
        <f>SUM(E3,E5:E6,E8:E10,E12:E15)</f>
        <v>136687</v>
      </c>
      <c r="F16" s="1782">
        <f>SUM(F3,F5:F6,F8:F10,F12:F15)</f>
        <v>23771946</v>
      </c>
      <c r="G16" s="844"/>
      <c r="H16" s="1782">
        <f>SUM(H3,H6,H8:H10,H12:H14,)</f>
        <v>10268991</v>
      </c>
      <c r="I16" s="1782">
        <f>SUM(I3,I6,I8:I10,I12:I14,)</f>
        <v>534580</v>
      </c>
      <c r="J16" s="1782">
        <f>SUM(J3,J6,J8:J10,J12:J14,)</f>
        <v>134177</v>
      </c>
      <c r="K16" s="1782">
        <f>(H16+I16)-J16</f>
        <v>10669394</v>
      </c>
      <c r="L16" s="1782">
        <f>F16-K16</f>
        <v>13102552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63588</v>
      </c>
      <c r="G17" s="838">
        <v>10</v>
      </c>
      <c r="H17" s="770"/>
      <c r="I17" s="1791">
        <f>F17/G17</f>
        <v>6358.8</v>
      </c>
      <c r="J17" s="770"/>
      <c r="K17" s="796"/>
      <c r="L17" s="796"/>
    </row>
    <row r="18" spans="1:12" ht="14.25" thickTop="1" thickBot="1" x14ac:dyDescent="0.25">
      <c r="A18" s="1789" t="s">
        <v>706</v>
      </c>
      <c r="B18" s="1790"/>
      <c r="C18" s="772"/>
      <c r="D18" s="772"/>
      <c r="E18" s="772"/>
      <c r="F18" s="851"/>
      <c r="G18" s="852"/>
      <c r="H18" s="774"/>
      <c r="I18" s="1782">
        <f>SUM(I16,I17)</f>
        <v>540938.80000000005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A15" sqref="A15:H15"/>
      <selection pane="bottomLeft" activeCell="A15" sqref="A15:H1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16552196</v>
      </c>
      <c r="G8" s="866"/>
    </row>
    <row r="9" spans="1:7" x14ac:dyDescent="0.2">
      <c r="A9" s="870" t="s">
        <v>480</v>
      </c>
      <c r="B9" s="871" t="s">
        <v>1986</v>
      </c>
      <c r="C9" s="872"/>
      <c r="D9" s="870" t="s">
        <v>522</v>
      </c>
      <c r="E9" s="869"/>
      <c r="F9" s="1935">
        <f>'Expenditures 15-22'!K151</f>
        <v>1792814</v>
      </c>
      <c r="G9" s="873"/>
    </row>
    <row r="10" spans="1:7" x14ac:dyDescent="0.2">
      <c r="A10" s="870" t="s">
        <v>520</v>
      </c>
      <c r="B10" s="871" t="s">
        <v>1987</v>
      </c>
      <c r="C10" s="872"/>
      <c r="D10" s="870" t="s">
        <v>522</v>
      </c>
      <c r="E10" s="869"/>
      <c r="F10" s="1935">
        <f>'Expenditures 15-22'!K174</f>
        <v>1614622</v>
      </c>
      <c r="G10" s="873"/>
    </row>
    <row r="11" spans="1:7" x14ac:dyDescent="0.2">
      <c r="A11" s="870" t="s">
        <v>481</v>
      </c>
      <c r="B11" s="871" t="s">
        <v>1988</v>
      </c>
      <c r="C11" s="872"/>
      <c r="D11" s="870" t="s">
        <v>522</v>
      </c>
      <c r="E11" s="869"/>
      <c r="F11" s="1935">
        <f>'Expenditures 15-22'!K210</f>
        <v>919123</v>
      </c>
      <c r="G11" s="873"/>
    </row>
    <row r="12" spans="1:7" x14ac:dyDescent="0.2">
      <c r="A12" s="870" t="s">
        <v>482</v>
      </c>
      <c r="B12" s="871" t="s">
        <v>1989</v>
      </c>
      <c r="C12" s="872"/>
      <c r="D12" s="870" t="s">
        <v>522</v>
      </c>
      <c r="E12" s="869"/>
      <c r="F12" s="1935">
        <f>'Expenditures 15-22'!K295</f>
        <v>471929</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21350684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187647</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248400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13795</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320029</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135350</v>
      </c>
      <c r="G52" s="866"/>
    </row>
    <row r="53" spans="1:7" x14ac:dyDescent="0.2">
      <c r="A53" s="870" t="s">
        <v>479</v>
      </c>
      <c r="B53" s="870" t="s">
        <v>1551</v>
      </c>
      <c r="C53" s="890">
        <f>'Expenditures 15-22'!B102</f>
        <v>4000</v>
      </c>
      <c r="D53" s="889" t="str">
        <f>'Expenditures 15-22'!A102</f>
        <v>Total Payments to Other Govt Units</v>
      </c>
      <c r="E53" s="869"/>
      <c r="F53" s="1939">
        <f>'Expenditures 15-22'!K102</f>
        <v>1109765</v>
      </c>
      <c r="G53" s="866"/>
    </row>
    <row r="54" spans="1:7" x14ac:dyDescent="0.2">
      <c r="A54" s="870" t="s">
        <v>479</v>
      </c>
      <c r="B54" s="870" t="s">
        <v>1552</v>
      </c>
      <c r="C54" s="890" t="s">
        <v>1039</v>
      </c>
      <c r="D54" s="886" t="s">
        <v>1157</v>
      </c>
      <c r="E54" s="869"/>
      <c r="F54" s="1939">
        <f>'Expenditures 15-22'!G114</f>
        <v>14692</v>
      </c>
      <c r="G54" s="866"/>
    </row>
    <row r="55" spans="1:7" x14ac:dyDescent="0.2">
      <c r="A55" s="870" t="s">
        <v>479</v>
      </c>
      <c r="B55" s="870" t="s">
        <v>1553</v>
      </c>
      <c r="C55" s="890" t="s">
        <v>1039</v>
      </c>
      <c r="D55" s="886" t="s">
        <v>309</v>
      </c>
      <c r="E55" s="869"/>
      <c r="F55" s="1939">
        <f>'Expenditures 15-22'!I114</f>
        <v>45603</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44786</v>
      </c>
      <c r="G57" s="866"/>
    </row>
    <row r="58" spans="1:7" x14ac:dyDescent="0.2">
      <c r="A58" s="870" t="s">
        <v>480</v>
      </c>
      <c r="B58" s="870" t="s">
        <v>1992</v>
      </c>
      <c r="C58" s="887" t="s">
        <v>1039</v>
      </c>
      <c r="D58" s="886" t="s">
        <v>1157</v>
      </c>
      <c r="E58" s="869"/>
      <c r="F58" s="1941">
        <f>'Expenditures 15-22'!G151</f>
        <v>179721</v>
      </c>
      <c r="G58" s="866"/>
    </row>
    <row r="59" spans="1:7" x14ac:dyDescent="0.2">
      <c r="A59" s="894" t="s">
        <v>480</v>
      </c>
      <c r="B59" s="857" t="s">
        <v>1993</v>
      </c>
      <c r="C59" s="895" t="s">
        <v>1039</v>
      </c>
      <c r="D59" s="857" t="s">
        <v>309</v>
      </c>
      <c r="F59" s="1942">
        <f>'Expenditures 15-22'!I151</f>
        <v>17985</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1240110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22639</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6249</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8735</v>
      </c>
      <c r="G67" s="866"/>
    </row>
    <row r="68" spans="1:8" x14ac:dyDescent="0.2">
      <c r="A68" s="870" t="s">
        <v>482</v>
      </c>
      <c r="B68" s="870" t="s">
        <v>1555</v>
      </c>
      <c r="C68" s="887" t="str">
        <f>'Expenditures 15-22'!B218</f>
        <v>1225</v>
      </c>
      <c r="D68" s="893" t="str">
        <f>'Expenditures 15-22'!A218</f>
        <v>Special Education Programs - Pre-K</v>
      </c>
      <c r="E68" s="869"/>
      <c r="F68" s="1939">
        <f>'Expenditures 15-22'!K218</f>
        <v>11282</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92</v>
      </c>
      <c r="G71" s="866"/>
    </row>
    <row r="72" spans="1:8" x14ac:dyDescent="0.2">
      <c r="A72" s="870" t="s">
        <v>482</v>
      </c>
      <c r="B72" s="870" t="s">
        <v>2005</v>
      </c>
      <c r="C72" s="887">
        <f>'Expenditures 15-22'!B280</f>
        <v>3000</v>
      </c>
      <c r="D72" s="877" t="s">
        <v>469</v>
      </c>
      <c r="E72" s="869"/>
      <c r="F72" s="1939">
        <f>'Expenditures 15-22'!K280</f>
        <v>4519</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24264</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3635663</v>
      </c>
      <c r="G76" s="866"/>
    </row>
    <row r="77" spans="1:8" s="894" customFormat="1" ht="12" customHeight="1" thickTop="1" thickBot="1" x14ac:dyDescent="0.25">
      <c r="A77" s="1801"/>
      <c r="B77" s="1798"/>
      <c r="C77" s="1794"/>
      <c r="D77" s="1799" t="s">
        <v>2009</v>
      </c>
      <c r="E77" s="1796"/>
      <c r="F77" s="1802">
        <f>(F14-F76)</f>
        <v>17715021</v>
      </c>
      <c r="G77" s="870"/>
    </row>
    <row r="78" spans="1:8" s="894" customFormat="1" ht="12" customHeight="1" thickTop="1" x14ac:dyDescent="0.2">
      <c r="A78" s="1803"/>
      <c r="B78" s="1798"/>
      <c r="C78" s="1794"/>
      <c r="D78" s="1799" t="s">
        <v>2055</v>
      </c>
      <c r="E78" s="1796"/>
      <c r="F78" s="899">
        <v>1555.89</v>
      </c>
      <c r="G78" s="900"/>
      <c r="H78" s="870"/>
    </row>
    <row r="79" spans="1:8" s="894" customFormat="1" ht="12" customHeight="1" thickBot="1" x14ac:dyDescent="0.25">
      <c r="A79" s="1804"/>
      <c r="B79" s="1798"/>
      <c r="C79" s="1794"/>
      <c r="D79" s="1799" t="s">
        <v>2010</v>
      </c>
      <c r="E79" s="1796" t="s">
        <v>1015</v>
      </c>
      <c r="F79" s="1805">
        <f>IF(F78&gt;0,F77/F78," Complete Line 78")</f>
        <v>11385.779843048029</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681</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203371</v>
      </c>
      <c r="G94" s="913"/>
    </row>
    <row r="95" spans="1:7" x14ac:dyDescent="0.2">
      <c r="A95" s="909" t="s">
        <v>142</v>
      </c>
      <c r="B95" s="909" t="s">
        <v>177</v>
      </c>
      <c r="C95" s="911">
        <v>1700</v>
      </c>
      <c r="D95" s="919" t="str">
        <f>'Revenues 9-14'!A82</f>
        <v>Total District/School Activity Income</v>
      </c>
      <c r="E95" s="907"/>
      <c r="F95" s="1811">
        <f>SUM('Revenues 9-14'!C82,'Revenues 9-14'!D82)</f>
        <v>111077</v>
      </c>
      <c r="G95" s="913"/>
    </row>
    <row r="96" spans="1:7" x14ac:dyDescent="0.2">
      <c r="A96" s="909" t="s">
        <v>479</v>
      </c>
      <c r="B96" s="909" t="s">
        <v>178</v>
      </c>
      <c r="C96" s="911">
        <f>'Revenues 9-14'!B84</f>
        <v>1811</v>
      </c>
      <c r="D96" s="912" t="str">
        <f>'Revenues 9-14'!A84</f>
        <v>Rentals - Regular Textbooks</v>
      </c>
      <c r="E96" s="907"/>
      <c r="F96" s="1811">
        <f>'Revenues 9-14'!C84</f>
        <v>139456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13011</v>
      </c>
      <c r="G100" s="913"/>
    </row>
    <row r="101" spans="1:7" x14ac:dyDescent="0.2">
      <c r="A101" s="909" t="s">
        <v>142</v>
      </c>
      <c r="B101" s="909" t="s">
        <v>183</v>
      </c>
      <c r="C101" s="911">
        <f>'Revenues 9-14'!B95</f>
        <v>1910</v>
      </c>
      <c r="D101" s="912" t="str">
        <f>'Revenues 9-14'!A95</f>
        <v>Rentals</v>
      </c>
      <c r="E101" s="907"/>
      <c r="F101" s="1811">
        <f>SUM('Revenues 9-14'!C95:D95)</f>
        <v>359539</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56189</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87007</v>
      </c>
      <c r="G103" s="913"/>
    </row>
    <row r="104" spans="1:7" x14ac:dyDescent="0.2">
      <c r="A104" s="909" t="s">
        <v>479</v>
      </c>
      <c r="B104" s="909" t="s">
        <v>841</v>
      </c>
      <c r="C104" s="911">
        <f>'Revenues 9-14'!B106</f>
        <v>1993</v>
      </c>
      <c r="D104" s="912" t="str">
        <f>'Revenues 9-14'!A106</f>
        <v>Other Local Fees (Describe &amp; Itemize)</v>
      </c>
      <c r="E104" s="907"/>
      <c r="F104" s="1811">
        <f>('Revenues 9-14'!C106)</f>
        <v>13347</v>
      </c>
      <c r="G104" s="913"/>
    </row>
    <row r="105" spans="1:7" x14ac:dyDescent="0.2">
      <c r="A105" s="909" t="s">
        <v>524</v>
      </c>
      <c r="B105" s="909" t="s">
        <v>842</v>
      </c>
      <c r="C105" s="914">
        <v>3100</v>
      </c>
      <c r="D105" s="920" t="str">
        <f>'Revenues 9-14'!A131</f>
        <v>Total Special Education</v>
      </c>
      <c r="E105" s="907"/>
      <c r="F105" s="1811">
        <f>SUM('Revenues 9-14'!C131:D131,'Revenues 9-14'!F131)</f>
        <v>335743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74515</v>
      </c>
      <c r="G107" s="913"/>
    </row>
    <row r="108" spans="1:7" x14ac:dyDescent="0.2">
      <c r="A108" s="909" t="s">
        <v>479</v>
      </c>
      <c r="B108" s="909" t="s">
        <v>844</v>
      </c>
      <c r="C108" s="921">
        <f>'Revenues 9-14'!B145</f>
        <v>3360</v>
      </c>
      <c r="D108" s="912" t="str">
        <f>'Revenues 9-14'!A145</f>
        <v>State Free Lunch &amp; Breakfast</v>
      </c>
      <c r="E108" s="907"/>
      <c r="F108" s="1811">
        <f>'Revenues 9-14'!C145</f>
        <v>3564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291058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2161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305578</v>
      </c>
      <c r="G129" s="931"/>
    </row>
    <row r="130" spans="1:7" x14ac:dyDescent="0.2">
      <c r="A130" s="928" t="s">
        <v>689</v>
      </c>
      <c r="B130" s="928" t="s">
        <v>804</v>
      </c>
      <c r="C130" s="933">
        <v>4300</v>
      </c>
      <c r="D130" s="934" t="str">
        <f>'Revenues 9-14'!A211</f>
        <v>Total Title I</v>
      </c>
      <c r="E130" s="907"/>
      <c r="F130" s="1811">
        <f>SUM('Revenues 9-14'!C211,'Revenues 9-14'!D211,'Revenues 9-14'!F211,'Revenues 9-14'!G211)</f>
        <v>87128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196774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22781</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27657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38939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199488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685</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2569064</v>
      </c>
    </row>
    <row r="179" spans="1:7" ht="12" customHeight="1" x14ac:dyDescent="0.2">
      <c r="A179" s="1792"/>
      <c r="B179" s="1806"/>
      <c r="C179" s="1807"/>
      <c r="D179" s="1808" t="s">
        <v>2012</v>
      </c>
      <c r="E179" s="1809"/>
      <c r="F179" s="1811">
        <f>'PCTC-OEPP 27-28'!F77-F178</f>
        <v>15145957</v>
      </c>
    </row>
    <row r="180" spans="1:7" ht="12" customHeight="1" x14ac:dyDescent="0.2">
      <c r="A180" s="1792"/>
      <c r="B180" s="1806"/>
      <c r="C180" s="1807"/>
      <c r="D180" s="1808" t="s">
        <v>1922</v>
      </c>
      <c r="E180" s="1809"/>
      <c r="F180" s="1811">
        <f>'Cap Outlay Deprec 26'!I18</f>
        <v>540938.80000000005</v>
      </c>
    </row>
    <row r="181" spans="1:7" ht="12" customHeight="1" x14ac:dyDescent="0.2">
      <c r="A181" s="1792"/>
      <c r="B181" s="1806"/>
      <c r="C181" s="1807"/>
      <c r="D181" s="1808" t="s">
        <v>2013</v>
      </c>
      <c r="E181" s="1809"/>
      <c r="F181" s="1811">
        <f>F179+F180</f>
        <v>15686895.800000001</v>
      </c>
    </row>
    <row r="182" spans="1:7" ht="12" customHeight="1" x14ac:dyDescent="0.2">
      <c r="A182" s="1792"/>
      <c r="B182" s="1812"/>
      <c r="C182" s="1807"/>
      <c r="D182" s="1808" t="str">
        <f>D78</f>
        <v>9 Month ADA from District Average Daily Attendance/Prior General State Aid Inquiry 2017-2018</v>
      </c>
      <c r="E182" s="1809"/>
      <c r="F182" s="1813">
        <f>'PCTC-OEPP 27-28'!F78</f>
        <v>1555.89</v>
      </c>
      <c r="G182" s="931"/>
    </row>
    <row r="183" spans="1:7" ht="12" customHeight="1" thickBot="1" x14ac:dyDescent="0.25">
      <c r="A183" s="1792"/>
      <c r="B183" s="1812"/>
      <c r="C183" s="1807"/>
      <c r="D183" s="1808" t="s">
        <v>2014</v>
      </c>
      <c r="E183" s="1809" t="s">
        <v>1626</v>
      </c>
      <c r="F183" s="1814">
        <f>F181/F182</f>
        <v>10082.265327240357</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5" sqref="A15:H15"/>
      <selection pane="bottomLeft" activeCell="B17" sqref="B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1923</v>
      </c>
      <c r="B4" s="2289"/>
      <c r="C4" s="2289"/>
      <c r="D4" s="2289"/>
      <c r="E4" s="2289"/>
      <c r="F4" s="2289"/>
      <c r="G4" s="2290"/>
    </row>
    <row r="5" spans="1:7" x14ac:dyDescent="0.25">
      <c r="A5" s="2291"/>
      <c r="B5" s="2292"/>
      <c r="C5" s="2292"/>
      <c r="D5" s="2292"/>
      <c r="E5" s="2292"/>
      <c r="F5" s="2292"/>
      <c r="G5" s="2293"/>
    </row>
    <row r="6" spans="1:7" ht="18.75" x14ac:dyDescent="0.25">
      <c r="A6" s="1556" t="s">
        <v>1924</v>
      </c>
      <c r="B6" s="1557"/>
      <c r="C6" s="1557"/>
      <c r="D6" s="1557"/>
      <c r="E6" s="1557"/>
      <c r="F6" s="1557"/>
      <c r="G6" s="1558"/>
    </row>
    <row r="7" spans="1:7" ht="30.75" customHeight="1" x14ac:dyDescent="0.25">
      <c r="A7" s="2294" t="s">
        <v>2071</v>
      </c>
      <c r="B7" s="2295"/>
      <c r="C7" s="2295"/>
      <c r="D7" s="2295"/>
      <c r="E7" s="2295"/>
      <c r="F7" s="2295"/>
      <c r="G7" s="2296"/>
    </row>
    <row r="8" spans="1:7" ht="15.75" customHeight="1" x14ac:dyDescent="0.25">
      <c r="A8" s="2297" t="s">
        <v>2020</v>
      </c>
      <c r="B8" s="2298"/>
      <c r="C8" s="2298"/>
      <c r="D8" s="2298"/>
      <c r="E8" s="2298"/>
      <c r="F8" s="2298"/>
      <c r="G8" s="2299"/>
    </row>
    <row r="9" spans="1:7" ht="35.25" customHeight="1" x14ac:dyDescent="0.25">
      <c r="A9" s="2294" t="s">
        <v>2074</v>
      </c>
      <c r="B9" s="2295"/>
      <c r="C9" s="2295"/>
      <c r="D9" s="2295"/>
      <c r="E9" s="2295"/>
      <c r="F9" s="2295"/>
      <c r="G9" s="2296"/>
    </row>
    <row r="10" spans="1:7" ht="15" customHeight="1" x14ac:dyDescent="0.25">
      <c r="A10" s="1559" t="s">
        <v>1925</v>
      </c>
      <c r="B10" s="1560"/>
      <c r="C10" s="1560"/>
      <c r="D10" s="1560"/>
      <c r="E10" s="1560"/>
      <c r="F10" s="1560"/>
      <c r="G10" s="1561"/>
    </row>
    <row r="11" spans="1:7" ht="17.25" customHeight="1" x14ac:dyDescent="0.25">
      <c r="A11" s="2294" t="s">
        <v>2073</v>
      </c>
      <c r="B11" s="2295"/>
      <c r="C11" s="2295"/>
      <c r="D11" s="2295"/>
      <c r="E11" s="2295"/>
      <c r="F11" s="2295"/>
      <c r="G11" s="2296"/>
    </row>
    <row r="12" spans="1:7" ht="15" customHeight="1" x14ac:dyDescent="0.25">
      <c r="A12" s="1559" t="s">
        <v>1930</v>
      </c>
      <c r="B12" s="1560"/>
      <c r="C12" s="1560"/>
      <c r="D12" s="1560"/>
      <c r="E12" s="1560"/>
      <c r="F12" s="1560"/>
      <c r="G12" s="1561"/>
    </row>
    <row r="13" spans="1:7" ht="32.25" customHeight="1" x14ac:dyDescent="0.25">
      <c r="A13" s="2285" t="s">
        <v>1931</v>
      </c>
      <c r="B13" s="2286"/>
      <c r="C13" s="2286"/>
      <c r="D13" s="2286"/>
      <c r="E13" s="2286"/>
      <c r="F13" s="2286"/>
      <c r="G13" s="2287"/>
    </row>
    <row r="14" spans="1:7" x14ac:dyDescent="0.25">
      <c r="A14" s="1683" t="s">
        <v>1939</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1940</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6" t="s">
        <v>2112</v>
      </c>
      <c r="B17" s="1957" t="s">
        <v>2113</v>
      </c>
      <c r="C17" s="1958" t="s">
        <v>2114</v>
      </c>
      <c r="D17" s="1867">
        <f>2883+4309</f>
        <v>7192</v>
      </c>
      <c r="E17" s="1562">
        <f t="shared" ref="E17:E141" si="1">IF(D17&lt;=25000,D17,IF(D17&gt;25000,25000,0))</f>
        <v>7192</v>
      </c>
      <c r="F17" s="1815">
        <f t="shared" si="0"/>
        <v>7192</v>
      </c>
      <c r="G17" s="1816">
        <f>IF(F17=0,0,D17-F17)</f>
        <v>0</v>
      </c>
      <c r="H17" s="1669"/>
    </row>
    <row r="18" spans="1:8" x14ac:dyDescent="0.25">
      <c r="A18" s="1956" t="s">
        <v>2115</v>
      </c>
      <c r="B18" s="1957" t="s">
        <v>2116</v>
      </c>
      <c r="C18" s="1958" t="s">
        <v>2117</v>
      </c>
      <c r="D18" s="1867">
        <v>374239</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349239</v>
      </c>
    </row>
    <row r="19" spans="1:8" x14ac:dyDescent="0.25">
      <c r="A19" s="1956" t="s">
        <v>2118</v>
      </c>
      <c r="B19" s="1957" t="s">
        <v>2119</v>
      </c>
      <c r="C19" s="1958" t="s">
        <v>2120</v>
      </c>
      <c r="D19" s="1867">
        <v>694482</v>
      </c>
      <c r="E19" s="1562">
        <f t="shared" si="2"/>
        <v>25000</v>
      </c>
      <c r="F19" s="1815">
        <f t="shared" si="3"/>
        <v>25000</v>
      </c>
      <c r="G19" s="1816">
        <f t="shared" si="4"/>
        <v>669482</v>
      </c>
    </row>
    <row r="20" spans="1:8" ht="30" x14ac:dyDescent="0.25">
      <c r="A20" s="1956" t="s">
        <v>2112</v>
      </c>
      <c r="B20" s="1957" t="s">
        <v>2113</v>
      </c>
      <c r="C20" s="1958" t="s">
        <v>2121</v>
      </c>
      <c r="D20" s="1867">
        <v>345401</v>
      </c>
      <c r="E20" s="1562">
        <f t="shared" si="2"/>
        <v>25000</v>
      </c>
      <c r="F20" s="1815">
        <f t="shared" si="3"/>
        <v>25000</v>
      </c>
      <c r="G20" s="1816">
        <f t="shared" si="4"/>
        <v>320401</v>
      </c>
    </row>
    <row r="21" spans="1:8" ht="30" x14ac:dyDescent="0.25">
      <c r="A21" s="1956" t="s">
        <v>2125</v>
      </c>
      <c r="B21" s="1957" t="s">
        <v>2122</v>
      </c>
      <c r="C21" s="1958" t="s">
        <v>2123</v>
      </c>
      <c r="D21" s="1867">
        <v>62120</v>
      </c>
      <c r="E21" s="1562">
        <f t="shared" si="2"/>
        <v>25000</v>
      </c>
      <c r="F21" s="1815">
        <f t="shared" si="3"/>
        <v>25000</v>
      </c>
      <c r="G21" s="1816">
        <f t="shared" si="4"/>
        <v>37120</v>
      </c>
    </row>
    <row r="22" spans="1:8" x14ac:dyDescent="0.25">
      <c r="A22" s="1956" t="s">
        <v>2126</v>
      </c>
      <c r="B22" s="1957" t="s">
        <v>2124</v>
      </c>
      <c r="C22" s="1958" t="s">
        <v>2127</v>
      </c>
      <c r="D22" s="1867">
        <v>101286</v>
      </c>
      <c r="E22" s="1562">
        <f t="shared" si="2"/>
        <v>25000</v>
      </c>
      <c r="F22" s="1815">
        <f t="shared" si="3"/>
        <v>25000</v>
      </c>
      <c r="G22" s="1816">
        <f t="shared" si="4"/>
        <v>76286</v>
      </c>
    </row>
    <row r="23" spans="1:8" x14ac:dyDescent="0.25">
      <c r="A23" s="1956" t="s">
        <v>2118</v>
      </c>
      <c r="B23" s="1957" t="s">
        <v>2119</v>
      </c>
      <c r="C23" s="1958" t="s">
        <v>2128</v>
      </c>
      <c r="D23" s="1867">
        <v>130786</v>
      </c>
      <c r="E23" s="1562">
        <f t="shared" si="2"/>
        <v>25000</v>
      </c>
      <c r="F23" s="1815">
        <f t="shared" si="3"/>
        <v>25000</v>
      </c>
      <c r="G23" s="1816">
        <f t="shared" si="4"/>
        <v>105786</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1715506</v>
      </c>
      <c r="E141" s="1563">
        <f t="shared" si="1"/>
        <v>25000</v>
      </c>
      <c r="F141" s="1817">
        <f>SUM(F17:F140)</f>
        <v>157192</v>
      </c>
      <c r="G141" s="1818">
        <f>SUM(G17:G140)</f>
        <v>1558314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5" sqref="A15:H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c r="F10" s="975"/>
      <c r="G10" s="976"/>
      <c r="H10" s="162"/>
      <c r="I10" s="162"/>
    </row>
    <row r="11" spans="1:9" s="669" customFormat="1" ht="22.5" customHeight="1" x14ac:dyDescent="0.2">
      <c r="A11" s="2305" t="s">
        <v>1942</v>
      </c>
      <c r="B11" s="2306"/>
      <c r="C11" s="2306"/>
      <c r="D11" s="2307"/>
      <c r="E11" s="978">
        <v>43233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10162995</v>
      </c>
      <c r="F19" s="1822"/>
      <c r="G19" s="1824">
        <f>'Expenditures 15-22'!K33-SUM('Expenditures 15-22'!G33,'Expenditures 15-22'!I33)+'Expenditures 15-22'!D229</f>
        <v>10162995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1406142</v>
      </c>
      <c r="F21" s="1825"/>
      <c r="G21" s="1828">
        <f>'Expenditures 15-22'!K42-SUM('Expenditures 15-22'!G42,'Expenditures 15-22'!I42)+'Expenditures 15-22'!K120-SUM('Expenditures 15-22'!G120,'Expenditures 15-22'!I120)+'Expenditures 15-22'!K180-SUM('Expenditures 15-22'!G180,'Expenditures 15-22'!I180)+'Expenditures 15-22'!D238</f>
        <v>1406142</v>
      </c>
      <c r="H21" s="988"/>
      <c r="I21" s="162"/>
    </row>
    <row r="22" spans="1:9" s="669" customFormat="1" ht="12" customHeight="1" x14ac:dyDescent="0.2">
      <c r="A22" s="995" t="s">
        <v>585</v>
      </c>
      <c r="B22" s="996"/>
      <c r="C22" s="994">
        <v>2200</v>
      </c>
      <c r="D22" s="1825"/>
      <c r="E22" s="1827">
        <f>'Expenditures 15-22'!K47-SUM('Expenditures 15-22'!G47,'Expenditures 15-22'!I47)+'Expenditures 15-22'!D243</f>
        <v>981325</v>
      </c>
      <c r="F22" s="1825"/>
      <c r="G22" s="1828">
        <f>'Expenditures 15-22'!K47-SUM('Expenditures 15-22'!G47,'Expenditures 15-22'!I47)+'Expenditures 15-22'!D243</f>
        <v>981325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809643</v>
      </c>
      <c r="F23" s="1825"/>
      <c r="G23" s="1827">
        <f>'Expenditures 15-22'!K53-SUM('Expenditures 15-22'!G53,'Expenditures 15-22'!I53)+'Expenditures 15-22'!D257+'Expenditures 15-22'!K330-SUM('Expenditures 15-22'!G330,'Expenditures 15-22'!I330)</f>
        <v>809643</v>
      </c>
      <c r="H23" s="988"/>
      <c r="I23" s="162"/>
    </row>
    <row r="24" spans="1:9" s="669" customFormat="1" ht="12" customHeight="1" x14ac:dyDescent="0.2">
      <c r="A24" s="995" t="s">
        <v>587</v>
      </c>
      <c r="B24" s="996"/>
      <c r="C24" s="994">
        <v>2400</v>
      </c>
      <c r="D24" s="1825"/>
      <c r="E24" s="1827">
        <f>'Expenditures 15-22'!K57-SUM('Expenditures 15-22'!G57,'Expenditures 15-22'!I57)+'Expenditures 15-22'!D261</f>
        <v>931143</v>
      </c>
      <c r="F24" s="1825"/>
      <c r="G24" s="1828">
        <f>'Expenditures 15-22'!K57-SUM('Expenditures 15-22'!G57,'Expenditures 15-22'!I57)+'Expenditures 15-22'!D261</f>
        <v>931143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159332</v>
      </c>
      <c r="E26" s="1827">
        <f>'Expenditures 15-22'!K122-SUM('Expenditures 15-22'!G122,'Expenditures 15-22'!I122)+E7</f>
        <v>0</v>
      </c>
      <c r="F26" s="1827">
        <f>'Expenditures 15-22'!K59-SUM('Expenditures 15-22'!G59,'Expenditures 15-22'!I59)+'Expenditures 15-22'!D263-E7</f>
        <v>159332</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221220</v>
      </c>
      <c r="E27" s="1827">
        <f>E8</f>
        <v>0</v>
      </c>
      <c r="F27" s="1827">
        <f>'Expenditures 15-22'!K60-SUM('Expenditures 15-22'!G60,'Expenditures 15-22'!I60)+'Expenditures 15-22'!D264-E8</f>
        <v>221220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1623189</v>
      </c>
      <c r="F28" s="1829">
        <f>'Expenditures 15-22'!K61-SUM('Expenditures 15-22'!G61,'Expenditures 15-22'!I61)+'Expenditures 15-22'!K124-SUM('Expenditures 15-22'!G124,'Expenditures 15-22'!I124)+'Expenditures 15-22'!D266-E9</f>
        <v>1623189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890727</v>
      </c>
      <c r="F29" s="1825"/>
      <c r="G29" s="1828">
        <f>'Expenditures 15-22'!K62-SUM('Expenditures 15-22'!G62,'Expenditures 15-22'!I62)+'Expenditures 15-22'!K125-SUM('Expenditures 15-22'!G125,'Expenditures 15-22'!I125)+'Expenditures 15-22'!K182-SUM('Expenditures 15-22'!G182,'Expenditures 15-22'!I182)+'Expenditures 15-22'!D267</f>
        <v>890727</v>
      </c>
      <c r="H29" s="986"/>
    </row>
    <row r="30" spans="1:9" ht="12" customHeight="1" x14ac:dyDescent="0.2">
      <c r="A30" s="995" t="s">
        <v>102</v>
      </c>
      <c r="B30" s="998"/>
      <c r="C30" s="994">
        <v>2560</v>
      </c>
      <c r="D30" s="1825"/>
      <c r="E30" s="1827">
        <f>'Expenditures 15-22'!K63-SUM('Expenditures 15-22'!G63,'Expenditures 15-22'!I63)+'Expenditures 15-22'!D268-E10</f>
        <v>456009</v>
      </c>
      <c r="F30" s="1825"/>
      <c r="G30" s="1827">
        <f>'Expenditures 15-22'!K63-SUM('Expenditures 15-22'!G63,'Expenditures 15-22'!I63)+'Expenditures 15-22'!D268-E10</f>
        <v>456009</v>
      </c>
    </row>
    <row r="31" spans="1:9" ht="12" customHeight="1" x14ac:dyDescent="0.2">
      <c r="A31" s="995" t="s">
        <v>103</v>
      </c>
      <c r="B31" s="998"/>
      <c r="C31" s="994">
        <v>2570</v>
      </c>
      <c r="D31" s="1827">
        <f>'Expenditures 15-22'!K64-SUM('Expenditures 15-22'!G64,'Expenditures 15-22'!I64)+'Expenditures 15-22'!D269-E12</f>
        <v>65743</v>
      </c>
      <c r="E31" s="1827">
        <f>E12</f>
        <v>0</v>
      </c>
      <c r="F31" s="1827">
        <f>'Expenditures 15-22'!K64-SUM('Expenditures 15-22'!G64,'Expenditures 15-22'!I64)+'Expenditures 15-22'!D269-E12</f>
        <v>65743</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10585</v>
      </c>
      <c r="F34" s="1825"/>
      <c r="G34" s="1827">
        <f>'Expenditures 15-22'!K68-SUM('Expenditures 15-22'!G68,'Expenditures 15-22'!I68)+'Expenditures 15-22'!D273</f>
        <v>10585</v>
      </c>
    </row>
    <row r="35" spans="1:7" ht="12" customHeight="1" x14ac:dyDescent="0.2">
      <c r="A35" s="995" t="s">
        <v>1121</v>
      </c>
      <c r="B35" s="998"/>
      <c r="C35" s="994">
        <v>2630</v>
      </c>
      <c r="D35" s="1825"/>
      <c r="E35" s="1827">
        <f>'Expenditures 15-22'!K69-SUM('Expenditures 15-22'!G69,'Expenditures 15-22'!I69)+'Expenditures 15-22'!D274</f>
        <v>41934</v>
      </c>
      <c r="F35" s="1825"/>
      <c r="G35" s="1827">
        <f>'Expenditures 15-22'!K69-SUM('Expenditures 15-22'!G69,'Expenditures 15-22'!I69)+'Expenditures 15-22'!D274</f>
        <v>41934</v>
      </c>
    </row>
    <row r="36" spans="1:7" ht="12" customHeight="1" x14ac:dyDescent="0.2">
      <c r="A36" s="995" t="s">
        <v>423</v>
      </c>
      <c r="B36" s="998"/>
      <c r="C36" s="994">
        <v>2640</v>
      </c>
      <c r="D36" s="1827">
        <f>'Expenditures 15-22'!K70-SUM('Expenditures 15-22'!G70,'Expenditures 15-22'!I70)+'Expenditures 15-22'!D275-E13</f>
        <v>81483</v>
      </c>
      <c r="E36" s="1827">
        <f>E13</f>
        <v>0</v>
      </c>
      <c r="F36" s="1827">
        <f>'Expenditures 15-22'!K70-SUM('Expenditures 15-22'!G70,'Expenditures 15-22'!I70)+'Expenditures 15-22'!D275-E13</f>
        <v>81483</v>
      </c>
      <c r="G36" s="1827">
        <f>E13</f>
        <v>0</v>
      </c>
    </row>
    <row r="37" spans="1:7" ht="12" customHeight="1" x14ac:dyDescent="0.2">
      <c r="A37" s="995" t="s">
        <v>424</v>
      </c>
      <c r="B37" s="998"/>
      <c r="C37" s="994">
        <v>2660</v>
      </c>
      <c r="D37" s="1827">
        <f>'Expenditures 15-22'!K71-SUM('Expenditures 15-22'!G71,'Expenditures 15-22'!I71)+'Expenditures 15-22'!D276-E14</f>
        <v>282478</v>
      </c>
      <c r="E37" s="1827">
        <f>E14</f>
        <v>0</v>
      </c>
      <c r="F37" s="1827">
        <f>'Expenditures 15-22'!K71-SUM('Expenditures 15-22'!G71,'Expenditures 15-22'!I71)+'Expenditures 15-22'!D276-E14</f>
        <v>282478</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139869</v>
      </c>
      <c r="F39" s="1825"/>
      <c r="G39" s="1827">
        <f>'Expenditures 15-22'!K75-SUM('Expenditures 15-22'!G75,'Expenditures 15-22'!I75)+'Expenditures 15-22'!K130-SUM('Expenditures 15-22'!G130,'Expenditures 15-22'!I130)+'Expenditures 15-22'!K185-SUM('Expenditures 15-22'!G185,'Expenditures 15-22'!I185)+'Expenditures 15-22'!D280</f>
        <v>139869</v>
      </c>
    </row>
    <row r="40" spans="1:7" ht="12" customHeight="1" x14ac:dyDescent="0.2">
      <c r="A40" s="991" t="s">
        <v>1928</v>
      </c>
      <c r="B40" s="992"/>
      <c r="C40" s="994"/>
      <c r="D40" s="1825"/>
      <c r="E40" s="1829">
        <f>-'Contracts Paid in CY 29'!G141</f>
        <v>-1558314</v>
      </c>
      <c r="F40" s="1825"/>
      <c r="G40" s="1829">
        <f>-'Contracts Paid in CY 29'!G141</f>
        <v>-1558314</v>
      </c>
    </row>
    <row r="41" spans="1:7" ht="12" customHeight="1" x14ac:dyDescent="0.2">
      <c r="A41" s="999" t="s">
        <v>158</v>
      </c>
      <c r="B41" s="1000"/>
      <c r="C41" s="1001"/>
      <c r="D41" s="1829">
        <f>SUM(D19:D39)</f>
        <v>810256</v>
      </c>
      <c r="E41" s="1829">
        <f>SUM(E19:E40)</f>
        <v>15895247</v>
      </c>
      <c r="F41" s="1829">
        <f>SUM(F19:F39)</f>
        <v>2433445</v>
      </c>
      <c r="G41" s="1829">
        <f>SUM(G19:G40)</f>
        <v>14272058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810256</v>
      </c>
      <c r="F43" s="1830" t="s">
        <v>495</v>
      </c>
      <c r="G43" s="1831">
        <f>F41</f>
        <v>2433445</v>
      </c>
    </row>
    <row r="44" spans="1:7" ht="12" customHeight="1" x14ac:dyDescent="0.2">
      <c r="A44" s="988"/>
      <c r="B44" s="162"/>
      <c r="C44" s="1002"/>
      <c r="D44" s="1830" t="s">
        <v>494</v>
      </c>
      <c r="E44" s="1831">
        <f>E41</f>
        <v>15895247</v>
      </c>
      <c r="F44" s="1830" t="s">
        <v>494</v>
      </c>
      <c r="G44" s="1831">
        <f>G41</f>
        <v>14272058</v>
      </c>
    </row>
    <row r="45" spans="1:7" ht="12" customHeight="1" x14ac:dyDescent="0.2">
      <c r="A45" s="988"/>
      <c r="B45" s="162"/>
      <c r="C45" s="162"/>
      <c r="D45" s="1832" t="s">
        <v>1063</v>
      </c>
      <c r="E45" s="1833">
        <f>(E43/E44)</f>
        <v>5.0974734774489508E-2</v>
      </c>
      <c r="F45" s="1832" t="s">
        <v>1063</v>
      </c>
      <c r="G45" s="1833">
        <f>(G43/G44)</f>
        <v>0.17050414172924466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5" sqref="A15:H1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2044</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MUNDELEIN ELEMENTARY SCHOOL DISTRICT NO. 75</v>
      </c>
      <c r="D6" s="2326"/>
      <c r="E6" s="2326"/>
      <c r="F6" s="1877"/>
    </row>
    <row r="7" spans="1:10" ht="11.25" customHeight="1" thickBot="1" x14ac:dyDescent="0.3">
      <c r="A7" s="1875"/>
      <c r="B7" s="1876"/>
      <c r="C7" s="2327">
        <f>COVER!A13</f>
        <v>34049075002</v>
      </c>
      <c r="D7" s="2327"/>
      <c r="E7" s="2327"/>
      <c r="F7" s="1877"/>
    </row>
    <row r="8" spans="1:10" ht="25.5" customHeight="1" thickBot="1" x14ac:dyDescent="0.25">
      <c r="A8" s="1918" t="s">
        <v>2021</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t="s">
        <v>2075</v>
      </c>
      <c r="F11" s="1892" t="s">
        <v>2099</v>
      </c>
      <c r="H11" s="1903">
        <f>IF(C11="X",5,0)</f>
        <v>0</v>
      </c>
      <c r="I11" s="1903">
        <f>IF(D11="X",5,0)</f>
        <v>0</v>
      </c>
      <c r="J11" s="1903">
        <f>IF(E11="X",5,0)</f>
        <v>5</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2075</v>
      </c>
      <c r="D13" s="1890" t="s">
        <v>2075</v>
      </c>
      <c r="E13" s="1893" t="s">
        <v>2075</v>
      </c>
      <c r="F13" s="1892" t="s">
        <v>2100</v>
      </c>
      <c r="H13" s="1903">
        <f t="shared" si="0"/>
        <v>5</v>
      </c>
      <c r="I13" s="1903">
        <f t="shared" si="1"/>
        <v>5</v>
      </c>
      <c r="J13" s="1903">
        <f t="shared" si="2"/>
        <v>5</v>
      </c>
    </row>
    <row r="14" spans="1:10" ht="12" customHeight="1" x14ac:dyDescent="0.2">
      <c r="A14" s="1888" t="s">
        <v>1453</v>
      </c>
      <c r="B14" s="1889"/>
      <c r="C14" s="1890" t="s">
        <v>2075</v>
      </c>
      <c r="D14" s="1890" t="s">
        <v>2075</v>
      </c>
      <c r="E14" s="1893" t="s">
        <v>2075</v>
      </c>
      <c r="F14" s="1892" t="s">
        <v>2101</v>
      </c>
      <c r="H14" s="1903">
        <f t="shared" si="0"/>
        <v>5</v>
      </c>
      <c r="I14" s="1903">
        <f t="shared" si="1"/>
        <v>5</v>
      </c>
      <c r="J14" s="1903">
        <f t="shared" si="2"/>
        <v>5</v>
      </c>
    </row>
    <row r="15" spans="1:10" ht="12" customHeight="1" x14ac:dyDescent="0.2">
      <c r="A15" s="1888" t="s">
        <v>1454</v>
      </c>
      <c r="B15" s="1889"/>
      <c r="C15" s="1890" t="s">
        <v>2075</v>
      </c>
      <c r="D15" s="1890" t="s">
        <v>2075</v>
      </c>
      <c r="E15" s="1893" t="s">
        <v>2075</v>
      </c>
      <c r="F15" s="1892" t="s">
        <v>2102</v>
      </c>
      <c r="H15" s="1903">
        <f t="shared" si="0"/>
        <v>5</v>
      </c>
      <c r="I15" s="1903">
        <f t="shared" si="1"/>
        <v>5</v>
      </c>
      <c r="J15" s="1903">
        <f t="shared" si="2"/>
        <v>5</v>
      </c>
    </row>
    <row r="16" spans="1:10" ht="12" customHeight="1" x14ac:dyDescent="0.2">
      <c r="A16" s="1888" t="s">
        <v>1455</v>
      </c>
      <c r="B16" s="1889"/>
      <c r="C16" s="1890"/>
      <c r="D16" s="1890" t="s">
        <v>2075</v>
      </c>
      <c r="E16" s="1893" t="s">
        <v>2075</v>
      </c>
      <c r="F16" s="1892" t="s">
        <v>2103</v>
      </c>
      <c r="H16" s="1903">
        <f t="shared" si="0"/>
        <v>0</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t="s">
        <v>2075</v>
      </c>
      <c r="D18" s="1890" t="s">
        <v>2075</v>
      </c>
      <c r="E18" s="1893" t="s">
        <v>2075</v>
      </c>
      <c r="F18" s="1892" t="s">
        <v>2104</v>
      </c>
      <c r="H18" s="1903">
        <f t="shared" si="0"/>
        <v>5</v>
      </c>
      <c r="I18" s="1903">
        <f t="shared" si="1"/>
        <v>5</v>
      </c>
      <c r="J18" s="1903">
        <f t="shared" si="2"/>
        <v>5</v>
      </c>
    </row>
    <row r="19" spans="1:12" ht="12" customHeight="1" x14ac:dyDescent="0.2">
      <c r="A19" s="1888" t="s">
        <v>1608</v>
      </c>
      <c r="B19" s="1889"/>
      <c r="C19" s="1890" t="s">
        <v>2075</v>
      </c>
      <c r="D19" s="1890" t="s">
        <v>2075</v>
      </c>
      <c r="E19" s="1893" t="s">
        <v>2075</v>
      </c>
      <c r="F19" s="1892" t="s">
        <v>2105</v>
      </c>
      <c r="H19" s="1903">
        <f t="shared" si="0"/>
        <v>5</v>
      </c>
      <c r="I19" s="1903">
        <f t="shared" si="1"/>
        <v>5</v>
      </c>
      <c r="J19" s="1903">
        <f t="shared" si="2"/>
        <v>5</v>
      </c>
    </row>
    <row r="20" spans="1:12" ht="12" customHeight="1" x14ac:dyDescent="0.2">
      <c r="A20" s="1888" t="s">
        <v>1609</v>
      </c>
      <c r="B20" s="1889"/>
      <c r="C20" s="1890" t="s">
        <v>2075</v>
      </c>
      <c r="D20" s="1890" t="s">
        <v>2075</v>
      </c>
      <c r="E20" s="1893" t="s">
        <v>2075</v>
      </c>
      <c r="F20" s="1892" t="s">
        <v>2106</v>
      </c>
      <c r="H20" s="1903">
        <f t="shared" si="0"/>
        <v>5</v>
      </c>
      <c r="I20" s="1903">
        <f t="shared" si="1"/>
        <v>5</v>
      </c>
      <c r="J20" s="1903">
        <f t="shared" si="2"/>
        <v>5</v>
      </c>
    </row>
    <row r="21" spans="1:12" ht="12" customHeight="1" x14ac:dyDescent="0.2">
      <c r="A21" s="1888" t="s">
        <v>1610</v>
      </c>
      <c r="B21" s="1889"/>
      <c r="C21" s="1890"/>
      <c r="D21" s="1890"/>
      <c r="E21" s="1893" t="s">
        <v>2075</v>
      </c>
      <c r="F21" s="1892" t="s">
        <v>2099</v>
      </c>
      <c r="H21" s="1903">
        <f t="shared" si="0"/>
        <v>0</v>
      </c>
      <c r="I21" s="1903">
        <f t="shared" si="1"/>
        <v>0</v>
      </c>
      <c r="J21" s="1903">
        <f t="shared" si="2"/>
        <v>5</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2075</v>
      </c>
      <c r="D24" s="1890" t="s">
        <v>2075</v>
      </c>
      <c r="E24" s="1893" t="s">
        <v>2075</v>
      </c>
      <c r="F24" s="1892" t="s">
        <v>2107</v>
      </c>
      <c r="H24" s="1903">
        <f t="shared" si="0"/>
        <v>5</v>
      </c>
      <c r="I24" s="1903">
        <f t="shared" si="1"/>
        <v>5</v>
      </c>
      <c r="J24" s="1903">
        <f t="shared" si="2"/>
        <v>5</v>
      </c>
    </row>
    <row r="25" spans="1:12" ht="12" customHeight="1" x14ac:dyDescent="0.2">
      <c r="A25" s="1888" t="s">
        <v>1614</v>
      </c>
      <c r="B25" s="1889"/>
      <c r="C25" s="1890" t="s">
        <v>2075</v>
      </c>
      <c r="D25" s="1890" t="s">
        <v>2075</v>
      </c>
      <c r="E25" s="1893" t="s">
        <v>2075</v>
      </c>
      <c r="F25" s="1892" t="s">
        <v>2108</v>
      </c>
      <c r="H25" s="1903">
        <f t="shared" si="0"/>
        <v>5</v>
      </c>
      <c r="I25" s="1903">
        <f t="shared" si="1"/>
        <v>5</v>
      </c>
      <c r="J25" s="1903">
        <f t="shared" si="2"/>
        <v>5</v>
      </c>
    </row>
    <row r="26" spans="1:12" ht="12" customHeight="1" x14ac:dyDescent="0.2">
      <c r="A26" s="1888" t="s">
        <v>1615</v>
      </c>
      <c r="B26" s="1889"/>
      <c r="C26" s="1890" t="s">
        <v>2075</v>
      </c>
      <c r="D26" s="1890" t="s">
        <v>2075</v>
      </c>
      <c r="E26" s="1893" t="s">
        <v>2075</v>
      </c>
      <c r="F26" s="1892" t="s">
        <v>2103</v>
      </c>
      <c r="H26" s="1903">
        <f t="shared" si="0"/>
        <v>5</v>
      </c>
      <c r="I26" s="1903">
        <f t="shared" si="1"/>
        <v>5</v>
      </c>
      <c r="J26" s="1903">
        <f t="shared" si="2"/>
        <v>5</v>
      </c>
    </row>
    <row r="27" spans="1:12" ht="18.75" x14ac:dyDescent="0.2">
      <c r="A27" s="1888" t="s">
        <v>1616</v>
      </c>
      <c r="B27" s="1889"/>
      <c r="C27" s="1890"/>
      <c r="D27" s="1890" t="s">
        <v>2075</v>
      </c>
      <c r="E27" s="1893" t="s">
        <v>2075</v>
      </c>
      <c r="F27" s="1892" t="s">
        <v>2109</v>
      </c>
      <c r="H27" s="1903">
        <f t="shared" si="0"/>
        <v>0</v>
      </c>
      <c r="I27" s="1903">
        <f t="shared" si="1"/>
        <v>5</v>
      </c>
      <c r="J27" s="1903">
        <f t="shared" si="2"/>
        <v>5</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2075</v>
      </c>
      <c r="D29" s="1890" t="s">
        <v>2075</v>
      </c>
      <c r="E29" s="1893" t="s">
        <v>2075</v>
      </c>
      <c r="F29" s="1892" t="s">
        <v>2099</v>
      </c>
      <c r="H29" s="1903">
        <f t="shared" si="0"/>
        <v>5</v>
      </c>
      <c r="I29" s="1903">
        <f t="shared" si="1"/>
        <v>5</v>
      </c>
      <c r="J29" s="1903">
        <f t="shared" si="2"/>
        <v>5</v>
      </c>
    </row>
    <row r="30" spans="1:12" ht="12" customHeight="1" x14ac:dyDescent="0.2">
      <c r="A30" s="1888" t="s">
        <v>1619</v>
      </c>
      <c r="B30" s="1889"/>
      <c r="C30" s="1890" t="s">
        <v>2075</v>
      </c>
      <c r="D30" s="1890" t="s">
        <v>2075</v>
      </c>
      <c r="E30" s="1893" t="s">
        <v>2075</v>
      </c>
      <c r="F30" s="1892" t="s">
        <v>2110</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2075</v>
      </c>
      <c r="D33" s="1890" t="s">
        <v>2075</v>
      </c>
      <c r="E33" s="1893" t="s">
        <v>2075</v>
      </c>
      <c r="F33" s="1892" t="s">
        <v>2111</v>
      </c>
      <c r="H33" s="1903">
        <f t="shared" si="0"/>
        <v>5</v>
      </c>
      <c r="I33" s="1903">
        <f t="shared" si="1"/>
        <v>5</v>
      </c>
      <c r="J33" s="1903">
        <f t="shared" si="2"/>
        <v>5</v>
      </c>
    </row>
    <row r="34" spans="1:11" ht="12" customHeight="1" x14ac:dyDescent="0.25">
      <c r="A34" s="1895"/>
      <c r="B34" s="1895"/>
      <c r="C34" s="1895"/>
      <c r="D34" s="1895"/>
      <c r="E34" s="1895"/>
      <c r="F34" s="1895"/>
      <c r="H34" s="1903">
        <f>SUM(H11:H32)</f>
        <v>55</v>
      </c>
      <c r="I34" s="1903">
        <f>SUM(I11:I32)</f>
        <v>65</v>
      </c>
      <c r="J34" s="1903">
        <f>SUM(J11:J32)</f>
        <v>75</v>
      </c>
      <c r="K34" s="1903">
        <f>SUM(H34:J34)</f>
        <v>195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5" sqref="A15: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MUNDELEIN ELEMENTARY SCHOOL DISTRICT NO. 75</v>
      </c>
      <c r="J6" s="2336"/>
      <c r="Q6" s="1686"/>
    </row>
    <row r="7" spans="1:17" x14ac:dyDescent="0.2">
      <c r="A7" s="2337" t="s">
        <v>924</v>
      </c>
      <c r="B7" s="2338"/>
      <c r="C7" s="2338"/>
      <c r="D7" s="2338"/>
      <c r="E7" s="2339"/>
      <c r="F7" s="1018"/>
      <c r="G7" s="1010"/>
      <c r="H7" s="1017" t="s">
        <v>390</v>
      </c>
      <c r="I7" s="2340">
        <f>COVER!A13</f>
        <v>34049075002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262902</v>
      </c>
      <c r="F12" s="1040"/>
      <c r="G12" s="1834">
        <f t="shared" ref="G12:G18" si="0">SUM(E12:F12)</f>
        <v>262902</v>
      </c>
      <c r="H12" s="1041">
        <v>277204</v>
      </c>
      <c r="I12" s="1040"/>
      <c r="J12" s="1834">
        <f t="shared" ref="J12:J18" si="1">SUM(H12:I12)</f>
        <v>277204</v>
      </c>
    </row>
    <row r="13" spans="1:17" ht="15" customHeight="1" x14ac:dyDescent="0.2">
      <c r="A13" s="1036">
        <v>2</v>
      </c>
      <c r="B13" s="1037" t="s">
        <v>44</v>
      </c>
      <c r="C13" s="1038"/>
      <c r="D13" s="1039">
        <v>2330</v>
      </c>
      <c r="E13" s="1834">
        <f>'Expenditures 15-22'!K51</f>
        <v>235764</v>
      </c>
      <c r="F13" s="1040"/>
      <c r="G13" s="1834">
        <f t="shared" si="0"/>
        <v>235764</v>
      </c>
      <c r="H13" s="1041">
        <v>239402</v>
      </c>
      <c r="I13" s="1040"/>
      <c r="J13" s="1834">
        <f t="shared" si="1"/>
        <v>239402</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157604</v>
      </c>
      <c r="F15" s="1834">
        <f>'Expenditures 15-22'!K122</f>
        <v>0</v>
      </c>
      <c r="G15" s="1834">
        <f t="shared" si="0"/>
        <v>157604</v>
      </c>
      <c r="H15" s="1041">
        <v>162090</v>
      </c>
      <c r="I15" s="1041"/>
      <c r="J15" s="1834">
        <f t="shared" si="1"/>
        <v>162090</v>
      </c>
    </row>
    <row r="16" spans="1:17" ht="15" customHeight="1" x14ac:dyDescent="0.2">
      <c r="A16" s="1036">
        <v>5</v>
      </c>
      <c r="B16" s="1037" t="s">
        <v>103</v>
      </c>
      <c r="C16" s="1038"/>
      <c r="D16" s="1039">
        <v>2570</v>
      </c>
      <c r="E16" s="1834">
        <f>'Expenditures 15-22'!K64</f>
        <v>65743</v>
      </c>
      <c r="F16" s="1040"/>
      <c r="G16" s="1834">
        <f t="shared" si="0"/>
        <v>65743</v>
      </c>
      <c r="H16" s="1041">
        <v>74080</v>
      </c>
      <c r="I16" s="1040"/>
      <c r="J16" s="1834">
        <f t="shared" si="1"/>
        <v>74080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722013</v>
      </c>
      <c r="F19" s="1836">
        <f t="shared" si="2"/>
        <v>0</v>
      </c>
      <c r="G19" s="1836">
        <f t="shared" si="2"/>
        <v>722013</v>
      </c>
      <c r="H19" s="1836">
        <f t="shared" si="2"/>
        <v>752776</v>
      </c>
      <c r="I19" s="1836">
        <f t="shared" si="2"/>
        <v>0</v>
      </c>
      <c r="J19" s="1836">
        <f t="shared" si="2"/>
        <v>752776</v>
      </c>
    </row>
    <row r="20" spans="1:10" ht="13.5" thickTop="1" x14ac:dyDescent="0.2">
      <c r="A20" s="1036">
        <v>9</v>
      </c>
      <c r="B20" s="2347" t="s">
        <v>1703</v>
      </c>
      <c r="C20" s="2347"/>
      <c r="D20" s="2348"/>
      <c r="E20" s="1047"/>
      <c r="F20" s="1047"/>
      <c r="G20" s="1047"/>
      <c r="H20" s="1047"/>
      <c r="I20" s="1047"/>
      <c r="J20" s="1837">
        <f>IF(AND(G19&gt;0,J19&gt;0),(((J19-G19)/G19)),"Enter Budget Data")</f>
        <v>4.2607266074156561E-2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5" sqref="A15:H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2096</v>
      </c>
    </row>
    <row r="6" spans="1:2" x14ac:dyDescent="0.2">
      <c r="A6" s="1069">
        <v>2</v>
      </c>
      <c r="B6" s="329" t="s">
        <v>2095</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MUNDELEIN ELEMENTARY SCHOOL DISTRICT NO. 75</v>
      </c>
    </row>
    <row r="65" spans="2:2" x14ac:dyDescent="0.2">
      <c r="B65" s="1071">
        <f>COVER!A13</f>
        <v>34049075002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781050</xdr:colOff>
                <xdr:row>3</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1466850</xdr:colOff>
                <xdr:row>0</xdr:row>
                <xdr:rowOff>57150</xdr:rowOff>
              </from>
              <to>
                <xdr:col>1</xdr:col>
                <xdr:colOff>2381250</xdr:colOff>
                <xdr:row>4</xdr:row>
                <xdr:rowOff>47625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2052</v>
      </c>
      <c r="B4" s="2375"/>
      <c r="C4" s="2375"/>
      <c r="D4" s="2375"/>
      <c r="E4" s="2375"/>
      <c r="F4" s="2376"/>
      <c r="G4" s="1075"/>
      <c r="H4" s="1075"/>
    </row>
    <row r="5" spans="1:8" ht="14.25" customHeight="1" x14ac:dyDescent="0.2">
      <c r="A5" s="2377" t="s">
        <v>2053</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17262626</v>
      </c>
      <c r="C8" s="1838">
        <f>'Acct Summary 7-8'!D8</f>
        <v>2232312</v>
      </c>
      <c r="D8" s="1838">
        <f>'Acct Summary 7-8'!F8</f>
        <v>621127</v>
      </c>
      <c r="E8" s="1838">
        <f>'Acct Summary 7-8'!I8</f>
        <v>18772</v>
      </c>
      <c r="F8" s="1838">
        <f>SUM(B8:E8)</f>
        <v>20134837</v>
      </c>
    </row>
    <row r="9" spans="1:8" s="1080" customFormat="1" ht="14.25" customHeight="1" thickBot="1" x14ac:dyDescent="0.25">
      <c r="A9" s="1079" t="s">
        <v>1436</v>
      </c>
      <c r="B9" s="1839">
        <f>'Acct Summary 7-8'!C17</f>
        <v>16552196</v>
      </c>
      <c r="C9" s="1839">
        <f>'Acct Summary 7-8'!D17</f>
        <v>1792814</v>
      </c>
      <c r="D9" s="1839">
        <f>'Acct Summary 7-8'!F17</f>
        <v>919123</v>
      </c>
      <c r="E9" s="1838"/>
      <c r="F9" s="1838">
        <f>SUM(B9:E9)</f>
        <v>19264133</v>
      </c>
    </row>
    <row r="10" spans="1:8" s="1080" customFormat="1" ht="14.25" thickTop="1" thickBot="1" x14ac:dyDescent="0.25">
      <c r="A10" s="1081" t="s">
        <v>1437</v>
      </c>
      <c r="B10" s="1840">
        <f>(B8-B9)</f>
        <v>710430</v>
      </c>
      <c r="C10" s="1840">
        <f>(C8-C9)</f>
        <v>439498</v>
      </c>
      <c r="D10" s="1840">
        <f>(D8-D9)</f>
        <v>-297996</v>
      </c>
      <c r="E10" s="1839">
        <f>(E8-E9)</f>
        <v>18772</v>
      </c>
      <c r="F10" s="1841">
        <f>SUM(F8-F9)</f>
        <v>870704</v>
      </c>
    </row>
    <row r="11" spans="1:8" s="1080" customFormat="1" ht="14.25" thickTop="1" thickBot="1" x14ac:dyDescent="0.25">
      <c r="A11" s="1082" t="s">
        <v>1785</v>
      </c>
      <c r="B11" s="1842">
        <f>'Acct Summary 7-8'!C81</f>
        <v>5391368</v>
      </c>
      <c r="C11" s="1842">
        <f>'Acct Summary 7-8'!D81</f>
        <v>-121918</v>
      </c>
      <c r="D11" s="1842">
        <f>'Acct Summary 7-8'!F81</f>
        <v>438740</v>
      </c>
      <c r="E11" s="1842">
        <f>'Acct Summary 7-8'!I81</f>
        <v>1240474</v>
      </c>
      <c r="F11" s="1843">
        <f>SUM(B11:E11)</f>
        <v>6948664</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M33" sqref="M3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34049075002</v>
      </c>
    </row>
    <row r="3" spans="1:2" x14ac:dyDescent="0.2">
      <c r="A3" t="s">
        <v>1013</v>
      </c>
      <c r="B3" s="138" t="str">
        <f>COVER!A15</f>
        <v>LAKE</v>
      </c>
    </row>
    <row r="4" spans="1:2" x14ac:dyDescent="0.2">
      <c r="A4" t="s">
        <v>1064</v>
      </c>
      <c r="B4" s="138" t="str">
        <f>COVER!A17</f>
        <v>MUNDELEIN ELEMENTARY SCHOOL DISTRICT NO. 75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&amp;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14096342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22769</v>
      </c>
      <c r="D86" s="2" t="str">
        <f t="shared" si="0"/>
        <v>Error?</v>
      </c>
    </row>
    <row r="87" spans="1:4" x14ac:dyDescent="0.2">
      <c r="A87" s="10">
        <v>26</v>
      </c>
      <c r="D87" s="2" t="str">
        <f t="shared" si="0"/>
        <v>OK</v>
      </c>
    </row>
    <row r="88" spans="1:4" x14ac:dyDescent="0.2">
      <c r="A88" s="5">
        <v>27</v>
      </c>
      <c r="B88" s="138">
        <f>'Assets-Liab 5-6'!C32</f>
        <v>7106257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8704974</v>
      </c>
      <c r="C91" s="2" t="s">
        <v>594</v>
      </c>
      <c r="D91" s="2" t="str">
        <f t="shared" si="0"/>
        <v>Error?</v>
      </c>
    </row>
    <row r="92" spans="1:4" x14ac:dyDescent="0.2">
      <c r="A92" s="5">
        <v>31</v>
      </c>
      <c r="B92" s="138">
        <f>'Assets-Liab 5-6'!C39</f>
        <v>5391368</v>
      </c>
      <c r="D92" s="2" t="str">
        <f t="shared" si="0"/>
        <v>Error?</v>
      </c>
    </row>
    <row r="93" spans="1:4" x14ac:dyDescent="0.2">
      <c r="A93" s="5">
        <v>32</v>
      </c>
      <c r="B93" s="138">
        <f>'Assets-Liab 5-6'!C41</f>
        <v>14096342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499787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580885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621705</v>
      </c>
      <c r="C122" s="2" t="s">
        <v>594</v>
      </c>
      <c r="D122" s="2" t="str">
        <f t="shared" si="0"/>
        <v>Error?</v>
      </c>
    </row>
    <row r="123" spans="1:4" x14ac:dyDescent="0.2">
      <c r="A123" s="5">
        <v>62</v>
      </c>
      <c r="B123" s="138">
        <f>'Assets-Liab 5-6'!D39</f>
        <v>-121918</v>
      </c>
      <c r="D123" s="2" t="str">
        <f t="shared" si="0"/>
        <v>Error?</v>
      </c>
    </row>
    <row r="124" spans="1:4" x14ac:dyDescent="0.2">
      <c r="A124" s="5">
        <v>63</v>
      </c>
      <c r="B124" s="138">
        <f>'Assets-Liab 5-6'!D41</f>
        <v>499787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2049845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811416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811616</v>
      </c>
      <c r="C139" s="2" t="s">
        <v>594</v>
      </c>
      <c r="D139" s="2" t="str">
        <f t="shared" si="1"/>
        <v>Error?</v>
      </c>
    </row>
    <row r="140" spans="1:4" x14ac:dyDescent="0.2">
      <c r="A140" s="5">
        <v>79</v>
      </c>
      <c r="B140" s="138">
        <f>'Assets-Liab 5-6'!E39</f>
        <v>1238229</v>
      </c>
      <c r="D140" s="2" t="str">
        <f t="shared" si="1"/>
        <v>Error?</v>
      </c>
    </row>
    <row r="141" spans="1:4" x14ac:dyDescent="0.2">
      <c r="A141" s="5">
        <v>80</v>
      </c>
      <c r="B141" s="138">
        <f>'Assets-Liab 5-6'!E41</f>
        <v>2049845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700997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233851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262257</v>
      </c>
      <c r="C169" s="2" t="s">
        <v>594</v>
      </c>
      <c r="D169" s="2" t="str">
        <f t="shared" si="1"/>
        <v>Error?</v>
      </c>
    </row>
    <row r="170" spans="1:4" x14ac:dyDescent="0.2">
      <c r="A170" s="5">
        <v>109</v>
      </c>
      <c r="B170" s="138">
        <f>'Assets-Liab 5-6'!F39</f>
        <v>438740</v>
      </c>
      <c r="D170" s="2" t="str">
        <f t="shared" si="1"/>
        <v>Error?</v>
      </c>
    </row>
    <row r="171" spans="1:4" x14ac:dyDescent="0.2">
      <c r="A171" s="5">
        <v>110</v>
      </c>
      <c r="B171" s="138">
        <f>'Assets-Liab 5-6'!F41</f>
        <v>700997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107312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-7094</v>
      </c>
      <c r="D184" s="2" t="str">
        <f t="shared" si="1"/>
        <v>Error?</v>
      </c>
    </row>
    <row r="185" spans="1:4" x14ac:dyDescent="0.2">
      <c r="A185" s="5">
        <v>124</v>
      </c>
      <c r="B185" s="138">
        <f>'Assets-Liab 5-6'!G32</f>
        <v>97311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90217</v>
      </c>
      <c r="C188" s="2" t="s">
        <v>594</v>
      </c>
      <c r="D188" s="2" t="str">
        <f t="shared" si="1"/>
        <v>Error?</v>
      </c>
    </row>
    <row r="189" spans="1:4" x14ac:dyDescent="0.2">
      <c r="A189" s="5">
        <v>128</v>
      </c>
      <c r="B189" s="138">
        <f>'Assets-Liab 5-6'!G39</f>
        <v>17095</v>
      </c>
      <c r="D189" s="2" t="str">
        <f t="shared" si="1"/>
        <v>Error?</v>
      </c>
    </row>
    <row r="190" spans="1:4" x14ac:dyDescent="0.2">
      <c r="A190" s="5">
        <v>129</v>
      </c>
      <c r="B190" s="138">
        <f>'Assets-Liab 5-6'!G41</f>
        <v>107312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4926223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41556</v>
      </c>
      <c r="C211" s="2" t="s">
        <v>594</v>
      </c>
      <c r="D211" s="2" t="str">
        <f t="shared" si="2"/>
        <v>Error?</v>
      </c>
    </row>
    <row r="212" spans="1:4" x14ac:dyDescent="0.2">
      <c r="A212" s="5">
        <v>151</v>
      </c>
      <c r="B212" s="138">
        <f>'Assets-Liab 5-6'!H39</f>
        <v>4884667</v>
      </c>
      <c r="D212" s="2" t="str">
        <f t="shared" si="2"/>
        <v>Error?</v>
      </c>
    </row>
    <row r="213" spans="1:4" x14ac:dyDescent="0.2">
      <c r="A213" s="12">
        <v>152</v>
      </c>
      <c r="B213" s="138">
        <f>'Assets-Liab 5-6'!H41</f>
        <v>4926223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387375</v>
      </c>
      <c r="D273" s="2" t="str">
        <f t="shared" si="3"/>
        <v>Error?</v>
      </c>
    </row>
    <row r="274" spans="1:4" x14ac:dyDescent="0.2">
      <c r="A274" s="5">
        <v>213</v>
      </c>
      <c r="B274" s="138">
        <f>'Assets-Liab 5-6'!M17</f>
        <v>20744872</v>
      </c>
      <c r="D274" s="2" t="str">
        <f t="shared" si="3"/>
        <v>Error?</v>
      </c>
    </row>
    <row r="275" spans="1:4" x14ac:dyDescent="0.2">
      <c r="A275" s="5">
        <v>214</v>
      </c>
      <c r="B275" s="138">
        <f>'Assets-Liab 5-6'!M18</f>
        <v>0</v>
      </c>
      <c r="D275" s="2" t="str">
        <f t="shared" si="3"/>
        <v>Error?</v>
      </c>
    </row>
    <row r="276" spans="1:4" x14ac:dyDescent="0.2">
      <c r="A276" s="5">
        <v>215</v>
      </c>
      <c r="B276" s="138">
        <f>'Assets-Liab 5-6'!M19</f>
        <v>2584374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23771946</v>
      </c>
      <c r="C279" s="2" t="s">
        <v>594</v>
      </c>
      <c r="D279" s="2" t="str">
        <f t="shared" si="3"/>
        <v>Error?</v>
      </c>
    </row>
    <row r="280" spans="1:4" x14ac:dyDescent="0.2">
      <c r="A280" s="5">
        <v>219</v>
      </c>
      <c r="B280" s="138">
        <f>'Assets-Liab 5-6'!M40</f>
        <v>23771946</v>
      </c>
      <c r="D280" s="2" t="str">
        <f t="shared" si="3"/>
        <v>Error?</v>
      </c>
    </row>
    <row r="281" spans="1:4" x14ac:dyDescent="0.2">
      <c r="A281" s="5">
        <v>220</v>
      </c>
      <c r="B281" s="138">
        <f>'Assets-Liab 5-6'!M41</f>
        <v>23771946</v>
      </c>
      <c r="C281" s="2" t="s">
        <v>594</v>
      </c>
      <c r="D281" s="2" t="str">
        <f t="shared" si="3"/>
        <v>Error?</v>
      </c>
    </row>
    <row r="282" spans="1:4" x14ac:dyDescent="0.2">
      <c r="A282" s="5">
        <v>221</v>
      </c>
      <c r="B282" s="138">
        <f>'Assets-Liab 5-6'!N21</f>
        <v>1238229</v>
      </c>
      <c r="D282" s="2" t="str">
        <f t="shared" si="3"/>
        <v>Error?</v>
      </c>
    </row>
    <row r="283" spans="1:4" x14ac:dyDescent="0.2">
      <c r="A283" s="5">
        <v>222</v>
      </c>
      <c r="B283" s="138">
        <f>'Assets-Liab 5-6'!N22</f>
        <v>11575190</v>
      </c>
      <c r="D283" s="2" t="str">
        <f t="shared" si="3"/>
        <v>Error?</v>
      </c>
    </row>
    <row r="284" spans="1:4" x14ac:dyDescent="0.2">
      <c r="A284" s="5">
        <v>223</v>
      </c>
      <c r="B284" s="138">
        <f>'Assets-Liab 5-6'!N23</f>
        <v>12813419</v>
      </c>
      <c r="C284" s="2" t="s">
        <v>594</v>
      </c>
      <c r="D284" s="2" t="str">
        <f t="shared" si="3"/>
        <v>Error?</v>
      </c>
    </row>
    <row r="285" spans="1:4" x14ac:dyDescent="0.2">
      <c r="A285" s="5">
        <v>224</v>
      </c>
      <c r="B285" s="138">
        <f>'Assets-Liab 5-6'!N36</f>
        <v>12813419</v>
      </c>
      <c r="D285" s="2" t="str">
        <f t="shared" si="3"/>
        <v>Error?</v>
      </c>
    </row>
    <row r="286" spans="1:4" x14ac:dyDescent="0.2">
      <c r="A286" s="10">
        <v>225</v>
      </c>
      <c r="D286" s="2" t="str">
        <f t="shared" si="3"/>
        <v>OK</v>
      </c>
    </row>
    <row r="287" spans="1:4" x14ac:dyDescent="0.2">
      <c r="A287" s="5">
        <v>226</v>
      </c>
      <c r="B287" s="138">
        <f>'Assets-Liab 5-6'!N37</f>
        <v>12813419</v>
      </c>
      <c r="C287" s="2" t="s">
        <v>594</v>
      </c>
      <c r="D287" s="2" t="str">
        <f t="shared" si="3"/>
        <v>Error?</v>
      </c>
    </row>
    <row r="288" spans="1:4" x14ac:dyDescent="0.2">
      <c r="A288" s="5">
        <v>227</v>
      </c>
      <c r="B288" s="138">
        <f>'Assets-Liab 5-6'!N41</f>
        <v>12813419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3707000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4733807</v>
      </c>
      <c r="D705" s="2" t="str">
        <f t="shared" si="10"/>
        <v>Error?</v>
      </c>
    </row>
    <row r="706" spans="1:4" x14ac:dyDescent="0.2">
      <c r="A706" s="5">
        <v>645</v>
      </c>
      <c r="B706" s="138">
        <f>'Expenditures 15-22'!C16</f>
        <v>63974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1048186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82872</v>
      </c>
      <c r="D718" s="2" t="str">
        <f t="shared" si="10"/>
        <v>Error?</v>
      </c>
    </row>
    <row r="719" spans="1:4" x14ac:dyDescent="0.2">
      <c r="A719" s="5">
        <v>658</v>
      </c>
      <c r="B719" s="138">
        <f>'Expenditures 15-22'!C15</f>
        <v>6397</v>
      </c>
      <c r="D719" s="2" t="str">
        <f t="shared" si="10"/>
        <v>Error?</v>
      </c>
    </row>
    <row r="720" spans="1:4" x14ac:dyDescent="0.2">
      <c r="A720" s="5">
        <v>659</v>
      </c>
      <c r="B720" s="138">
        <f>'Expenditures 15-22'!C33</f>
        <v>7380393</v>
      </c>
      <c r="C720" s="2" t="s">
        <v>594</v>
      </c>
      <c r="D720" s="2" t="str">
        <f t="shared" si="10"/>
        <v>Error?</v>
      </c>
    </row>
    <row r="721" spans="1:4" x14ac:dyDescent="0.2">
      <c r="A721" s="5">
        <v>660</v>
      </c>
      <c r="B721" s="138">
        <f>'Expenditures 15-22'!C36</f>
        <v>288702</v>
      </c>
      <c r="D721" s="2" t="str">
        <f t="shared" si="10"/>
        <v>Error?</v>
      </c>
    </row>
    <row r="722" spans="1:4" x14ac:dyDescent="0.2">
      <c r="A722" s="5">
        <v>661</v>
      </c>
      <c r="B722" s="138">
        <f>'Expenditures 15-22'!C37</f>
        <v>53123</v>
      </c>
      <c r="D722" s="2" t="str">
        <f t="shared" si="10"/>
        <v>Error?</v>
      </c>
    </row>
    <row r="723" spans="1:4" x14ac:dyDescent="0.2">
      <c r="A723" s="5">
        <v>662</v>
      </c>
      <c r="B723" s="138">
        <f>'Expenditures 15-22'!C38</f>
        <v>106222</v>
      </c>
      <c r="D723" s="2" t="str">
        <f t="shared" si="10"/>
        <v>Error?</v>
      </c>
    </row>
    <row r="724" spans="1:4" x14ac:dyDescent="0.2">
      <c r="A724" s="5">
        <v>663</v>
      </c>
      <c r="B724" s="138">
        <f>'Expenditures 15-22'!C39</f>
        <v>165117</v>
      </c>
      <c r="D724" s="2" t="str">
        <f t="shared" si="10"/>
        <v>Error?</v>
      </c>
    </row>
    <row r="725" spans="1:4" x14ac:dyDescent="0.2">
      <c r="A725" s="5">
        <v>664</v>
      </c>
      <c r="B725" s="138">
        <f>'Expenditures 15-22'!C40</f>
        <v>348044</v>
      </c>
      <c r="D725" s="2" t="str">
        <f t="shared" si="10"/>
        <v>Error?</v>
      </c>
    </row>
    <row r="726" spans="1:4" x14ac:dyDescent="0.2">
      <c r="A726" s="5">
        <v>665</v>
      </c>
      <c r="B726" s="138">
        <f>'Expenditures 15-22'!C41</f>
        <v>89005</v>
      </c>
      <c r="D726" s="2" t="str">
        <f t="shared" si="10"/>
        <v>Error?</v>
      </c>
    </row>
    <row r="727" spans="1:4" x14ac:dyDescent="0.2">
      <c r="A727" s="5">
        <v>666</v>
      </c>
      <c r="B727" s="138">
        <f>'Expenditures 15-22'!C42</f>
        <v>1050213</v>
      </c>
      <c r="C727" s="2" t="s">
        <v>594</v>
      </c>
      <c r="D727" s="2" t="str">
        <f t="shared" si="10"/>
        <v>Error?</v>
      </c>
    </row>
    <row r="728" spans="1:4" x14ac:dyDescent="0.2">
      <c r="A728" s="5">
        <v>667</v>
      </c>
      <c r="B728" s="138">
        <f>'Expenditures 15-22'!C44</f>
        <v>209386</v>
      </c>
      <c r="D728" s="2" t="str">
        <f t="shared" si="10"/>
        <v>Error?</v>
      </c>
    </row>
    <row r="729" spans="1:4" x14ac:dyDescent="0.2">
      <c r="A729" s="5">
        <v>668</v>
      </c>
      <c r="B729" s="138">
        <f>'Expenditures 15-22'!C45</f>
        <v>401543</v>
      </c>
      <c r="D729" s="2" t="str">
        <f t="shared" si="10"/>
        <v>Error?</v>
      </c>
    </row>
    <row r="730" spans="1:4" x14ac:dyDescent="0.2">
      <c r="A730" s="5">
        <v>669</v>
      </c>
      <c r="B730" s="138">
        <f>'Expenditures 15-22'!C46</f>
        <v>2024</v>
      </c>
      <c r="D730" s="2" t="str">
        <f t="shared" si="10"/>
        <v>Error?</v>
      </c>
    </row>
    <row r="731" spans="1:4" x14ac:dyDescent="0.2">
      <c r="A731" s="5">
        <v>670</v>
      </c>
      <c r="B731" s="138">
        <f>'Expenditures 15-22'!C47</f>
        <v>612953</v>
      </c>
      <c r="C731" s="2" t="s">
        <v>594</v>
      </c>
      <c r="D731" s="2" t="str">
        <f t="shared" si="10"/>
        <v>Error?</v>
      </c>
    </row>
    <row r="732" spans="1:4" x14ac:dyDescent="0.2">
      <c r="A732" s="5">
        <v>671</v>
      </c>
      <c r="B732" s="138">
        <f>'Expenditures 15-22'!C49</f>
        <v>33556</v>
      </c>
      <c r="D732" s="2" t="str">
        <f t="shared" si="10"/>
        <v>Error?</v>
      </c>
    </row>
    <row r="733" spans="1:4" x14ac:dyDescent="0.2">
      <c r="A733" s="5">
        <v>672</v>
      </c>
      <c r="B733" s="138">
        <f>'Expenditures 15-22'!C50</f>
        <v>200605</v>
      </c>
      <c r="D733" s="2" t="str">
        <f t="shared" si="10"/>
        <v>Error?</v>
      </c>
    </row>
    <row r="734" spans="1:4" x14ac:dyDescent="0.2">
      <c r="A734" s="5">
        <v>673</v>
      </c>
      <c r="B734" s="138">
        <f>'Expenditures 15-22'!C53</f>
        <v>424747</v>
      </c>
      <c r="C734" s="2" t="s">
        <v>594</v>
      </c>
      <c r="D734" s="2" t="str">
        <f t="shared" si="10"/>
        <v>Error?</v>
      </c>
    </row>
    <row r="735" spans="1:4" x14ac:dyDescent="0.2">
      <c r="A735" s="5">
        <v>674</v>
      </c>
      <c r="B735" s="138">
        <f>'Expenditures 15-22'!C55</f>
        <v>657518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657518</v>
      </c>
      <c r="C737" s="2" t="s">
        <v>594</v>
      </c>
      <c r="D737" s="2" t="str">
        <f t="shared" si="10"/>
        <v>Error?</v>
      </c>
    </row>
    <row r="738" spans="1:4" x14ac:dyDescent="0.2">
      <c r="A738" s="5">
        <v>677</v>
      </c>
      <c r="B738" s="138">
        <f>'Expenditures 15-22'!C59</f>
        <v>120334</v>
      </c>
      <c r="D738" s="2" t="str">
        <f t="shared" si="10"/>
        <v>Error?</v>
      </c>
    </row>
    <row r="739" spans="1:4" x14ac:dyDescent="0.2">
      <c r="A739" s="5">
        <v>678</v>
      </c>
      <c r="B739" s="138">
        <f>'Expenditures 15-22'!C60</f>
        <v>117687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70134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308155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10240</v>
      </c>
      <c r="D747" s="2" t="str">
        <f t="shared" si="10"/>
        <v>Error?</v>
      </c>
    </row>
    <row r="748" spans="1:4" x14ac:dyDescent="0.2">
      <c r="A748" s="5">
        <v>687</v>
      </c>
      <c r="B748" s="138">
        <f>'Expenditures 15-22'!C69</f>
        <v>8210</v>
      </c>
      <c r="D748" s="2" t="str">
        <f t="shared" si="10"/>
        <v>Error?</v>
      </c>
    </row>
    <row r="749" spans="1:4" x14ac:dyDescent="0.2">
      <c r="A749" s="5">
        <v>688</v>
      </c>
      <c r="B749" s="138">
        <f>'Expenditures 15-22'!C70</f>
        <v>33556</v>
      </c>
      <c r="D749" s="2" t="str">
        <f t="shared" si="10"/>
        <v>Error?</v>
      </c>
    </row>
    <row r="750" spans="1:4" x14ac:dyDescent="0.2">
      <c r="A750" s="10">
        <v>689</v>
      </c>
      <c r="D750" s="2" t="str">
        <f t="shared" si="10"/>
        <v>OK</v>
      </c>
    </row>
    <row r="751" spans="1:4" x14ac:dyDescent="0.2">
      <c r="A751" s="5">
        <v>690</v>
      </c>
      <c r="B751" s="138">
        <f>'Expenditures 15-22'!C71</f>
        <v>90170</v>
      </c>
      <c r="D751" s="2" t="str">
        <f t="shared" si="10"/>
        <v>Error?</v>
      </c>
    </row>
    <row r="752" spans="1:4" x14ac:dyDescent="0.2">
      <c r="A752" s="10">
        <v>691</v>
      </c>
      <c r="D752" s="2" t="str">
        <f t="shared" si="10"/>
        <v>OK</v>
      </c>
    </row>
    <row r="753" spans="1:4" x14ac:dyDescent="0.2">
      <c r="A753" s="5">
        <v>692</v>
      </c>
      <c r="B753" s="138">
        <f>'Expenditures 15-22'!C72</f>
        <v>142176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3195762</v>
      </c>
      <c r="C755" s="2" t="s">
        <v>594</v>
      </c>
      <c r="D755" s="2" t="str">
        <f t="shared" si="10"/>
        <v>Error?</v>
      </c>
    </row>
    <row r="756" spans="1:4" x14ac:dyDescent="0.2">
      <c r="A756" s="5">
        <v>695</v>
      </c>
      <c r="B756" s="138">
        <f>'Expenditures 15-22'!C75</f>
        <v>117517</v>
      </c>
      <c r="D756" s="2" t="str">
        <f t="shared" si="10"/>
        <v>Error?</v>
      </c>
    </row>
    <row r="757" spans="1:4" x14ac:dyDescent="0.2">
      <c r="A757" s="5">
        <v>696</v>
      </c>
      <c r="B757" s="138">
        <f>'Expenditures 15-22'!C114</f>
        <v>10693672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748026</v>
      </c>
      <c r="D763" s="2" t="str">
        <f t="shared" si="10"/>
        <v>Error?</v>
      </c>
    </row>
    <row r="764" spans="1:4" x14ac:dyDescent="0.2">
      <c r="A764" s="5">
        <v>703</v>
      </c>
      <c r="B764" s="138">
        <f>'Expenditures 15-22'!D16</f>
        <v>9732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168833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5194</v>
      </c>
      <c r="D776" s="2" t="str">
        <f t="shared" si="11"/>
        <v>Error?</v>
      </c>
    </row>
    <row r="777" spans="1:4" x14ac:dyDescent="0.2">
      <c r="A777" s="5">
        <v>716</v>
      </c>
      <c r="B777" s="138">
        <f>'Expenditures 15-22'!D15</f>
        <v>451</v>
      </c>
      <c r="D777" s="2" t="str">
        <f t="shared" si="11"/>
        <v>Error?</v>
      </c>
    </row>
    <row r="778" spans="1:4" x14ac:dyDescent="0.2">
      <c r="A778" s="5">
        <v>717</v>
      </c>
      <c r="B778" s="138">
        <f>'Expenditures 15-22'!D33</f>
        <v>1218142</v>
      </c>
      <c r="C778" s="2" t="s">
        <v>594</v>
      </c>
      <c r="D778" s="2" t="str">
        <f t="shared" si="11"/>
        <v>Error?</v>
      </c>
    </row>
    <row r="779" spans="1:4" x14ac:dyDescent="0.2">
      <c r="A779" s="5">
        <v>718</v>
      </c>
      <c r="B779" s="138">
        <f>'Expenditures 15-22'!D36</f>
        <v>63541</v>
      </c>
      <c r="D779" s="2" t="str">
        <f t="shared" si="11"/>
        <v>Error?</v>
      </c>
    </row>
    <row r="780" spans="1:4" x14ac:dyDescent="0.2">
      <c r="A780" s="5">
        <v>719</v>
      </c>
      <c r="B780" s="138">
        <f>'Expenditures 15-22'!D37</f>
        <v>13240</v>
      </c>
      <c r="D780" s="2" t="str">
        <f t="shared" si="11"/>
        <v>Error?</v>
      </c>
    </row>
    <row r="781" spans="1:4" x14ac:dyDescent="0.2">
      <c r="A781" s="5">
        <v>720</v>
      </c>
      <c r="B781" s="138">
        <f>'Expenditures 15-22'!D38</f>
        <v>30238</v>
      </c>
      <c r="D781" s="2" t="str">
        <f t="shared" si="11"/>
        <v>Error?</v>
      </c>
    </row>
    <row r="782" spans="1:4" x14ac:dyDescent="0.2">
      <c r="A782" s="5">
        <v>721</v>
      </c>
      <c r="B782" s="138">
        <f>'Expenditures 15-22'!D39</f>
        <v>27814</v>
      </c>
      <c r="D782" s="2" t="str">
        <f t="shared" si="11"/>
        <v>Error?</v>
      </c>
    </row>
    <row r="783" spans="1:4" x14ac:dyDescent="0.2">
      <c r="A783" s="5">
        <v>722</v>
      </c>
      <c r="B783" s="138">
        <f>'Expenditures 15-22'!D40</f>
        <v>42711</v>
      </c>
      <c r="D783" s="2" t="str">
        <f t="shared" si="11"/>
        <v>Error?</v>
      </c>
    </row>
    <row r="784" spans="1:4" x14ac:dyDescent="0.2">
      <c r="A784" s="5">
        <v>723</v>
      </c>
      <c r="B784" s="138">
        <f>'Expenditures 15-22'!D41</f>
        <v>14821</v>
      </c>
      <c r="D784" s="2" t="str">
        <f t="shared" si="11"/>
        <v>Error?</v>
      </c>
    </row>
    <row r="785" spans="1:4" x14ac:dyDescent="0.2">
      <c r="A785" s="5">
        <v>724</v>
      </c>
      <c r="B785" s="138">
        <f>'Expenditures 15-22'!D42</f>
        <v>192365</v>
      </c>
      <c r="C785" s="2" t="s">
        <v>594</v>
      </c>
      <c r="D785" s="2" t="str">
        <f t="shared" si="11"/>
        <v>Error?</v>
      </c>
    </row>
    <row r="786" spans="1:4" x14ac:dyDescent="0.2">
      <c r="A786" s="5">
        <v>725</v>
      </c>
      <c r="B786" s="138">
        <f>'Expenditures 15-22'!D44</f>
        <v>60739</v>
      </c>
      <c r="D786" s="2" t="str">
        <f t="shared" si="11"/>
        <v>Error?</v>
      </c>
    </row>
    <row r="787" spans="1:4" x14ac:dyDescent="0.2">
      <c r="A787" s="5">
        <v>726</v>
      </c>
      <c r="B787" s="138">
        <f>'Expenditures 15-22'!D45</f>
        <v>67279</v>
      </c>
      <c r="D787" s="2" t="str">
        <f t="shared" si="11"/>
        <v>Error?</v>
      </c>
    </row>
    <row r="788" spans="1:4" x14ac:dyDescent="0.2">
      <c r="A788" s="5">
        <v>727</v>
      </c>
      <c r="B788" s="138">
        <f>'Expenditures 15-22'!D46</f>
        <v>33</v>
      </c>
      <c r="D788" s="2" t="str">
        <f t="shared" si="11"/>
        <v>Error?</v>
      </c>
    </row>
    <row r="789" spans="1:4" x14ac:dyDescent="0.2">
      <c r="A789" s="5">
        <v>728</v>
      </c>
      <c r="B789" s="138">
        <f>'Expenditures 15-22'!D47</f>
        <v>128051</v>
      </c>
      <c r="C789" s="2" t="s">
        <v>594</v>
      </c>
      <c r="D789" s="2" t="str">
        <f t="shared" si="11"/>
        <v>Error?</v>
      </c>
    </row>
    <row r="790" spans="1:4" x14ac:dyDescent="0.2">
      <c r="A790" s="5">
        <v>729</v>
      </c>
      <c r="B790" s="138">
        <f>'Expenditures 15-22'!D49</f>
        <v>2019</v>
      </c>
      <c r="D790" s="2" t="str">
        <f t="shared" si="11"/>
        <v>Error?</v>
      </c>
    </row>
    <row r="791" spans="1:4" x14ac:dyDescent="0.2">
      <c r="A791" s="5">
        <v>730</v>
      </c>
      <c r="B791" s="138">
        <f>'Expenditures 15-22'!D50</f>
        <v>54787</v>
      </c>
      <c r="D791" s="2" t="str">
        <f t="shared" si="11"/>
        <v>Error?</v>
      </c>
    </row>
    <row r="792" spans="1:4" x14ac:dyDescent="0.2">
      <c r="A792" s="5">
        <v>731</v>
      </c>
      <c r="B792" s="138">
        <f>'Expenditures 15-22'!D53</f>
        <v>177430</v>
      </c>
      <c r="C792" s="2" t="s">
        <v>594</v>
      </c>
      <c r="D792" s="2" t="str">
        <f t="shared" si="11"/>
        <v>Error?</v>
      </c>
    </row>
    <row r="793" spans="1:4" x14ac:dyDescent="0.2">
      <c r="A793" s="5">
        <v>732</v>
      </c>
      <c r="B793" s="138">
        <f>'Expenditures 15-22'!D55</f>
        <v>183263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183263</v>
      </c>
      <c r="C795" s="2" t="s">
        <v>594</v>
      </c>
      <c r="D795" s="2" t="str">
        <f t="shared" si="11"/>
        <v>Error?</v>
      </c>
    </row>
    <row r="796" spans="1:4" x14ac:dyDescent="0.2">
      <c r="A796" s="5">
        <v>735</v>
      </c>
      <c r="B796" s="138">
        <f>'Expenditures 15-22'!D59</f>
        <v>33524</v>
      </c>
      <c r="D796" s="2" t="str">
        <f t="shared" si="11"/>
        <v>Error?</v>
      </c>
    </row>
    <row r="797" spans="1:4" x14ac:dyDescent="0.2">
      <c r="A797" s="5">
        <v>736</v>
      </c>
      <c r="B797" s="138">
        <f>'Expenditures 15-22'!D60</f>
        <v>22638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1637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57799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173</v>
      </c>
      <c r="D805" s="2" t="str">
        <f t="shared" si="11"/>
        <v>Error?</v>
      </c>
    </row>
    <row r="806" spans="1:4" x14ac:dyDescent="0.2">
      <c r="A806" s="5">
        <v>745</v>
      </c>
      <c r="B806" s="138">
        <f>'Expenditures 15-22'!D69</f>
        <v>1416</v>
      </c>
      <c r="D806" s="2" t="str">
        <f t="shared" si="11"/>
        <v>Error?</v>
      </c>
    </row>
    <row r="807" spans="1:4" x14ac:dyDescent="0.2">
      <c r="A807" s="5">
        <v>746</v>
      </c>
      <c r="B807" s="138">
        <f>'Expenditures 15-22'!D70</f>
        <v>13651</v>
      </c>
      <c r="D807" s="2" t="str">
        <f t="shared" si="11"/>
        <v>Error?</v>
      </c>
    </row>
    <row r="808" spans="1:4" x14ac:dyDescent="0.2">
      <c r="A808" s="10">
        <v>747</v>
      </c>
      <c r="D808" s="2" t="str">
        <f t="shared" si="11"/>
        <v>OK</v>
      </c>
    </row>
    <row r="809" spans="1:4" x14ac:dyDescent="0.2">
      <c r="A809" s="5">
        <v>748</v>
      </c>
      <c r="B809" s="138">
        <f>'Expenditures 15-22'!D71</f>
        <v>9451</v>
      </c>
      <c r="D809" s="2" t="str">
        <f t="shared" si="11"/>
        <v>Error?</v>
      </c>
    </row>
    <row r="810" spans="1:4" x14ac:dyDescent="0.2">
      <c r="A810" s="10">
        <v>749</v>
      </c>
      <c r="D810" s="2" t="str">
        <f t="shared" si="11"/>
        <v>OK</v>
      </c>
    </row>
    <row r="811" spans="1:4" x14ac:dyDescent="0.2">
      <c r="A811" s="5">
        <v>750</v>
      </c>
      <c r="B811" s="138">
        <f>'Expenditures 15-22'!D72</f>
        <v>24691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763599</v>
      </c>
      <c r="C813" s="2" t="s">
        <v>594</v>
      </c>
      <c r="D813" s="2" t="str">
        <f t="shared" si="11"/>
        <v>Error?</v>
      </c>
    </row>
    <row r="814" spans="1:4" x14ac:dyDescent="0.2">
      <c r="A814" s="5">
        <v>753</v>
      </c>
      <c r="B814" s="138">
        <f>'Expenditures 15-22'!D75</f>
        <v>14718</v>
      </c>
      <c r="D814" s="2" t="str">
        <f t="shared" si="11"/>
        <v>Error?</v>
      </c>
    </row>
    <row r="815" spans="1:4" x14ac:dyDescent="0.2">
      <c r="A815" s="5">
        <v>754</v>
      </c>
      <c r="B815" s="138">
        <f>'Expenditures 15-22'!D114</f>
        <v>1996459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43744</v>
      </c>
      <c r="D821" s="2" t="str">
        <f t="shared" si="11"/>
        <v>Error?</v>
      </c>
    </row>
    <row r="822" spans="1:4" x14ac:dyDescent="0.2">
      <c r="A822" s="5">
        <v>761</v>
      </c>
      <c r="B822" s="138">
        <f>'Expenditures 15-22'!E16</f>
        <v>1600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31390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4329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128697</v>
      </c>
      <c r="C836" s="2" t="s">
        <v>594</v>
      </c>
      <c r="D836" s="2" t="str">
        <f t="shared" si="12"/>
        <v>Error?</v>
      </c>
    </row>
    <row r="837" spans="1:4" x14ac:dyDescent="0.2">
      <c r="A837" s="5">
        <v>776</v>
      </c>
      <c r="B837" s="138">
        <f>'Expenditures 15-22'!E36</f>
        <v>1142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15357</v>
      </c>
      <c r="D839" s="2" t="str">
        <f t="shared" si="12"/>
        <v>Error?</v>
      </c>
    </row>
    <row r="840" spans="1:4" x14ac:dyDescent="0.2">
      <c r="A840" s="5">
        <v>779</v>
      </c>
      <c r="B840" s="138">
        <f>'Expenditures 15-22'!E39</f>
        <v>9265</v>
      </c>
      <c r="D840" s="2" t="str">
        <f t="shared" si="12"/>
        <v>Error?</v>
      </c>
    </row>
    <row r="841" spans="1:4" x14ac:dyDescent="0.2">
      <c r="A841" s="5">
        <v>780</v>
      </c>
      <c r="B841" s="138">
        <f>'Expenditures 15-22'!E40</f>
        <v>66649</v>
      </c>
      <c r="D841" s="2" t="str">
        <f t="shared" si="12"/>
        <v>Error?</v>
      </c>
    </row>
    <row r="842" spans="1:4" x14ac:dyDescent="0.2">
      <c r="A842" s="5">
        <v>781</v>
      </c>
      <c r="B842" s="138">
        <f>'Expenditures 15-22'!E41</f>
        <v>440</v>
      </c>
      <c r="D842" s="2" t="str">
        <f t="shared" si="12"/>
        <v>Error?</v>
      </c>
    </row>
    <row r="843" spans="1:4" x14ac:dyDescent="0.2">
      <c r="A843" s="5">
        <v>782</v>
      </c>
      <c r="B843" s="138">
        <f>'Expenditures 15-22'!E42</f>
        <v>92853</v>
      </c>
      <c r="C843" s="2" t="s">
        <v>594</v>
      </c>
      <c r="D843" s="2" t="str">
        <f t="shared" si="12"/>
        <v>Error?</v>
      </c>
    </row>
    <row r="844" spans="1:4" x14ac:dyDescent="0.2">
      <c r="A844" s="5">
        <v>783</v>
      </c>
      <c r="B844" s="138">
        <f>'Expenditures 15-22'!E44</f>
        <v>121440</v>
      </c>
      <c r="D844" s="2" t="str">
        <f t="shared" si="12"/>
        <v>Error?</v>
      </c>
    </row>
    <row r="845" spans="1:4" x14ac:dyDescent="0.2">
      <c r="A845" s="5">
        <v>784</v>
      </c>
      <c r="B845" s="138">
        <f>'Expenditures 15-22'!E45</f>
        <v>11328</v>
      </c>
      <c r="D845" s="2" t="str">
        <f t="shared" si="12"/>
        <v>Error?</v>
      </c>
    </row>
    <row r="846" spans="1:4" x14ac:dyDescent="0.2">
      <c r="A846" s="5">
        <v>785</v>
      </c>
      <c r="B846" s="138">
        <f>'Expenditures 15-22'!E46</f>
        <v>50703</v>
      </c>
      <c r="D846" s="2" t="str">
        <f t="shared" si="12"/>
        <v>Error?</v>
      </c>
    </row>
    <row r="847" spans="1:4" x14ac:dyDescent="0.2">
      <c r="A847" s="5">
        <v>786</v>
      </c>
      <c r="B847" s="138">
        <f>'Expenditures 15-22'!E47</f>
        <v>183471</v>
      </c>
      <c r="C847" s="2" t="s">
        <v>594</v>
      </c>
      <c r="D847" s="2" t="str">
        <f t="shared" si="12"/>
        <v>Error?</v>
      </c>
    </row>
    <row r="848" spans="1:4" x14ac:dyDescent="0.2">
      <c r="A848" s="5">
        <v>787</v>
      </c>
      <c r="B848" s="138">
        <f>'Expenditures 15-22'!E49</f>
        <v>24431</v>
      </c>
      <c r="D848" s="2" t="str">
        <f t="shared" si="12"/>
        <v>Error?</v>
      </c>
    </row>
    <row r="849" spans="1:4" x14ac:dyDescent="0.2">
      <c r="A849" s="5">
        <v>788</v>
      </c>
      <c r="B849" s="138">
        <f>'Expenditures 15-22'!E50</f>
        <v>2473</v>
      </c>
      <c r="D849" s="2" t="str">
        <f t="shared" si="12"/>
        <v>Error?</v>
      </c>
    </row>
    <row r="850" spans="1:4" x14ac:dyDescent="0.2">
      <c r="A850" s="5">
        <v>789</v>
      </c>
      <c r="B850" s="138">
        <f>'Expenditures 15-22'!E53</f>
        <v>167487</v>
      </c>
      <c r="C850" s="2" t="s">
        <v>594</v>
      </c>
      <c r="D850" s="2" t="str">
        <f t="shared" si="12"/>
        <v>Error?</v>
      </c>
    </row>
    <row r="851" spans="1:4" x14ac:dyDescent="0.2">
      <c r="A851" s="5">
        <v>790</v>
      </c>
      <c r="B851" s="138">
        <f>'Expenditures 15-22'!E55</f>
        <v>10964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10964</v>
      </c>
      <c r="C853" s="2" t="s">
        <v>594</v>
      </c>
      <c r="D853" s="2" t="str">
        <f t="shared" si="12"/>
        <v>Error?</v>
      </c>
    </row>
    <row r="854" spans="1:4" x14ac:dyDescent="0.2">
      <c r="A854" s="5">
        <v>793</v>
      </c>
      <c r="B854" s="138">
        <f>'Expenditures 15-22'!E59</f>
        <v>1200</v>
      </c>
      <c r="D854" s="2" t="str">
        <f t="shared" si="12"/>
        <v>Error?</v>
      </c>
    </row>
    <row r="855" spans="1:4" x14ac:dyDescent="0.2">
      <c r="A855" s="5">
        <v>794</v>
      </c>
      <c r="B855" s="138">
        <f>'Expenditures 15-22'!E60</f>
        <v>34021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377423</v>
      </c>
      <c r="D858" s="2" t="str">
        <f t="shared" si="12"/>
        <v>Error?</v>
      </c>
    </row>
    <row r="859" spans="1:4" x14ac:dyDescent="0.2">
      <c r="A859" s="5">
        <v>798</v>
      </c>
      <c r="B859" s="138">
        <f>'Expenditures 15-22'!E64</f>
        <v>65743</v>
      </c>
      <c r="D859" s="2" t="str">
        <f t="shared" si="12"/>
        <v>Error?</v>
      </c>
    </row>
    <row r="860" spans="1:4" x14ac:dyDescent="0.2">
      <c r="A860" s="10">
        <v>799</v>
      </c>
      <c r="D860" s="2" t="str">
        <f t="shared" si="12"/>
        <v>OK</v>
      </c>
    </row>
    <row r="861" spans="1:4" x14ac:dyDescent="0.2">
      <c r="A861" s="5">
        <v>800</v>
      </c>
      <c r="B861" s="138">
        <f>'Expenditures 15-22'!E65</f>
        <v>478387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31661</v>
      </c>
      <c r="D864" s="2" t="str">
        <f t="shared" si="12"/>
        <v>Error?</v>
      </c>
    </row>
    <row r="865" spans="1:4" x14ac:dyDescent="0.2">
      <c r="A865" s="5">
        <v>804</v>
      </c>
      <c r="B865" s="138">
        <f>'Expenditures 15-22'!E70</f>
        <v>19463</v>
      </c>
      <c r="D865" s="2" t="str">
        <f t="shared" si="12"/>
        <v>Error?</v>
      </c>
    </row>
    <row r="866" spans="1:4" x14ac:dyDescent="0.2">
      <c r="A866" s="10">
        <v>805</v>
      </c>
      <c r="D866" s="2" t="str">
        <f t="shared" si="12"/>
        <v>OK</v>
      </c>
    </row>
    <row r="867" spans="1:4" x14ac:dyDescent="0.2">
      <c r="A867" s="5">
        <v>806</v>
      </c>
      <c r="B867" s="138">
        <f>'Expenditures 15-22'!E71</f>
        <v>149197</v>
      </c>
      <c r="D867" s="2" t="str">
        <f t="shared" si="12"/>
        <v>Error?</v>
      </c>
    </row>
    <row r="868" spans="1:4" x14ac:dyDescent="0.2">
      <c r="A868" s="10">
        <v>807</v>
      </c>
      <c r="D868" s="2" t="str">
        <f t="shared" si="12"/>
        <v>OK</v>
      </c>
    </row>
    <row r="869" spans="1:4" x14ac:dyDescent="0.2">
      <c r="A869" s="5">
        <v>808</v>
      </c>
      <c r="B869" s="138">
        <f>'Expenditures 15-22'!E72</f>
        <v>200321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1133483</v>
      </c>
      <c r="C871" s="2" t="s">
        <v>594</v>
      </c>
      <c r="D871" s="2" t="str">
        <f t="shared" si="12"/>
        <v>Error?</v>
      </c>
    </row>
    <row r="872" spans="1:4" x14ac:dyDescent="0.2">
      <c r="A872" s="5">
        <v>811</v>
      </c>
      <c r="B872" s="138">
        <f>'Expenditures 15-22'!E75</f>
        <v>540</v>
      </c>
      <c r="D872" s="2" t="str">
        <f t="shared" si="12"/>
        <v>Error?</v>
      </c>
    </row>
    <row r="873" spans="1:4" x14ac:dyDescent="0.2">
      <c r="A873" s="5">
        <v>812</v>
      </c>
      <c r="B873" s="138">
        <f>'Expenditures 15-22'!E114</f>
        <v>1672168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422698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164024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30555</v>
      </c>
      <c r="D892" s="2" t="str">
        <f t="shared" si="12"/>
        <v>Error?</v>
      </c>
    </row>
    <row r="893" spans="1:4" x14ac:dyDescent="0.2">
      <c r="A893" s="5">
        <v>832</v>
      </c>
      <c r="B893" s="138">
        <f>'Expenditures 15-22'!F15</f>
        <v>6947</v>
      </c>
      <c r="D893" s="2" t="str">
        <f t="shared" si="12"/>
        <v>Error?</v>
      </c>
    </row>
    <row r="894" spans="1:4" x14ac:dyDescent="0.2">
      <c r="A894" s="5">
        <v>833</v>
      </c>
      <c r="B894" s="138">
        <f>'Expenditures 15-22'!F33</f>
        <v>700136</v>
      </c>
      <c r="C894" s="2" t="s">
        <v>594</v>
      </c>
      <c r="D894" s="2" t="str">
        <f t="shared" si="12"/>
        <v>Error?</v>
      </c>
    </row>
    <row r="895" spans="1:4" x14ac:dyDescent="0.2">
      <c r="A895" s="5">
        <v>834</v>
      </c>
      <c r="B895" s="138">
        <f>'Expenditures 15-22'!F36</f>
        <v>303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5498</v>
      </c>
      <c r="D897" s="2" t="str">
        <f t="shared" si="13"/>
        <v>Error?</v>
      </c>
    </row>
    <row r="898" spans="1:4" x14ac:dyDescent="0.2">
      <c r="A898" s="5">
        <v>837</v>
      </c>
      <c r="B898" s="138">
        <f>'Expenditures 15-22'!F39</f>
        <v>931</v>
      </c>
      <c r="D898" s="2" t="str">
        <f t="shared" si="13"/>
        <v>Error?</v>
      </c>
    </row>
    <row r="899" spans="1:4" x14ac:dyDescent="0.2">
      <c r="A899" s="5">
        <v>838</v>
      </c>
      <c r="B899" s="138">
        <f>'Expenditures 15-22'!F40</f>
        <v>3641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10373</v>
      </c>
      <c r="C901" s="2" t="s">
        <v>594</v>
      </c>
      <c r="D901" s="2" t="str">
        <f t="shared" si="13"/>
        <v>Error?</v>
      </c>
    </row>
    <row r="902" spans="1:4" x14ac:dyDescent="0.2">
      <c r="A902" s="5">
        <v>841</v>
      </c>
      <c r="B902" s="138">
        <f>'Expenditures 15-22'!F44</f>
        <v>11536</v>
      </c>
      <c r="D902" s="2" t="str">
        <f t="shared" si="13"/>
        <v>Error?</v>
      </c>
    </row>
    <row r="903" spans="1:4" x14ac:dyDescent="0.2">
      <c r="A903" s="5">
        <v>842</v>
      </c>
      <c r="B903" s="138">
        <f>'Expenditures 15-22'!F45</f>
        <v>15624</v>
      </c>
      <c r="D903" s="2" t="str">
        <f t="shared" si="13"/>
        <v>Error?</v>
      </c>
    </row>
    <row r="904" spans="1:4" x14ac:dyDescent="0.2">
      <c r="A904" s="5">
        <v>843</v>
      </c>
      <c r="B904" s="138">
        <f>'Expenditures 15-22'!F46</f>
        <v>2049</v>
      </c>
      <c r="D904" s="2" t="str">
        <f t="shared" si="13"/>
        <v>Error?</v>
      </c>
    </row>
    <row r="905" spans="1:4" x14ac:dyDescent="0.2">
      <c r="A905" s="5">
        <v>844</v>
      </c>
      <c r="B905" s="138">
        <f>'Expenditures 15-22'!F47</f>
        <v>29209</v>
      </c>
      <c r="C905" s="2" t="s">
        <v>594</v>
      </c>
      <c r="D905" s="2" t="str">
        <f t="shared" si="13"/>
        <v>Error?</v>
      </c>
    </row>
    <row r="906" spans="1:4" x14ac:dyDescent="0.2">
      <c r="A906" s="5">
        <v>845</v>
      </c>
      <c r="B906" s="138">
        <f>'Expenditures 15-22'!F49</f>
        <v>3387</v>
      </c>
      <c r="D906" s="2" t="str">
        <f t="shared" si="13"/>
        <v>Error?</v>
      </c>
    </row>
    <row r="907" spans="1:4" x14ac:dyDescent="0.2">
      <c r="A907" s="5">
        <v>846</v>
      </c>
      <c r="B907" s="138">
        <f>'Expenditures 15-22'!F50</f>
        <v>2279</v>
      </c>
      <c r="D907" s="2" t="str">
        <f t="shared" si="13"/>
        <v>Error?</v>
      </c>
    </row>
    <row r="908" spans="1:4" x14ac:dyDescent="0.2">
      <c r="A908" s="5">
        <v>847</v>
      </c>
      <c r="B908" s="138">
        <f>'Expenditures 15-22'!F53</f>
        <v>6560</v>
      </c>
      <c r="C908" s="2" t="s">
        <v>594</v>
      </c>
      <c r="D908" s="2" t="str">
        <f t="shared" si="13"/>
        <v>Error?</v>
      </c>
    </row>
    <row r="909" spans="1:4" x14ac:dyDescent="0.2">
      <c r="A909" s="5">
        <v>848</v>
      </c>
      <c r="B909" s="138">
        <f>'Expenditures 15-22'!F55</f>
        <v>29536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29536</v>
      </c>
      <c r="C911" s="2" t="s">
        <v>594</v>
      </c>
      <c r="D911" s="2" t="str">
        <f t="shared" si="13"/>
        <v>Error?</v>
      </c>
    </row>
    <row r="912" spans="1:4" x14ac:dyDescent="0.2">
      <c r="A912" s="5">
        <v>851</v>
      </c>
      <c r="B912" s="138">
        <f>'Expenditures 15-22'!F59</f>
        <v>206</v>
      </c>
      <c r="D912" s="2" t="str">
        <f t="shared" si="13"/>
        <v>Error?</v>
      </c>
    </row>
    <row r="913" spans="1:4" x14ac:dyDescent="0.2">
      <c r="A913" s="5">
        <v>852</v>
      </c>
      <c r="B913" s="138">
        <f>'Expenditures 15-22'!F60</f>
        <v>10137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2590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12933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417</v>
      </c>
      <c r="D922" s="2" t="str">
        <f t="shared" si="13"/>
        <v>Error?</v>
      </c>
    </row>
    <row r="923" spans="1:4" x14ac:dyDescent="0.2">
      <c r="A923" s="5">
        <v>862</v>
      </c>
      <c r="B923" s="138">
        <f>'Expenditures 15-22'!F70</f>
        <v>7390</v>
      </c>
      <c r="D923" s="2" t="str">
        <f t="shared" si="13"/>
        <v>Error?</v>
      </c>
    </row>
    <row r="924" spans="1:4" x14ac:dyDescent="0.2">
      <c r="A924" s="10">
        <v>863</v>
      </c>
      <c r="D924" s="2" t="str">
        <f t="shared" si="13"/>
        <v>OK</v>
      </c>
    </row>
    <row r="925" spans="1:4" x14ac:dyDescent="0.2">
      <c r="A925" s="5">
        <v>864</v>
      </c>
      <c r="B925" s="138">
        <f>'Expenditures 15-22'!F71</f>
        <v>32376</v>
      </c>
      <c r="D925" s="2" t="str">
        <f t="shared" si="13"/>
        <v>Error?</v>
      </c>
    </row>
    <row r="926" spans="1:4" x14ac:dyDescent="0.2">
      <c r="A926" s="10">
        <v>865</v>
      </c>
      <c r="D926" s="2" t="str">
        <f t="shared" si="13"/>
        <v>OK</v>
      </c>
    </row>
    <row r="927" spans="1:4" x14ac:dyDescent="0.2">
      <c r="A927" s="5">
        <v>866</v>
      </c>
      <c r="B927" s="138">
        <f>'Expenditures 15-22'!F72</f>
        <v>40183</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128794</v>
      </c>
      <c r="C929" s="2" t="s">
        <v>594</v>
      </c>
      <c r="D929" s="2" t="str">
        <f t="shared" si="13"/>
        <v>Error?</v>
      </c>
    </row>
    <row r="930" spans="1:4" x14ac:dyDescent="0.2">
      <c r="A930" s="5">
        <v>869</v>
      </c>
      <c r="B930" s="138">
        <f>'Expenditures 15-22'!F75</f>
        <v>2575</v>
      </c>
      <c r="D930" s="2" t="str">
        <f t="shared" si="13"/>
        <v>Error?</v>
      </c>
    </row>
    <row r="931" spans="1:4" x14ac:dyDescent="0.2">
      <c r="A931" s="5">
        <v>870</v>
      </c>
      <c r="B931" s="138">
        <f>'Expenditures 15-22'!F114</f>
        <v>831505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4699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4699</v>
      </c>
      <c r="C952" s="2" t="s">
        <v>594</v>
      </c>
      <c r="D952" s="2" t="str">
        <f t="shared" si="13"/>
        <v>Error?</v>
      </c>
    </row>
    <row r="953" spans="1:4" x14ac:dyDescent="0.2">
      <c r="A953" s="5">
        <v>892</v>
      </c>
      <c r="B953" s="138">
        <f>'Expenditures 15-22'!G36</f>
        <v>1311</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1311</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2164</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2164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1311</v>
      </c>
      <c r="D981" s="2" t="str">
        <f t="shared" si="14"/>
        <v>Error?</v>
      </c>
    </row>
    <row r="982" spans="1:4" x14ac:dyDescent="0.2">
      <c r="A982" s="10">
        <v>921</v>
      </c>
      <c r="D982" s="2" t="str">
        <f t="shared" si="14"/>
        <v>OK</v>
      </c>
    </row>
    <row r="983" spans="1:4" x14ac:dyDescent="0.2">
      <c r="A983" s="5">
        <v>922</v>
      </c>
      <c r="B983" s="138">
        <f>'Expenditures 15-22'!G71</f>
        <v>5207</v>
      </c>
      <c r="D983" s="2" t="str">
        <f t="shared" si="14"/>
        <v>Error?</v>
      </c>
    </row>
    <row r="984" spans="1:4" x14ac:dyDescent="0.2">
      <c r="A984" s="10">
        <v>923</v>
      </c>
      <c r="D984" s="2" t="str">
        <f t="shared" si="14"/>
        <v>OK</v>
      </c>
    </row>
    <row r="985" spans="1:4" x14ac:dyDescent="0.2">
      <c r="A985" s="5">
        <v>924</v>
      </c>
      <c r="B985" s="138">
        <f>'Expenditures 15-22'!G72</f>
        <v>6518</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9993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14692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1103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321132</v>
      </c>
      <c r="C1010" s="2" t="s">
        <v>594</v>
      </c>
      <c r="D1010" s="2" t="str">
        <f t="shared" si="14"/>
        <v>Error?</v>
      </c>
    </row>
    <row r="1011" spans="1:4" x14ac:dyDescent="0.2">
      <c r="A1011" s="5">
        <v>950</v>
      </c>
      <c r="B1011" s="138">
        <f>'Expenditures 15-22'!H36</f>
        <v>776</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1650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2426</v>
      </c>
      <c r="C1017" s="2" t="s">
        <v>594</v>
      </c>
      <c r="D1017" s="2" t="str">
        <f t="shared" si="14"/>
        <v>Error?</v>
      </c>
    </row>
    <row r="1018" spans="1:4" x14ac:dyDescent="0.2">
      <c r="A1018" s="5">
        <v>957</v>
      </c>
      <c r="B1018" s="138">
        <f>'Expenditures 15-22'!H44</f>
        <v>230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230</v>
      </c>
      <c r="C1021" s="2" t="s">
        <v>594</v>
      </c>
      <c r="D1021" s="2" t="str">
        <f t="shared" si="14"/>
        <v>Error?</v>
      </c>
    </row>
    <row r="1022" spans="1:4" x14ac:dyDescent="0.2">
      <c r="A1022" s="5">
        <v>961</v>
      </c>
      <c r="B1022" s="138">
        <f>'Expenditures 15-22'!H49</f>
        <v>5395</v>
      </c>
      <c r="D1022" s="2" t="str">
        <f t="shared" si="14"/>
        <v>Error?</v>
      </c>
    </row>
    <row r="1023" spans="1:4" x14ac:dyDescent="0.2">
      <c r="A1023" s="5">
        <v>962</v>
      </c>
      <c r="B1023" s="138">
        <f>'Expenditures 15-22'!H50</f>
        <v>2758</v>
      </c>
      <c r="D1023" s="2" t="str">
        <f t="shared" ref="D1023:D1086" si="15">IF(ISBLANK(B1023),"OK",IF(A1023-B1023=0,"OK","Error?"))</f>
        <v>Error?</v>
      </c>
    </row>
    <row r="1024" spans="1:4" x14ac:dyDescent="0.2">
      <c r="A1024" s="5">
        <v>963</v>
      </c>
      <c r="B1024" s="138">
        <f>'Expenditures 15-22'!H53</f>
        <v>8467</v>
      </c>
      <c r="C1024" s="2" t="s">
        <v>594</v>
      </c>
      <c r="D1024" s="2" t="str">
        <f t="shared" si="15"/>
        <v>Error?</v>
      </c>
    </row>
    <row r="1025" spans="1:4" x14ac:dyDescent="0.2">
      <c r="A1025" s="5">
        <v>964</v>
      </c>
      <c r="B1025" s="138">
        <f>'Expenditures 15-22'!H55</f>
        <v>2956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2956</v>
      </c>
      <c r="C1027" s="2" t="s">
        <v>594</v>
      </c>
      <c r="D1027" s="2" t="str">
        <f t="shared" si="15"/>
        <v>Error?</v>
      </c>
    </row>
    <row r="1028" spans="1:4" x14ac:dyDescent="0.2">
      <c r="A1028" s="5">
        <v>967</v>
      </c>
      <c r="B1028" s="138">
        <f>'Expenditures 15-22'!H59</f>
        <v>2340</v>
      </c>
      <c r="D1028" s="2" t="str">
        <f t="shared" si="15"/>
        <v>Error?</v>
      </c>
    </row>
    <row r="1029" spans="1:4" x14ac:dyDescent="0.2">
      <c r="A1029" s="5">
        <v>968</v>
      </c>
      <c r="B1029" s="138">
        <f>'Expenditures 15-22'!H60</f>
        <v>12097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14437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335</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335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28851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700317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1050300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6209454</v>
      </c>
      <c r="C1093" s="2" t="s">
        <v>594</v>
      </c>
      <c r="D1093" s="2" t="str">
        <f t="shared" si="16"/>
        <v>Error?</v>
      </c>
    </row>
    <row r="1094" spans="1:4" x14ac:dyDescent="0.2">
      <c r="A1094" s="5">
        <v>1033</v>
      </c>
      <c r="B1094" s="138">
        <f>'Expenditures 15-22'!K16</f>
        <v>75306</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1412433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122950</v>
      </c>
      <c r="C1106" s="2" t="s">
        <v>594</v>
      </c>
      <c r="D1106" s="2" t="str">
        <f t="shared" si="16"/>
        <v>Error?</v>
      </c>
    </row>
    <row r="1107" spans="1:4" x14ac:dyDescent="0.2">
      <c r="A1107" s="5">
        <v>1046</v>
      </c>
      <c r="B1107" s="138">
        <f>'Expenditures 15-22'!K15</f>
        <v>13795</v>
      </c>
      <c r="C1107" s="2" t="s">
        <v>594</v>
      </c>
      <c r="D1107" s="2" t="str">
        <f t="shared" si="16"/>
        <v>Error?</v>
      </c>
    </row>
    <row r="1108" spans="1:4" x14ac:dyDescent="0.2">
      <c r="A1108" s="5">
        <v>1047</v>
      </c>
      <c r="B1108" s="138">
        <f>'Expenditures 15-22'!K33</f>
        <v>10008576</v>
      </c>
      <c r="C1108" s="2" t="s">
        <v>594</v>
      </c>
      <c r="D1108" s="2" t="str">
        <f t="shared" si="16"/>
        <v>Error?</v>
      </c>
    </row>
    <row r="1109" spans="1:4" x14ac:dyDescent="0.2">
      <c r="A1109" s="5">
        <v>1048</v>
      </c>
      <c r="B1109" s="138">
        <f>'Expenditures 15-22'!K36</f>
        <v>355775</v>
      </c>
      <c r="C1109" s="2" t="s">
        <v>594</v>
      </c>
      <c r="D1109" s="2" t="str">
        <f t="shared" si="16"/>
        <v>Error?</v>
      </c>
    </row>
    <row r="1110" spans="1:4" x14ac:dyDescent="0.2">
      <c r="A1110" s="5">
        <v>1049</v>
      </c>
      <c r="B1110" s="138">
        <f>'Expenditures 15-22'!K37</f>
        <v>66363</v>
      </c>
      <c r="C1110" s="2" t="s">
        <v>594</v>
      </c>
      <c r="D1110" s="2" t="str">
        <f t="shared" si="16"/>
        <v>Error?</v>
      </c>
    </row>
    <row r="1111" spans="1:4" x14ac:dyDescent="0.2">
      <c r="A1111" s="5">
        <v>1050</v>
      </c>
      <c r="B1111" s="138">
        <f>'Expenditures 15-22'!K38</f>
        <v>157315</v>
      </c>
      <c r="C1111" s="2" t="s">
        <v>594</v>
      </c>
      <c r="D1111" s="2" t="str">
        <f t="shared" si="16"/>
        <v>Error?</v>
      </c>
    </row>
    <row r="1112" spans="1:4" x14ac:dyDescent="0.2">
      <c r="A1112" s="5">
        <v>1051</v>
      </c>
      <c r="B1112" s="138">
        <f>'Expenditures 15-22'!K39</f>
        <v>203127</v>
      </c>
      <c r="C1112" s="2" t="s">
        <v>594</v>
      </c>
      <c r="D1112" s="2" t="str">
        <f t="shared" si="16"/>
        <v>Error?</v>
      </c>
    </row>
    <row r="1113" spans="1:4" x14ac:dyDescent="0.2">
      <c r="A1113" s="5">
        <v>1052</v>
      </c>
      <c r="B1113" s="138">
        <f>'Expenditures 15-22'!K40</f>
        <v>462695</v>
      </c>
      <c r="C1113" s="2" t="s">
        <v>594</v>
      </c>
      <c r="D1113" s="2" t="str">
        <f t="shared" si="16"/>
        <v>Error?</v>
      </c>
    </row>
    <row r="1114" spans="1:4" x14ac:dyDescent="0.2">
      <c r="A1114" s="5">
        <v>1053</v>
      </c>
      <c r="B1114" s="138">
        <f>'Expenditures 15-22'!K41</f>
        <v>104266</v>
      </c>
      <c r="C1114" s="2" t="s">
        <v>594</v>
      </c>
      <c r="D1114" s="2" t="str">
        <f t="shared" si="16"/>
        <v>Error?</v>
      </c>
    </row>
    <row r="1115" spans="1:4" x14ac:dyDescent="0.2">
      <c r="A1115" s="5">
        <v>1054</v>
      </c>
      <c r="B1115" s="138">
        <f>'Expenditures 15-22'!K42</f>
        <v>1349541</v>
      </c>
      <c r="C1115" s="2" t="s">
        <v>594</v>
      </c>
      <c r="D1115" s="2" t="str">
        <f t="shared" si="16"/>
        <v>Error?</v>
      </c>
    </row>
    <row r="1116" spans="1:4" x14ac:dyDescent="0.2">
      <c r="A1116" s="5">
        <v>1055</v>
      </c>
      <c r="B1116" s="138">
        <f>'Expenditures 15-22'!K44</f>
        <v>403331</v>
      </c>
      <c r="C1116" s="2" t="s">
        <v>594</v>
      </c>
      <c r="D1116" s="2" t="str">
        <f t="shared" si="16"/>
        <v>Error?</v>
      </c>
    </row>
    <row r="1117" spans="1:4" x14ac:dyDescent="0.2">
      <c r="A1117" s="5">
        <v>1056</v>
      </c>
      <c r="B1117" s="138">
        <f>'Expenditures 15-22'!K45</f>
        <v>495774</v>
      </c>
      <c r="C1117" s="2" t="s">
        <v>594</v>
      </c>
      <c r="D1117" s="2" t="str">
        <f t="shared" si="16"/>
        <v>Error?</v>
      </c>
    </row>
    <row r="1118" spans="1:4" x14ac:dyDescent="0.2">
      <c r="A1118" s="5">
        <v>1057</v>
      </c>
      <c r="B1118" s="138">
        <f>'Expenditures 15-22'!K46</f>
        <v>54809</v>
      </c>
      <c r="C1118" s="2" t="s">
        <v>594</v>
      </c>
      <c r="D1118" s="2" t="str">
        <f t="shared" si="16"/>
        <v>Error?</v>
      </c>
    </row>
    <row r="1119" spans="1:4" x14ac:dyDescent="0.2">
      <c r="A1119" s="5">
        <v>1058</v>
      </c>
      <c r="B1119" s="138">
        <f>'Expenditures 15-22'!K47</f>
        <v>953914</v>
      </c>
      <c r="C1119" s="2" t="s">
        <v>594</v>
      </c>
      <c r="D1119" s="2" t="str">
        <f t="shared" si="16"/>
        <v>Error?</v>
      </c>
    </row>
    <row r="1120" spans="1:4" x14ac:dyDescent="0.2">
      <c r="A1120" s="5">
        <v>1059</v>
      </c>
      <c r="B1120" s="138">
        <f>'Expenditures 15-22'!K49</f>
        <v>68788</v>
      </c>
      <c r="C1120" s="2" t="s">
        <v>594</v>
      </c>
      <c r="D1120" s="2" t="str">
        <f t="shared" si="16"/>
        <v>Error?</v>
      </c>
    </row>
    <row r="1121" spans="1:4" x14ac:dyDescent="0.2">
      <c r="A1121" s="5">
        <v>1060</v>
      </c>
      <c r="B1121" s="138">
        <f>'Expenditures 15-22'!K50</f>
        <v>262902</v>
      </c>
      <c r="C1121" s="2" t="s">
        <v>594</v>
      </c>
      <c r="D1121" s="2" t="str">
        <f t="shared" si="16"/>
        <v>Error?</v>
      </c>
    </row>
    <row r="1122" spans="1:4" x14ac:dyDescent="0.2">
      <c r="A1122" s="5">
        <v>1061</v>
      </c>
      <c r="B1122" s="138">
        <f>'Expenditures 15-22'!K53</f>
        <v>786109</v>
      </c>
      <c r="C1122" s="2" t="s">
        <v>594</v>
      </c>
      <c r="D1122" s="2" t="str">
        <f t="shared" si="16"/>
        <v>Error?</v>
      </c>
    </row>
    <row r="1123" spans="1:4" x14ac:dyDescent="0.2">
      <c r="A1123" s="5">
        <v>1062</v>
      </c>
      <c r="B1123" s="138">
        <f>'Expenditures 15-22'!K55</f>
        <v>885335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885335</v>
      </c>
      <c r="C1125" s="2" t="s">
        <v>594</v>
      </c>
      <c r="D1125" s="2" t="str">
        <f t="shared" si="16"/>
        <v>Error?</v>
      </c>
    </row>
    <row r="1126" spans="1:4" x14ac:dyDescent="0.2">
      <c r="A1126" s="5">
        <v>1065</v>
      </c>
      <c r="B1126" s="138">
        <f>'Expenditures 15-22'!K59</f>
        <v>157604</v>
      </c>
      <c r="C1126" s="2" t="s">
        <v>594</v>
      </c>
      <c r="D1126" s="2" t="str">
        <f t="shared" si="16"/>
        <v>Error?</v>
      </c>
    </row>
    <row r="1127" spans="1:4" x14ac:dyDescent="0.2">
      <c r="A1127" s="5">
        <v>1066</v>
      </c>
      <c r="B1127" s="138">
        <f>'Expenditures 15-22'!K60</f>
        <v>198744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451784</v>
      </c>
      <c r="C1130" s="2" t="s">
        <v>594</v>
      </c>
      <c r="D1130" s="2" t="str">
        <f t="shared" si="16"/>
        <v>Error?</v>
      </c>
    </row>
    <row r="1131" spans="1:4" x14ac:dyDescent="0.2">
      <c r="A1131" s="5">
        <v>1070</v>
      </c>
      <c r="B1131" s="138">
        <f>'Expenditures 15-22'!K64</f>
        <v>65743</v>
      </c>
      <c r="C1131" s="2" t="s">
        <v>594</v>
      </c>
      <c r="D1131" s="2" t="str">
        <f t="shared" si="16"/>
        <v>Error?</v>
      </c>
    </row>
    <row r="1132" spans="1:4" x14ac:dyDescent="0.2">
      <c r="A1132" s="10">
        <v>1071</v>
      </c>
      <c r="D1132" s="2" t="str">
        <f t="shared" si="16"/>
        <v>OK</v>
      </c>
    </row>
    <row r="1133" spans="1:4" x14ac:dyDescent="0.2">
      <c r="A1133" s="5">
        <v>1072</v>
      </c>
      <c r="B1133" s="138">
        <f>'Expenditures 15-22'!K65</f>
        <v>873875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10413</v>
      </c>
      <c r="C1135" s="2" t="s">
        <v>594</v>
      </c>
      <c r="D1135" s="2" t="str">
        <f t="shared" si="16"/>
        <v>Error?</v>
      </c>
    </row>
    <row r="1136" spans="1:4" x14ac:dyDescent="0.2">
      <c r="A1136" s="5">
        <v>1075</v>
      </c>
      <c r="B1136" s="138">
        <f>'Expenditures 15-22'!K69</f>
        <v>41704</v>
      </c>
      <c r="C1136" s="2" t="s">
        <v>594</v>
      </c>
      <c r="D1136" s="2" t="str">
        <f t="shared" si="16"/>
        <v>Error?</v>
      </c>
    </row>
    <row r="1137" spans="1:4" x14ac:dyDescent="0.2">
      <c r="A1137" s="5">
        <v>1076</v>
      </c>
      <c r="B1137" s="138">
        <f>'Expenditures 15-22'!K70</f>
        <v>75706</v>
      </c>
      <c r="C1137" s="2" t="s">
        <v>594</v>
      </c>
      <c r="D1137" s="2" t="str">
        <f t="shared" si="16"/>
        <v>Error?</v>
      </c>
    </row>
    <row r="1138" spans="1:4" x14ac:dyDescent="0.2">
      <c r="A1138" s="10">
        <v>1077</v>
      </c>
      <c r="D1138" s="2" t="str">
        <f t="shared" si="16"/>
        <v>OK</v>
      </c>
    </row>
    <row r="1139" spans="1:4" x14ac:dyDescent="0.2">
      <c r="A1139" s="5">
        <v>1078</v>
      </c>
      <c r="B1139" s="138">
        <f>'Expenditures 15-22'!K71</f>
        <v>321908</v>
      </c>
      <c r="C1139" s="2" t="s">
        <v>594</v>
      </c>
      <c r="D1139" s="2" t="str">
        <f t="shared" si="16"/>
        <v>Error?</v>
      </c>
    </row>
    <row r="1140" spans="1:4" x14ac:dyDescent="0.2">
      <c r="A1140" s="10">
        <v>1079</v>
      </c>
      <c r="D1140" s="2" t="str">
        <f t="shared" si="16"/>
        <v>OK</v>
      </c>
    </row>
    <row r="1141" spans="1:4" x14ac:dyDescent="0.2">
      <c r="A1141" s="5">
        <v>1080</v>
      </c>
      <c r="B1141" s="138">
        <f>'Expenditures 15-22'!K72</f>
        <v>449731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5298505</v>
      </c>
      <c r="C1143" s="2" t="s">
        <v>594</v>
      </c>
      <c r="D1143" s="2" t="str">
        <f t="shared" si="16"/>
        <v>Error?</v>
      </c>
    </row>
    <row r="1144" spans="1:4" x14ac:dyDescent="0.2">
      <c r="A1144" s="5">
        <v>1083</v>
      </c>
      <c r="B1144" s="138">
        <f>'Expenditures 15-22'!K75</f>
        <v>135350</v>
      </c>
      <c r="C1144" s="2" t="s">
        <v>594</v>
      </c>
      <c r="D1144" s="2" t="str">
        <f t="shared" si="16"/>
        <v>Error?</v>
      </c>
    </row>
    <row r="1145" spans="1:4" x14ac:dyDescent="0.2">
      <c r="A1145" s="5">
        <v>1084</v>
      </c>
      <c r="B1145" s="138">
        <f>'Expenditures 15-22'!K102</f>
        <v>1109765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16552196</v>
      </c>
      <c r="C1152" s="2" t="s">
        <v>594</v>
      </c>
      <c r="D1152" s="2" t="str">
        <f t="shared" si="17"/>
        <v>Error?</v>
      </c>
    </row>
    <row r="1153" spans="1:4" x14ac:dyDescent="0.2">
      <c r="A1153" s="5">
        <v>1092</v>
      </c>
      <c r="B1153" s="138">
        <f>'Expenditures 15-22'!K115</f>
        <v>710430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384589</v>
      </c>
      <c r="D1221" s="2" t="str">
        <f t="shared" si="18"/>
        <v>Error?</v>
      </c>
    </row>
    <row r="1222" spans="1:4" x14ac:dyDescent="0.2">
      <c r="A1222" s="10">
        <v>1161</v>
      </c>
      <c r="D1222" s="2" t="str">
        <f t="shared" si="18"/>
        <v>OK</v>
      </c>
    </row>
    <row r="1223" spans="1:4" x14ac:dyDescent="0.2">
      <c r="A1223" s="5">
        <v>1162</v>
      </c>
      <c r="B1223" s="138">
        <f>'Expenditures 15-22'!C127</f>
        <v>384589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384589</v>
      </c>
      <c r="C1225" s="2" t="s">
        <v>594</v>
      </c>
      <c r="D1225" s="2" t="str">
        <f t="shared" si="18"/>
        <v>Error?</v>
      </c>
    </row>
    <row r="1226" spans="1:4" x14ac:dyDescent="0.2">
      <c r="A1226" s="5">
        <v>1165</v>
      </c>
      <c r="B1226" s="138">
        <f>'Expenditures 15-22'!C151</f>
        <v>384589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94239</v>
      </c>
      <c r="D1229" s="2" t="str">
        <f t="shared" si="18"/>
        <v>Error?</v>
      </c>
    </row>
    <row r="1230" spans="1:4" x14ac:dyDescent="0.2">
      <c r="A1230" s="10">
        <v>1169</v>
      </c>
      <c r="D1230" s="2" t="str">
        <f t="shared" si="18"/>
        <v>OK</v>
      </c>
    </row>
    <row r="1231" spans="1:4" x14ac:dyDescent="0.2">
      <c r="A1231" s="5">
        <v>1170</v>
      </c>
      <c r="B1231" s="138">
        <f>'Expenditures 15-22'!D127</f>
        <v>94239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94239</v>
      </c>
      <c r="C1233" s="2" t="s">
        <v>594</v>
      </c>
      <c r="D1233" s="2" t="str">
        <f t="shared" si="18"/>
        <v>Error?</v>
      </c>
    </row>
    <row r="1234" spans="1:4" x14ac:dyDescent="0.2">
      <c r="A1234" s="5">
        <v>1173</v>
      </c>
      <c r="B1234" s="138">
        <f>'Expenditures 15-22'!D151</f>
        <v>94239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6541</v>
      </c>
      <c r="D1236" s="2" t="str">
        <f t="shared" si="18"/>
        <v>Error?</v>
      </c>
    </row>
    <row r="1237" spans="1:4" x14ac:dyDescent="0.2">
      <c r="A1237" s="5">
        <v>1176</v>
      </c>
      <c r="B1237" s="138">
        <f>'Expenditures 15-22'!E124</f>
        <v>658152</v>
      </c>
      <c r="D1237" s="2" t="str">
        <f t="shared" si="18"/>
        <v>Error?</v>
      </c>
    </row>
    <row r="1238" spans="1:4" x14ac:dyDescent="0.2">
      <c r="A1238" s="10">
        <v>1177</v>
      </c>
      <c r="D1238" s="2" t="str">
        <f t="shared" si="18"/>
        <v>OK</v>
      </c>
    </row>
    <row r="1239" spans="1:4" x14ac:dyDescent="0.2">
      <c r="A1239" s="5">
        <v>1178</v>
      </c>
      <c r="B1239" s="138">
        <f>'Expenditures 15-22'!E127</f>
        <v>664693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664693</v>
      </c>
      <c r="C1241" s="2" t="s">
        <v>594</v>
      </c>
      <c r="D1241" s="2" t="str">
        <f t="shared" si="18"/>
        <v>Error?</v>
      </c>
    </row>
    <row r="1242" spans="1:4" x14ac:dyDescent="0.2">
      <c r="A1242" s="5">
        <v>1181</v>
      </c>
      <c r="B1242" s="138">
        <f>'Expenditures 15-22'!E151</f>
        <v>664693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405543</v>
      </c>
      <c r="D1245" s="2" t="str">
        <f t="shared" si="18"/>
        <v>Error?</v>
      </c>
    </row>
    <row r="1246" spans="1:4" x14ac:dyDescent="0.2">
      <c r="A1246" s="10">
        <v>1185</v>
      </c>
      <c r="D1246" s="2" t="str">
        <f t="shared" si="18"/>
        <v>OK</v>
      </c>
    </row>
    <row r="1247" spans="1:4" x14ac:dyDescent="0.2">
      <c r="A1247" s="5">
        <v>1186</v>
      </c>
      <c r="B1247" s="138">
        <f>'Expenditures 15-22'!F127</f>
        <v>405543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405543</v>
      </c>
      <c r="C1249" s="2" t="s">
        <v>594</v>
      </c>
      <c r="D1249" s="2" t="str">
        <f t="shared" si="18"/>
        <v>Error?</v>
      </c>
    </row>
    <row r="1250" spans="1:4" x14ac:dyDescent="0.2">
      <c r="A1250" s="5">
        <v>1189</v>
      </c>
      <c r="B1250" s="138">
        <f>'Expenditures 15-22'!F151</f>
        <v>405543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179721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179721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179721</v>
      </c>
      <c r="C1258" s="2" t="s">
        <v>594</v>
      </c>
      <c r="D1258" s="2" t="str">
        <f t="shared" si="18"/>
        <v>Error?</v>
      </c>
    </row>
    <row r="1259" spans="1:4" x14ac:dyDescent="0.2">
      <c r="A1259" s="5">
        <v>1198</v>
      </c>
      <c r="B1259" s="138">
        <f>'Expenditures 15-22'!G151</f>
        <v>179721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1258</v>
      </c>
      <c r="D1262" s="2" t="str">
        <f t="shared" si="18"/>
        <v>Error?</v>
      </c>
    </row>
    <row r="1263" spans="1:4" x14ac:dyDescent="0.2">
      <c r="A1263" s="10">
        <v>1202</v>
      </c>
      <c r="D1263" s="2" t="str">
        <f t="shared" si="18"/>
        <v>OK</v>
      </c>
    </row>
    <row r="1264" spans="1:4" x14ac:dyDescent="0.2">
      <c r="A1264" s="5">
        <v>1203</v>
      </c>
      <c r="B1264" s="138">
        <f>'Expenditures 15-22'!H127</f>
        <v>1258</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1258</v>
      </c>
      <c r="C1266" s="2" t="s">
        <v>594</v>
      </c>
      <c r="D1266" s="2" t="str">
        <f t="shared" si="18"/>
        <v>Error?</v>
      </c>
    </row>
    <row r="1267" spans="1:4" x14ac:dyDescent="0.2">
      <c r="A1267" s="5">
        <v>1206</v>
      </c>
      <c r="B1267" s="138">
        <f>'Expenditures 15-22'!H139</f>
        <v>44786</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46044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6541</v>
      </c>
      <c r="C1275" s="2" t="s">
        <v>594</v>
      </c>
      <c r="D1275" s="2" t="str">
        <f t="shared" si="18"/>
        <v>Error?</v>
      </c>
    </row>
    <row r="1276" spans="1:4" x14ac:dyDescent="0.2">
      <c r="A1276" s="5">
        <v>1215</v>
      </c>
      <c r="B1276" s="138">
        <f>'Expenditures 15-22'!K124</f>
        <v>1741487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1748028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1748028</v>
      </c>
      <c r="C1281" s="2" t="s">
        <v>594</v>
      </c>
      <c r="D1281" s="2" t="str">
        <f t="shared" si="19"/>
        <v>Error?</v>
      </c>
    </row>
    <row r="1282" spans="1:4" x14ac:dyDescent="0.2">
      <c r="A1282" s="5">
        <v>1221</v>
      </c>
      <c r="B1282" s="138">
        <f>'Expenditures 15-22'!K139</f>
        <v>44786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1792814</v>
      </c>
      <c r="C1288" s="2" t="s">
        <v>594</v>
      </c>
      <c r="D1288" s="2" t="str">
        <f t="shared" si="19"/>
        <v>Error?</v>
      </c>
    </row>
    <row r="1289" spans="1:4" x14ac:dyDescent="0.2">
      <c r="A1289" s="5">
        <v>1228</v>
      </c>
      <c r="B1289" s="138">
        <f>'Expenditures 15-22'!K152</f>
        <v>439498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328988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1240110</v>
      </c>
      <c r="D1315" s="2" t="str">
        <f t="shared" si="19"/>
        <v>Error?</v>
      </c>
    </row>
    <row r="1316" spans="1:4" x14ac:dyDescent="0.2">
      <c r="A1316" s="5">
        <v>1255</v>
      </c>
      <c r="B1316" s="138">
        <f>'Expenditures 15-22'!H171</f>
        <v>45524</v>
      </c>
      <c r="D1316" s="2" t="str">
        <f t="shared" si="19"/>
        <v>Error?</v>
      </c>
    </row>
    <row r="1317" spans="1:4" x14ac:dyDescent="0.2">
      <c r="A1317" s="5">
        <v>1256</v>
      </c>
      <c r="B1317" s="138">
        <f>'Expenditures 15-22'!H172</f>
        <v>1614622</v>
      </c>
      <c r="C1317" s="2" t="s">
        <v>594</v>
      </c>
      <c r="D1317" s="2" t="str">
        <f t="shared" si="19"/>
        <v>Error?</v>
      </c>
    </row>
    <row r="1318" spans="1:4" x14ac:dyDescent="0.2">
      <c r="A1318" s="5">
        <v>1257</v>
      </c>
      <c r="B1318" s="138">
        <f>'Expenditures 15-22'!H174</f>
        <v>1614622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328988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1240110</v>
      </c>
      <c r="C1329" s="2" t="s">
        <v>594</v>
      </c>
      <c r="D1329" s="2" t="str">
        <f t="shared" si="19"/>
        <v>Error?</v>
      </c>
    </row>
    <row r="1330" spans="1:4" x14ac:dyDescent="0.2">
      <c r="A1330" s="5">
        <v>1269</v>
      </c>
      <c r="B1330" s="138">
        <f>'Expenditures 15-22'!K171</f>
        <v>45524</v>
      </c>
      <c r="C1330" s="2" t="s">
        <v>594</v>
      </c>
      <c r="D1330" s="2" t="str">
        <f t="shared" si="19"/>
        <v>Error?</v>
      </c>
    </row>
    <row r="1331" spans="1:4" x14ac:dyDescent="0.2">
      <c r="A1331" s="5">
        <v>1270</v>
      </c>
      <c r="B1331" s="138">
        <f>'Expenditures 15-22'!K172</f>
        <v>1614622</v>
      </c>
      <c r="C1331" s="2" t="s">
        <v>594</v>
      </c>
      <c r="D1331" s="2" t="str">
        <f t="shared" si="19"/>
        <v>Error?</v>
      </c>
    </row>
    <row r="1332" spans="1:4" x14ac:dyDescent="0.2">
      <c r="A1332" s="5">
        <v>1271</v>
      </c>
      <c r="B1332" s="138">
        <f>'Expenditures 15-22'!K174</f>
        <v>1614622</v>
      </c>
      <c r="C1332" s="2" t="s">
        <v>594</v>
      </c>
      <c r="D1332" s="2" t="str">
        <f t="shared" si="19"/>
        <v>Error?</v>
      </c>
    </row>
    <row r="1333" spans="1:4" x14ac:dyDescent="0.2">
      <c r="A1333" s="5">
        <v>1272</v>
      </c>
      <c r="B1333" s="138">
        <f>'Expenditures 15-22'!K175</f>
        <v>-106147</v>
      </c>
      <c r="C1333" s="2" t="s">
        <v>594</v>
      </c>
      <c r="D1333" s="2" t="str">
        <f t="shared" si="19"/>
        <v>Error?</v>
      </c>
    </row>
    <row r="1334" spans="1:4" x14ac:dyDescent="0.2">
      <c r="A1334" s="10">
        <v>1273</v>
      </c>
      <c r="D1334" s="2" t="str">
        <f t="shared" si="19"/>
        <v>OK</v>
      </c>
    </row>
    <row r="1335" spans="1:4" x14ac:dyDescent="0.2">
      <c r="A1335" s="5">
        <v>1274</v>
      </c>
      <c r="B1335" s="138">
        <f>'Expenditures 15-22'!C182</f>
        <v>21821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21821</v>
      </c>
      <c r="C1339" s="2" t="s">
        <v>594</v>
      </c>
      <c r="D1339" s="2" t="str">
        <f t="shared" si="19"/>
        <v>Error?</v>
      </c>
    </row>
    <row r="1340" spans="1:4" x14ac:dyDescent="0.2">
      <c r="A1340" s="5">
        <v>1279</v>
      </c>
      <c r="B1340" s="138">
        <f>'Expenditures 15-22'!C210</f>
        <v>21821</v>
      </c>
      <c r="C1340" s="2" t="s">
        <v>594</v>
      </c>
      <c r="D1340" s="2" t="str">
        <f t="shared" si="19"/>
        <v>Error?</v>
      </c>
    </row>
    <row r="1341" spans="1:4" x14ac:dyDescent="0.2">
      <c r="A1341" s="5">
        <v>1280</v>
      </c>
      <c r="B1341" s="138">
        <f>'Expenditures 15-22'!D182</f>
        <v>307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307</v>
      </c>
      <c r="C1345" s="2" t="s">
        <v>594</v>
      </c>
      <c r="D1345" s="2" t="str">
        <f t="shared" si="20"/>
        <v>Error?</v>
      </c>
    </row>
    <row r="1346" spans="1:4" x14ac:dyDescent="0.2">
      <c r="A1346" s="5">
        <v>1285</v>
      </c>
      <c r="B1346" s="138">
        <f>'Expenditures 15-22'!D210</f>
        <v>307</v>
      </c>
      <c r="C1346" s="2" t="s">
        <v>594</v>
      </c>
      <c r="D1346" s="2" t="str">
        <f t="shared" si="20"/>
        <v>Error?</v>
      </c>
    </row>
    <row r="1347" spans="1:4" x14ac:dyDescent="0.2">
      <c r="A1347" s="5">
        <v>1286</v>
      </c>
      <c r="B1347" s="138">
        <f>'Expenditures 15-22'!E182</f>
        <v>825268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825268</v>
      </c>
      <c r="C1351" s="2" t="s">
        <v>594</v>
      </c>
      <c r="D1351" s="2" t="str">
        <f t="shared" si="20"/>
        <v>Error?</v>
      </c>
    </row>
    <row r="1352" spans="1:4" x14ac:dyDescent="0.2">
      <c r="A1352" s="5">
        <v>1291</v>
      </c>
      <c r="B1352" s="138">
        <f>'Expenditures 15-22'!E196</f>
        <v>22639</v>
      </c>
      <c r="C1352" s="2" t="s">
        <v>594</v>
      </c>
      <c r="D1352" s="2" t="str">
        <f t="shared" si="20"/>
        <v>Error?</v>
      </c>
    </row>
    <row r="1353" spans="1:4" x14ac:dyDescent="0.2">
      <c r="A1353" s="5">
        <v>1292</v>
      </c>
      <c r="B1353" s="138">
        <f>'Expenditures 15-22'!E210</f>
        <v>847907</v>
      </c>
      <c r="C1353" s="2" t="s">
        <v>594</v>
      </c>
      <c r="D1353" s="2" t="str">
        <f t="shared" si="20"/>
        <v>Error?</v>
      </c>
    </row>
    <row r="1354" spans="1:4" x14ac:dyDescent="0.2">
      <c r="A1354" s="5">
        <v>1293</v>
      </c>
      <c r="B1354" s="138">
        <f>'Expenditures 15-22'!F182</f>
        <v>42839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42839</v>
      </c>
      <c r="C1358" s="2" t="s">
        <v>594</v>
      </c>
      <c r="D1358" s="2" t="str">
        <f t="shared" si="20"/>
        <v>Error?</v>
      </c>
    </row>
    <row r="1359" spans="1:4" x14ac:dyDescent="0.2">
      <c r="A1359" s="5">
        <v>1298</v>
      </c>
      <c r="B1359" s="138">
        <f>'Expenditures 15-22'!F210</f>
        <v>42839</v>
      </c>
      <c r="C1359" s="2" t="s">
        <v>594</v>
      </c>
      <c r="D1359" s="2" t="str">
        <f t="shared" si="20"/>
        <v>Error?</v>
      </c>
    </row>
    <row r="1360" spans="1:4" x14ac:dyDescent="0.2">
      <c r="A1360" s="5">
        <v>1299</v>
      </c>
      <c r="B1360" s="138">
        <f>'Expenditures 15-22'!G182</f>
        <v>6249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6249</v>
      </c>
      <c r="C1364" s="2" t="s">
        <v>594</v>
      </c>
      <c r="D1364" s="2" t="str">
        <f t="shared" si="20"/>
        <v>Error?</v>
      </c>
    </row>
    <row r="1365" spans="1:4" x14ac:dyDescent="0.2">
      <c r="A1365" s="5">
        <v>1304</v>
      </c>
      <c r="B1365" s="138">
        <f>'Expenditures 15-22'!G210</f>
        <v>6249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896484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896484</v>
      </c>
      <c r="C1381" s="2" t="s">
        <v>594</v>
      </c>
      <c r="D1381" s="2" t="str">
        <f t="shared" si="20"/>
        <v>Error?</v>
      </c>
    </row>
    <row r="1382" spans="1:4" x14ac:dyDescent="0.2">
      <c r="A1382" s="5">
        <v>1321</v>
      </c>
      <c r="B1382" s="138">
        <f>'Expenditures 15-22'!K196</f>
        <v>22639</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919123</v>
      </c>
      <c r="C1388" s="2" t="s">
        <v>594</v>
      </c>
      <c r="D1388" s="2" t="str">
        <f t="shared" si="20"/>
        <v>Error?</v>
      </c>
    </row>
    <row r="1389" spans="1:4" x14ac:dyDescent="0.2">
      <c r="A1389" s="5">
        <v>1328</v>
      </c>
      <c r="B1389" s="138">
        <f>'Expenditures 15-22'!K211</f>
        <v>-297996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776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19428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1307</v>
      </c>
      <c r="D1408" s="2" t="str">
        <f t="shared" si="21"/>
        <v>Error?</v>
      </c>
    </row>
    <row r="1409" spans="1:4" x14ac:dyDescent="0.2">
      <c r="A1409" s="5">
        <v>1348</v>
      </c>
      <c r="B1409" s="138">
        <f>'Expenditures 15-22'!D224</f>
        <v>92</v>
      </c>
      <c r="D1409" s="2" t="str">
        <f t="shared" si="21"/>
        <v>Error?</v>
      </c>
    </row>
    <row r="1410" spans="1:4" x14ac:dyDescent="0.2">
      <c r="A1410" s="5">
        <v>1349</v>
      </c>
      <c r="B1410" s="138">
        <f>'Expenditures 15-22'!D229</f>
        <v>166698</v>
      </c>
      <c r="C1410" s="2" t="s">
        <v>594</v>
      </c>
      <c r="D1410" s="2" t="str">
        <f t="shared" si="21"/>
        <v>Error?</v>
      </c>
    </row>
    <row r="1411" spans="1:4" x14ac:dyDescent="0.2">
      <c r="A1411" s="5">
        <v>1350</v>
      </c>
      <c r="B1411" s="138">
        <f>'Expenditures 15-22'!D232</f>
        <v>15014</v>
      </c>
      <c r="D1411" s="2" t="str">
        <f t="shared" si="21"/>
        <v>Error?</v>
      </c>
    </row>
    <row r="1412" spans="1:4" x14ac:dyDescent="0.2">
      <c r="A1412" s="5">
        <v>1351</v>
      </c>
      <c r="B1412" s="138">
        <f>'Expenditures 15-22'!D233</f>
        <v>724</v>
      </c>
      <c r="D1412" s="2" t="str">
        <f t="shared" si="21"/>
        <v>Error?</v>
      </c>
    </row>
    <row r="1413" spans="1:4" x14ac:dyDescent="0.2">
      <c r="A1413" s="5">
        <v>1352</v>
      </c>
      <c r="B1413" s="138">
        <f>'Expenditures 15-22'!D234</f>
        <v>16545</v>
      </c>
      <c r="D1413" s="2" t="str">
        <f t="shared" si="21"/>
        <v>Error?</v>
      </c>
    </row>
    <row r="1414" spans="1:4" x14ac:dyDescent="0.2">
      <c r="A1414" s="5">
        <v>1353</v>
      </c>
      <c r="B1414" s="138">
        <f>'Expenditures 15-22'!D235</f>
        <v>2161</v>
      </c>
      <c r="D1414" s="2" t="str">
        <f t="shared" si="21"/>
        <v>Error?</v>
      </c>
    </row>
    <row r="1415" spans="1:4" x14ac:dyDescent="0.2">
      <c r="A1415" s="5">
        <v>1354</v>
      </c>
      <c r="B1415" s="138">
        <f>'Expenditures 15-22'!D236</f>
        <v>4743</v>
      </c>
      <c r="D1415" s="2" t="str">
        <f t="shared" si="21"/>
        <v>Error?</v>
      </c>
    </row>
    <row r="1416" spans="1:4" x14ac:dyDescent="0.2">
      <c r="A1416" s="5">
        <v>1355</v>
      </c>
      <c r="B1416" s="138">
        <f>'Expenditures 15-22'!D237</f>
        <v>18725</v>
      </c>
      <c r="D1416" s="2" t="str">
        <f t="shared" si="21"/>
        <v>Error?</v>
      </c>
    </row>
    <row r="1417" spans="1:4" x14ac:dyDescent="0.2">
      <c r="A1417" s="5">
        <v>1356</v>
      </c>
      <c r="B1417" s="138">
        <f>'Expenditures 15-22'!D238</f>
        <v>57912</v>
      </c>
      <c r="C1417" s="2" t="s">
        <v>594</v>
      </c>
      <c r="D1417" s="2" t="str">
        <f t="shared" si="21"/>
        <v>Error?</v>
      </c>
    </row>
    <row r="1418" spans="1:4" x14ac:dyDescent="0.2">
      <c r="A1418" s="5">
        <v>1357</v>
      </c>
      <c r="B1418" s="138">
        <f>'Expenditures 15-22'!D240</f>
        <v>3159</v>
      </c>
      <c r="D1418" s="2" t="str">
        <f t="shared" si="21"/>
        <v>Error?</v>
      </c>
    </row>
    <row r="1419" spans="1:4" x14ac:dyDescent="0.2">
      <c r="A1419" s="5">
        <v>1358</v>
      </c>
      <c r="B1419" s="138">
        <f>'Expenditures 15-22'!D241</f>
        <v>24219</v>
      </c>
      <c r="D1419" s="2" t="str">
        <f t="shared" si="21"/>
        <v>Error?</v>
      </c>
    </row>
    <row r="1420" spans="1:4" x14ac:dyDescent="0.2">
      <c r="A1420" s="5">
        <v>1359</v>
      </c>
      <c r="B1420" s="138">
        <f>'Expenditures 15-22'!D242</f>
        <v>33</v>
      </c>
      <c r="D1420" s="2" t="str">
        <f t="shared" si="21"/>
        <v>Error?</v>
      </c>
    </row>
    <row r="1421" spans="1:4" x14ac:dyDescent="0.2">
      <c r="A1421" s="5">
        <v>1360</v>
      </c>
      <c r="B1421" s="138">
        <f>'Expenditures 15-22'!D243</f>
        <v>27411</v>
      </c>
      <c r="C1421" s="2" t="s">
        <v>594</v>
      </c>
      <c r="D1421" s="2" t="str">
        <f t="shared" si="21"/>
        <v>Error?</v>
      </c>
    </row>
    <row r="1422" spans="1:4" x14ac:dyDescent="0.2">
      <c r="A1422" s="5">
        <v>1361</v>
      </c>
      <c r="B1422" s="138">
        <f>'Expenditures 15-22'!D245</f>
        <v>7088</v>
      </c>
      <c r="D1422" s="2" t="str">
        <f t="shared" si="21"/>
        <v>Error?</v>
      </c>
    </row>
    <row r="1423" spans="1:4" x14ac:dyDescent="0.2">
      <c r="A1423" s="5">
        <v>1362</v>
      </c>
      <c r="B1423" s="138">
        <f>'Expenditures 15-22'!D246</f>
        <v>2917</v>
      </c>
      <c r="D1423" s="2" t="str">
        <f t="shared" si="21"/>
        <v>Error?</v>
      </c>
    </row>
    <row r="1424" spans="1:4" x14ac:dyDescent="0.2">
      <c r="A1424" s="5">
        <v>1363</v>
      </c>
      <c r="B1424" s="138">
        <f>'Expenditures 15-22'!D257</f>
        <v>24952</v>
      </c>
      <c r="C1424" s="2" t="s">
        <v>594</v>
      </c>
      <c r="D1424" s="2" t="str">
        <f t="shared" si="21"/>
        <v>Error?</v>
      </c>
    </row>
    <row r="1425" spans="1:4" x14ac:dyDescent="0.2">
      <c r="A1425" s="5">
        <v>1364</v>
      </c>
      <c r="B1425" s="138">
        <f>'Expenditures 15-22'!D259</f>
        <v>46906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46906</v>
      </c>
      <c r="C1427" s="2" t="s">
        <v>594</v>
      </c>
      <c r="D1427" s="2" t="str">
        <f t="shared" si="21"/>
        <v>Error?</v>
      </c>
    </row>
    <row r="1428" spans="1:4" x14ac:dyDescent="0.2">
      <c r="A1428" s="5">
        <v>1367</v>
      </c>
      <c r="B1428" s="138">
        <f>'Expenditures 15-22'!D263</f>
        <v>1728</v>
      </c>
      <c r="D1428" s="2" t="str">
        <f t="shared" si="21"/>
        <v>Error?</v>
      </c>
    </row>
    <row r="1429" spans="1:4" x14ac:dyDescent="0.2">
      <c r="A1429" s="5">
        <v>1368</v>
      </c>
      <c r="B1429" s="138">
        <f>'Expenditures 15-22'!D264</f>
        <v>24640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79408</v>
      </c>
      <c r="D1431" s="2" t="str">
        <f t="shared" si="21"/>
        <v>Error?</v>
      </c>
    </row>
    <row r="1432" spans="1:4" x14ac:dyDescent="0.2">
      <c r="A1432" s="5">
        <v>1371</v>
      </c>
      <c r="B1432" s="138">
        <f>'Expenditures 15-22'!D267</f>
        <v>492</v>
      </c>
      <c r="D1432" s="2" t="str">
        <f t="shared" si="21"/>
        <v>Error?</v>
      </c>
    </row>
    <row r="1433" spans="1:4" x14ac:dyDescent="0.2">
      <c r="A1433" s="5">
        <v>1372</v>
      </c>
      <c r="B1433" s="138">
        <f>'Expenditures 15-22'!D268</f>
        <v>4225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110493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172</v>
      </c>
      <c r="D1438" s="2" t="str">
        <f t="shared" si="21"/>
        <v>Error?</v>
      </c>
    </row>
    <row r="1439" spans="1:4" x14ac:dyDescent="0.2">
      <c r="A1439" s="5">
        <v>1378</v>
      </c>
      <c r="B1439" s="138">
        <f>'Expenditures 15-22'!D274</f>
        <v>230</v>
      </c>
      <c r="D1439" s="2" t="str">
        <f t="shared" si="21"/>
        <v>Error?</v>
      </c>
    </row>
    <row r="1440" spans="1:4" x14ac:dyDescent="0.2">
      <c r="A1440" s="5">
        <v>1379</v>
      </c>
      <c r="B1440" s="138">
        <f>'Expenditures 15-22'!D275</f>
        <v>7088</v>
      </c>
      <c r="D1440" s="2" t="str">
        <f t="shared" si="21"/>
        <v>Error?</v>
      </c>
    </row>
    <row r="1441" spans="1:4" x14ac:dyDescent="0.2">
      <c r="A1441" s="10">
        <v>1380</v>
      </c>
      <c r="D1441" s="2" t="str">
        <f t="shared" si="21"/>
        <v>OK</v>
      </c>
    </row>
    <row r="1442" spans="1:4" x14ac:dyDescent="0.2">
      <c r="A1442" s="5">
        <v>1381</v>
      </c>
      <c r="B1442" s="138">
        <f>'Expenditures 15-22'!D276</f>
        <v>1284</v>
      </c>
      <c r="D1442" s="2" t="str">
        <f t="shared" si="21"/>
        <v>Error?</v>
      </c>
    </row>
    <row r="1443" spans="1:4" x14ac:dyDescent="0.2">
      <c r="A1443" s="10">
        <v>1382</v>
      </c>
      <c r="D1443" s="2" t="str">
        <f t="shared" si="21"/>
        <v>OK</v>
      </c>
    </row>
    <row r="1444" spans="1:4" x14ac:dyDescent="0.2">
      <c r="A1444" s="5">
        <v>1383</v>
      </c>
      <c r="B1444" s="138">
        <f>'Expenditures 15-22'!D277</f>
        <v>8774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276448</v>
      </c>
      <c r="C1446" s="2" t="s">
        <v>594</v>
      </c>
      <c r="D1446" s="2" t="str">
        <f t="shared" si="21"/>
        <v>Error?</v>
      </c>
    </row>
    <row r="1447" spans="1:4" x14ac:dyDescent="0.2">
      <c r="A1447" s="5">
        <v>1386</v>
      </c>
      <c r="B1447" s="138">
        <f>'Expenditures 15-22'!D280</f>
        <v>4519</v>
      </c>
      <c r="D1447" s="2" t="str">
        <f t="shared" si="21"/>
        <v>Error?</v>
      </c>
    </row>
    <row r="1448" spans="1:4" x14ac:dyDescent="0.2">
      <c r="A1448" s="5">
        <v>1387</v>
      </c>
      <c r="B1448" s="138">
        <f>'Expenditures 15-22'!D295</f>
        <v>471929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776</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19428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1307</v>
      </c>
      <c r="C1472" s="2" t="s">
        <v>594</v>
      </c>
      <c r="D1472" s="2" t="str">
        <f t="shared" si="22"/>
        <v>Error?</v>
      </c>
    </row>
    <row r="1473" spans="1:4" x14ac:dyDescent="0.2">
      <c r="A1473" s="5">
        <v>1412</v>
      </c>
      <c r="B1473" s="138">
        <f>'Expenditures 15-22'!K224</f>
        <v>92</v>
      </c>
      <c r="C1473" s="2" t="s">
        <v>594</v>
      </c>
      <c r="D1473" s="2" t="str">
        <f t="shared" si="22"/>
        <v>Error?</v>
      </c>
    </row>
    <row r="1474" spans="1:4" x14ac:dyDescent="0.2">
      <c r="A1474" s="5">
        <v>1413</v>
      </c>
      <c r="B1474" s="138">
        <f>'Expenditures 15-22'!K229</f>
        <v>166698</v>
      </c>
      <c r="C1474" s="2" t="s">
        <v>594</v>
      </c>
      <c r="D1474" s="2" t="str">
        <f t="shared" si="22"/>
        <v>Error?</v>
      </c>
    </row>
    <row r="1475" spans="1:4" x14ac:dyDescent="0.2">
      <c r="A1475" s="5">
        <v>1414</v>
      </c>
      <c r="B1475" s="138">
        <f>'Expenditures 15-22'!K232</f>
        <v>15014</v>
      </c>
      <c r="C1475" s="2" t="s">
        <v>594</v>
      </c>
      <c r="D1475" s="2" t="str">
        <f t="shared" si="22"/>
        <v>Error?</v>
      </c>
    </row>
    <row r="1476" spans="1:4" x14ac:dyDescent="0.2">
      <c r="A1476" s="5">
        <v>1415</v>
      </c>
      <c r="B1476" s="138">
        <f>'Expenditures 15-22'!K233</f>
        <v>724</v>
      </c>
      <c r="C1476" s="2" t="s">
        <v>594</v>
      </c>
      <c r="D1476" s="2" t="str">
        <f t="shared" si="22"/>
        <v>Error?</v>
      </c>
    </row>
    <row r="1477" spans="1:4" x14ac:dyDescent="0.2">
      <c r="A1477" s="5">
        <v>1416</v>
      </c>
      <c r="B1477" s="138">
        <f>'Expenditures 15-22'!K234</f>
        <v>16545</v>
      </c>
      <c r="C1477" s="2" t="s">
        <v>594</v>
      </c>
      <c r="D1477" s="2" t="str">
        <f t="shared" si="22"/>
        <v>Error?</v>
      </c>
    </row>
    <row r="1478" spans="1:4" x14ac:dyDescent="0.2">
      <c r="A1478" s="5">
        <v>1417</v>
      </c>
      <c r="B1478" s="138">
        <f>'Expenditures 15-22'!K235</f>
        <v>2161</v>
      </c>
      <c r="C1478" s="2" t="s">
        <v>594</v>
      </c>
      <c r="D1478" s="2" t="str">
        <f t="shared" si="22"/>
        <v>Error?</v>
      </c>
    </row>
    <row r="1479" spans="1:4" x14ac:dyDescent="0.2">
      <c r="A1479" s="5">
        <v>1418</v>
      </c>
      <c r="B1479" s="138">
        <f>'Expenditures 15-22'!K236</f>
        <v>4743</v>
      </c>
      <c r="C1479" s="2" t="s">
        <v>594</v>
      </c>
      <c r="D1479" s="2" t="str">
        <f t="shared" si="22"/>
        <v>Error?</v>
      </c>
    </row>
    <row r="1480" spans="1:4" x14ac:dyDescent="0.2">
      <c r="A1480" s="5">
        <v>1419</v>
      </c>
      <c r="B1480" s="138">
        <f>'Expenditures 15-22'!K237</f>
        <v>18725</v>
      </c>
      <c r="C1480" s="2" t="s">
        <v>594</v>
      </c>
      <c r="D1480" s="2" t="str">
        <f t="shared" si="22"/>
        <v>Error?</v>
      </c>
    </row>
    <row r="1481" spans="1:4" x14ac:dyDescent="0.2">
      <c r="A1481" s="5">
        <v>1420</v>
      </c>
      <c r="B1481" s="138">
        <f>'Expenditures 15-22'!K238</f>
        <v>57912</v>
      </c>
      <c r="C1481" s="2" t="s">
        <v>594</v>
      </c>
      <c r="D1481" s="2" t="str">
        <f t="shared" si="22"/>
        <v>Error?</v>
      </c>
    </row>
    <row r="1482" spans="1:4" x14ac:dyDescent="0.2">
      <c r="A1482" s="5">
        <v>1421</v>
      </c>
      <c r="B1482" s="138">
        <f>'Expenditures 15-22'!K240</f>
        <v>3159</v>
      </c>
      <c r="C1482" s="2" t="s">
        <v>594</v>
      </c>
      <c r="D1482" s="2" t="str">
        <f t="shared" si="22"/>
        <v>Error?</v>
      </c>
    </row>
    <row r="1483" spans="1:4" x14ac:dyDescent="0.2">
      <c r="A1483" s="5">
        <v>1422</v>
      </c>
      <c r="B1483" s="138">
        <f>'Expenditures 15-22'!K241</f>
        <v>24219</v>
      </c>
      <c r="C1483" s="2" t="s">
        <v>594</v>
      </c>
      <c r="D1483" s="2" t="str">
        <f t="shared" si="22"/>
        <v>Error?</v>
      </c>
    </row>
    <row r="1484" spans="1:4" x14ac:dyDescent="0.2">
      <c r="A1484" s="5">
        <v>1423</v>
      </c>
      <c r="B1484" s="138">
        <f>'Expenditures 15-22'!K242</f>
        <v>33</v>
      </c>
      <c r="C1484" s="2" t="s">
        <v>594</v>
      </c>
      <c r="D1484" s="2" t="str">
        <f t="shared" si="22"/>
        <v>Error?</v>
      </c>
    </row>
    <row r="1485" spans="1:4" x14ac:dyDescent="0.2">
      <c r="A1485" s="5">
        <v>1424</v>
      </c>
      <c r="B1485" s="138">
        <f>'Expenditures 15-22'!K243</f>
        <v>27411</v>
      </c>
      <c r="C1485" s="2" t="s">
        <v>594</v>
      </c>
      <c r="D1485" s="2" t="str">
        <f t="shared" si="22"/>
        <v>Error?</v>
      </c>
    </row>
    <row r="1486" spans="1:4" x14ac:dyDescent="0.2">
      <c r="A1486" s="5">
        <v>1425</v>
      </c>
      <c r="B1486" s="138">
        <f>'Expenditures 15-22'!K245</f>
        <v>7088</v>
      </c>
      <c r="C1486" s="2" t="s">
        <v>594</v>
      </c>
      <c r="D1486" s="2" t="str">
        <f t="shared" si="22"/>
        <v>Error?</v>
      </c>
    </row>
    <row r="1487" spans="1:4" x14ac:dyDescent="0.2">
      <c r="A1487" s="5">
        <v>1426</v>
      </c>
      <c r="B1487" s="138">
        <f>'Expenditures 15-22'!K246</f>
        <v>2917</v>
      </c>
      <c r="C1487" s="2" t="s">
        <v>594</v>
      </c>
      <c r="D1487" s="2" t="str">
        <f t="shared" si="22"/>
        <v>Error?</v>
      </c>
    </row>
    <row r="1488" spans="1:4" x14ac:dyDescent="0.2">
      <c r="A1488" s="5">
        <v>1427</v>
      </c>
      <c r="B1488" s="138">
        <f>'Expenditures 15-22'!K257</f>
        <v>24952</v>
      </c>
      <c r="C1488" s="2" t="s">
        <v>594</v>
      </c>
      <c r="D1488" s="2" t="str">
        <f t="shared" si="22"/>
        <v>Error?</v>
      </c>
    </row>
    <row r="1489" spans="1:4" x14ac:dyDescent="0.2">
      <c r="A1489" s="5">
        <v>1428</v>
      </c>
      <c r="B1489" s="138">
        <f>'Expenditures 15-22'!K259</f>
        <v>46906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46906</v>
      </c>
      <c r="C1491" s="2" t="s">
        <v>594</v>
      </c>
      <c r="D1491" s="2" t="str">
        <f t="shared" si="22"/>
        <v>Error?</v>
      </c>
    </row>
    <row r="1492" spans="1:4" x14ac:dyDescent="0.2">
      <c r="A1492" s="5">
        <v>1431</v>
      </c>
      <c r="B1492" s="138">
        <f>'Expenditures 15-22'!K263</f>
        <v>1728</v>
      </c>
      <c r="C1492" s="2" t="s">
        <v>594</v>
      </c>
      <c r="D1492" s="2" t="str">
        <f t="shared" si="22"/>
        <v>Error?</v>
      </c>
    </row>
    <row r="1493" spans="1:4" x14ac:dyDescent="0.2">
      <c r="A1493" s="5">
        <v>1432</v>
      </c>
      <c r="B1493" s="138">
        <f>'Expenditures 15-22'!K264</f>
        <v>24640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79408</v>
      </c>
      <c r="C1495" s="2" t="s">
        <v>594</v>
      </c>
      <c r="D1495" s="2" t="str">
        <f t="shared" si="22"/>
        <v>Error?</v>
      </c>
    </row>
    <row r="1496" spans="1:4" x14ac:dyDescent="0.2">
      <c r="A1496" s="5">
        <v>1435</v>
      </c>
      <c r="B1496" s="138">
        <f>'Expenditures 15-22'!K267</f>
        <v>492</v>
      </c>
      <c r="C1496" s="2" t="s">
        <v>594</v>
      </c>
      <c r="D1496" s="2" t="str">
        <f t="shared" si="22"/>
        <v>Error?</v>
      </c>
    </row>
    <row r="1497" spans="1:4" x14ac:dyDescent="0.2">
      <c r="A1497" s="5">
        <v>1436</v>
      </c>
      <c r="B1497" s="138">
        <f>'Expenditures 15-22'!K268</f>
        <v>4225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110493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172</v>
      </c>
      <c r="C1502" s="2" t="s">
        <v>594</v>
      </c>
      <c r="D1502" s="2" t="str">
        <f t="shared" si="22"/>
        <v>Error?</v>
      </c>
    </row>
    <row r="1503" spans="1:4" x14ac:dyDescent="0.2">
      <c r="A1503" s="5">
        <v>1442</v>
      </c>
      <c r="B1503" s="138">
        <f>'Expenditures 15-22'!K274</f>
        <v>230</v>
      </c>
      <c r="C1503" s="2" t="s">
        <v>594</v>
      </c>
      <c r="D1503" s="2" t="str">
        <f t="shared" si="22"/>
        <v>Error?</v>
      </c>
    </row>
    <row r="1504" spans="1:4" x14ac:dyDescent="0.2">
      <c r="A1504" s="5">
        <v>1443</v>
      </c>
      <c r="B1504" s="138">
        <f>'Expenditures 15-22'!K275</f>
        <v>7088</v>
      </c>
      <c r="C1504" s="2" t="s">
        <v>594</v>
      </c>
      <c r="D1504" s="2" t="str">
        <f t="shared" si="22"/>
        <v>Error?</v>
      </c>
    </row>
    <row r="1505" spans="1:4" x14ac:dyDescent="0.2">
      <c r="A1505" s="10">
        <v>1444</v>
      </c>
      <c r="D1505" s="2" t="str">
        <f t="shared" si="22"/>
        <v>OK</v>
      </c>
    </row>
    <row r="1506" spans="1:4" x14ac:dyDescent="0.2">
      <c r="A1506" s="5">
        <v>1445</v>
      </c>
      <c r="B1506" s="138">
        <f>'Expenditures 15-22'!K276</f>
        <v>1284</v>
      </c>
      <c r="C1506" s="2" t="s">
        <v>594</v>
      </c>
      <c r="D1506" s="2" t="str">
        <f t="shared" si="22"/>
        <v>Error?</v>
      </c>
    </row>
    <row r="1507" spans="1:4" x14ac:dyDescent="0.2">
      <c r="A1507" s="10">
        <v>1446</v>
      </c>
      <c r="D1507" s="2" t="str">
        <f t="shared" si="22"/>
        <v>OK</v>
      </c>
    </row>
    <row r="1508" spans="1:4" x14ac:dyDescent="0.2">
      <c r="A1508" s="5">
        <v>1447</v>
      </c>
      <c r="B1508" s="138">
        <f>'Expenditures 15-22'!K277</f>
        <v>8774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276448</v>
      </c>
      <c r="C1510" s="2" t="s">
        <v>594</v>
      </c>
      <c r="D1510" s="2" t="str">
        <f t="shared" si="22"/>
        <v>Error?</v>
      </c>
    </row>
    <row r="1511" spans="1:4" x14ac:dyDescent="0.2">
      <c r="A1511" s="5">
        <v>1450</v>
      </c>
      <c r="B1511" s="138">
        <f>'Expenditures 15-22'!K280</f>
        <v>4519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471929</v>
      </c>
      <c r="C1517" s="2" t="s">
        <v>594</v>
      </c>
      <c r="D1517" s="2" t="str">
        <f t="shared" si="22"/>
        <v>Error?</v>
      </c>
    </row>
    <row r="1518" spans="1:4" x14ac:dyDescent="0.2">
      <c r="A1518" s="5">
        <v>1457</v>
      </c>
      <c r="B1518" s="138">
        <f>'Expenditures 15-22'!K296</f>
        <v>-195329</v>
      </c>
      <c r="C1518" s="2" t="s">
        <v>594</v>
      </c>
      <c r="D1518" s="2" t="str">
        <f t="shared" si="22"/>
        <v>Error?</v>
      </c>
    </row>
    <row r="1519" spans="1:4" x14ac:dyDescent="0.2">
      <c r="A1519" s="5">
        <v>1458</v>
      </c>
      <c r="B1519" s="138">
        <f>'Expenditures 15-22'!C301</f>
        <v>2898</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2898</v>
      </c>
      <c r="C1523" s="2" t="s">
        <v>594</v>
      </c>
      <c r="D1523" s="2" t="str">
        <f t="shared" si="22"/>
        <v>Error?</v>
      </c>
    </row>
    <row r="1524" spans="1:4" x14ac:dyDescent="0.2">
      <c r="A1524" s="5">
        <v>1463</v>
      </c>
      <c r="B1524" s="138">
        <f>'Expenditures 15-22'!C312</f>
        <v>2898</v>
      </c>
      <c r="C1524" s="2" t="s">
        <v>594</v>
      </c>
      <c r="D1524" s="2" t="str">
        <f t="shared" si="22"/>
        <v>Error?</v>
      </c>
    </row>
    <row r="1525" spans="1:4" x14ac:dyDescent="0.2">
      <c r="A1525" s="5">
        <v>1464</v>
      </c>
      <c r="B1525" s="138">
        <f>'Expenditures 15-22'!D301</f>
        <v>315</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315</v>
      </c>
      <c r="C1529" s="2" t="s">
        <v>594</v>
      </c>
      <c r="D1529" s="2" t="str">
        <f t="shared" si="22"/>
        <v>Error?</v>
      </c>
    </row>
    <row r="1530" spans="1:4" x14ac:dyDescent="0.2">
      <c r="A1530" s="5">
        <v>1469</v>
      </c>
      <c r="B1530" s="138">
        <f>'Expenditures 15-22'!D312</f>
        <v>315</v>
      </c>
      <c r="C1530" s="2" t="s">
        <v>594</v>
      </c>
      <c r="D1530" s="2" t="str">
        <f t="shared" si="22"/>
        <v>Error?</v>
      </c>
    </row>
    <row r="1531" spans="1:4" x14ac:dyDescent="0.2">
      <c r="A1531" s="5">
        <v>1470</v>
      </c>
      <c r="B1531" s="138">
        <f>'Expenditures 15-22'!E301</f>
        <v>91473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91473</v>
      </c>
      <c r="C1535" s="2" t="s">
        <v>594</v>
      </c>
      <c r="D1535" s="2" t="str">
        <f t="shared" ref="D1535:D1598" si="23">IF(ISBLANK(B1535),"OK",IF(A1535-B1535=0,"OK","Error?"))</f>
        <v>Error?</v>
      </c>
    </row>
    <row r="1536" spans="1:4" x14ac:dyDescent="0.2">
      <c r="A1536" s="5">
        <v>1475</v>
      </c>
      <c r="B1536" s="138">
        <f>'Expenditures 15-22'!E312</f>
        <v>91473</v>
      </c>
      <c r="C1536" s="2" t="s">
        <v>594</v>
      </c>
      <c r="D1536" s="2" t="str">
        <f t="shared" si="23"/>
        <v>Error?</v>
      </c>
    </row>
    <row r="1537" spans="1:4" x14ac:dyDescent="0.2">
      <c r="A1537" s="5">
        <v>1476</v>
      </c>
      <c r="B1537" s="138">
        <f>'Expenditures 15-22'!F301</f>
        <v>6743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6743</v>
      </c>
      <c r="C1541" s="2" t="s">
        <v>594</v>
      </c>
      <c r="D1541" s="2" t="str">
        <f t="shared" si="23"/>
        <v>Error?</v>
      </c>
    </row>
    <row r="1542" spans="1:4" x14ac:dyDescent="0.2">
      <c r="A1542" s="5">
        <v>1481</v>
      </c>
      <c r="B1542" s="138">
        <f>'Expenditures 15-22'!F312</f>
        <v>6743</v>
      </c>
      <c r="C1542" s="2" t="s">
        <v>594</v>
      </c>
      <c r="D1542" s="2" t="str">
        <f t="shared" si="23"/>
        <v>Error?</v>
      </c>
    </row>
    <row r="1543" spans="1:4" x14ac:dyDescent="0.2">
      <c r="A1543" s="5">
        <v>1482</v>
      </c>
      <c r="B1543" s="138">
        <f>'Expenditures 15-22'!G301</f>
        <v>237357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237357</v>
      </c>
      <c r="C1547" s="2" t="s">
        <v>594</v>
      </c>
      <c r="D1547" s="2" t="str">
        <f t="shared" si="23"/>
        <v>Error?</v>
      </c>
    </row>
    <row r="1548" spans="1:4" x14ac:dyDescent="0.2">
      <c r="A1548" s="5">
        <v>1487</v>
      </c>
      <c r="B1548" s="138">
        <f>'Expenditures 15-22'!G312</f>
        <v>237357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338786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338786</v>
      </c>
      <c r="C1559" s="2" t="s">
        <v>594</v>
      </c>
      <c r="D1559" s="2" t="str">
        <f t="shared" si="23"/>
        <v>Error?</v>
      </c>
    </row>
    <row r="1560" spans="1:4" x14ac:dyDescent="0.2">
      <c r="A1560" s="5">
        <v>1499</v>
      </c>
      <c r="B1560" s="138">
        <f>'Expenditures 15-22'!K312</f>
        <v>338786</v>
      </c>
      <c r="C1560" s="2" t="s">
        <v>594</v>
      </c>
      <c r="D1560" s="2" t="str">
        <f t="shared" si="23"/>
        <v>Error?</v>
      </c>
    </row>
    <row r="1561" spans="1:4" x14ac:dyDescent="0.2">
      <c r="A1561" s="5">
        <v>1500</v>
      </c>
      <c r="B1561" s="138">
        <f>'Expenditures 15-22'!K313</f>
        <v>1144313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4680938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5391368</v>
      </c>
      <c r="C1630" s="2" t="s">
        <v>594</v>
      </c>
      <c r="D1630" s="2" t="str">
        <f t="shared" si="24"/>
        <v>Error?</v>
      </c>
    </row>
    <row r="1631" spans="1:4" x14ac:dyDescent="0.2">
      <c r="A1631" s="5">
        <v>1570</v>
      </c>
      <c r="B1631" s="138">
        <f>'Acct Summary 7-8'!D79</f>
        <v>-561416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-121918</v>
      </c>
      <c r="C1644" s="2" t="s">
        <v>594</v>
      </c>
      <c r="D1644" s="2" t="str">
        <f t="shared" si="24"/>
        <v>Error?</v>
      </c>
    </row>
    <row r="1645" spans="1:4" x14ac:dyDescent="0.2">
      <c r="A1645" s="5">
        <v>1584</v>
      </c>
      <c r="B1645" s="138">
        <f>'Acct Summary 7-8'!E79</f>
        <v>1298493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1238229</v>
      </c>
      <c r="C1658" s="2" t="s">
        <v>594</v>
      </c>
      <c r="D1658" s="2" t="str">
        <f t="shared" si="24"/>
        <v>Error?</v>
      </c>
    </row>
    <row r="1659" spans="1:4" x14ac:dyDescent="0.2">
      <c r="A1659" s="5">
        <v>1598</v>
      </c>
      <c r="B1659" s="138">
        <f>'Acct Summary 7-8'!F79</f>
        <v>736736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438740</v>
      </c>
      <c r="C1672" s="2" t="s">
        <v>594</v>
      </c>
      <c r="D1672" s="2" t="str">
        <f t="shared" si="25"/>
        <v>Error?</v>
      </c>
    </row>
    <row r="1673" spans="1:4" x14ac:dyDescent="0.2">
      <c r="A1673" s="5">
        <v>1612</v>
      </c>
      <c r="B1673" s="138">
        <f>'Acct Summary 7-8'!G79</f>
        <v>212424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17095</v>
      </c>
      <c r="C1686" s="2" t="s">
        <v>594</v>
      </c>
      <c r="D1686" s="2" t="str">
        <f t="shared" si="25"/>
        <v>Error?</v>
      </c>
    </row>
    <row r="1687" spans="1:4" x14ac:dyDescent="0.2">
      <c r="A1687" s="5">
        <v>1626</v>
      </c>
      <c r="B1687" s="138">
        <f>'Acct Summary 7-8'!H79</f>
        <v>33354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4884667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10925632</v>
      </c>
      <c r="C1744" s="2" t="s">
        <v>594</v>
      </c>
      <c r="D1744" s="2" t="str">
        <f t="shared" si="26"/>
        <v>Error?</v>
      </c>
    </row>
    <row r="1745" spans="1:5" x14ac:dyDescent="0.2">
      <c r="A1745" s="5">
        <v>1684</v>
      </c>
      <c r="B1745" s="138">
        <f>'Tax Sched 23'!B5</f>
        <v>1716237</v>
      </c>
      <c r="C1745" s="2" t="s">
        <v>594</v>
      </c>
      <c r="D1745" s="2" t="str">
        <f t="shared" si="26"/>
        <v>Error?</v>
      </c>
    </row>
    <row r="1746" spans="1:5" x14ac:dyDescent="0.2">
      <c r="A1746" s="5">
        <v>1685</v>
      </c>
      <c r="B1746" s="138">
        <f>'Tax Sched 23'!B6</f>
        <v>1491933</v>
      </c>
      <c r="C1746" s="2" t="s">
        <v>594</v>
      </c>
      <c r="D1746" s="2" t="str">
        <f t="shared" si="26"/>
        <v>Error?</v>
      </c>
    </row>
    <row r="1747" spans="1:5" x14ac:dyDescent="0.2">
      <c r="A1747" s="5">
        <v>1686</v>
      </c>
      <c r="B1747" s="138">
        <f>'Tax Sched 23'!B7</f>
        <v>320554</v>
      </c>
      <c r="C1747" s="2" t="s">
        <v>594</v>
      </c>
      <c r="D1747" s="2" t="str">
        <f t="shared" si="26"/>
        <v>Error?</v>
      </c>
    </row>
    <row r="1748" spans="1:5" x14ac:dyDescent="0.2">
      <c r="A1748" s="5">
        <v>1687</v>
      </c>
      <c r="B1748" s="138">
        <f>'Tax Sched 23'!B8</f>
        <v>5066</v>
      </c>
      <c r="C1748" s="2" t="s">
        <v>594</v>
      </c>
      <c r="D1748" s="2" t="str">
        <f t="shared" si="26"/>
        <v>Error?</v>
      </c>
    </row>
    <row r="1749" spans="1:5" x14ac:dyDescent="0.2">
      <c r="A1749" s="5">
        <v>1688</v>
      </c>
      <c r="B1749" s="138">
        <f>'Tax Sched 23'!B10</f>
        <v>5135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1246968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15881518</v>
      </c>
      <c r="C1759" s="2" t="s">
        <v>594</v>
      </c>
      <c r="D1759" s="2" t="str">
        <f t="shared" si="26"/>
        <v>Error?</v>
      </c>
    </row>
    <row r="1760" spans="1:5" x14ac:dyDescent="0.2">
      <c r="A1760" s="5">
        <v>1699</v>
      </c>
      <c r="B1760" s="138">
        <f>'Tax Sched 23'!D4</f>
        <v>10925632</v>
      </c>
      <c r="C1760" s="2" t="s">
        <v>594</v>
      </c>
      <c r="D1760" s="2" t="str">
        <f t="shared" si="26"/>
        <v>Error?</v>
      </c>
    </row>
    <row r="1761" spans="1:5" x14ac:dyDescent="0.2">
      <c r="A1761" s="5">
        <v>1700</v>
      </c>
      <c r="B1761" s="138">
        <f>'Tax Sched 23'!D5</f>
        <v>1716237</v>
      </c>
      <c r="C1761" s="2" t="s">
        <v>594</v>
      </c>
      <c r="D1761" s="2" t="str">
        <f t="shared" si="26"/>
        <v>Error?</v>
      </c>
    </row>
    <row r="1762" spans="1:5" s="8" customFormat="1" x14ac:dyDescent="0.2">
      <c r="A1762" s="5">
        <v>1701</v>
      </c>
      <c r="B1762" s="138">
        <f>'Tax Sched 23'!D6</f>
        <v>1491933</v>
      </c>
      <c r="C1762" s="2" t="s">
        <v>594</v>
      </c>
      <c r="D1762" s="2" t="str">
        <f t="shared" si="26"/>
        <v>Error?</v>
      </c>
      <c r="E1762" s="9"/>
    </row>
    <row r="1763" spans="1:5" x14ac:dyDescent="0.2">
      <c r="A1763" s="5">
        <v>1702</v>
      </c>
      <c r="B1763" s="138">
        <f>'Tax Sched 23'!D7</f>
        <v>320554</v>
      </c>
      <c r="C1763" s="2" t="s">
        <v>594</v>
      </c>
      <c r="D1763" s="2" t="str">
        <f t="shared" si="26"/>
        <v>Error?</v>
      </c>
    </row>
    <row r="1764" spans="1:5" x14ac:dyDescent="0.2">
      <c r="A1764" s="5">
        <v>1703</v>
      </c>
      <c r="B1764" s="138">
        <f>'Tax Sched 23'!D8</f>
        <v>5066</v>
      </c>
      <c r="C1764" s="2" t="s">
        <v>594</v>
      </c>
      <c r="D1764" s="2" t="str">
        <f t="shared" si="26"/>
        <v>Error?</v>
      </c>
    </row>
    <row r="1765" spans="1:5" x14ac:dyDescent="0.2">
      <c r="A1765" s="5">
        <v>1704</v>
      </c>
      <c r="B1765" s="138">
        <f>'Tax Sched 23'!D10</f>
        <v>5135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1246968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15881518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11903320</v>
      </c>
      <c r="C1792" s="2" t="s">
        <v>594</v>
      </c>
      <c r="D1792" s="2" t="str">
        <f t="shared" si="27"/>
        <v>Error?</v>
      </c>
    </row>
    <row r="1793" spans="1:4" x14ac:dyDescent="0.2">
      <c r="A1793" s="5">
        <v>1732</v>
      </c>
      <c r="B1793" s="138">
        <f>'Tax Sched 23'!F5</f>
        <v>1099999</v>
      </c>
      <c r="C1793" s="2" t="s">
        <v>594</v>
      </c>
      <c r="D1793" s="2" t="str">
        <f t="shared" si="27"/>
        <v>Error?</v>
      </c>
    </row>
    <row r="1794" spans="1:4" x14ac:dyDescent="0.2">
      <c r="A1794" s="5">
        <v>1733</v>
      </c>
      <c r="B1794" s="138">
        <f>'Tax Sched 23'!F6</f>
        <v>1536548</v>
      </c>
      <c r="C1794" s="2" t="s">
        <v>594</v>
      </c>
      <c r="D1794" s="2" t="str">
        <f t="shared" si="27"/>
        <v>Error?</v>
      </c>
    </row>
    <row r="1795" spans="1:4" x14ac:dyDescent="0.2">
      <c r="A1795" s="5">
        <v>1734</v>
      </c>
      <c r="B1795" s="138">
        <f>'Tax Sched 23'!F7</f>
        <v>324998</v>
      </c>
      <c r="C1795" s="2" t="s">
        <v>594</v>
      </c>
      <c r="D1795" s="2" t="str">
        <f t="shared" si="27"/>
        <v>Error?</v>
      </c>
    </row>
    <row r="1796" spans="1:4" x14ac:dyDescent="0.2">
      <c r="A1796" s="5">
        <v>1735</v>
      </c>
      <c r="B1796" s="138">
        <f>'Tax Sched 23'!F8</f>
        <v>10001</v>
      </c>
      <c r="C1796" s="2" t="s">
        <v>594</v>
      </c>
      <c r="D1796" s="2" t="str">
        <f t="shared" si="27"/>
        <v>Error?</v>
      </c>
    </row>
    <row r="1797" spans="1:4" x14ac:dyDescent="0.2">
      <c r="A1797" s="5">
        <v>1736</v>
      </c>
      <c r="B1797" s="138">
        <f>'Tax Sched 23'!F10</f>
        <v>5146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1340003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16394288</v>
      </c>
      <c r="C1807" s="2" t="s">
        <v>594</v>
      </c>
      <c r="D1807" s="2" t="str">
        <f t="shared" si="27"/>
        <v>Error?</v>
      </c>
    </row>
    <row r="1808" spans="1:4" x14ac:dyDescent="0.2">
      <c r="A1808" s="5">
        <v>1747</v>
      </c>
      <c r="B1808" s="138">
        <f>'Tax Sched 23'!E4</f>
        <v>11903320</v>
      </c>
      <c r="D1808" s="2" t="str">
        <f t="shared" si="27"/>
        <v>Error?</v>
      </c>
    </row>
    <row r="1809" spans="1:4" x14ac:dyDescent="0.2">
      <c r="A1809" s="5">
        <v>1748</v>
      </c>
      <c r="B1809" s="138">
        <f>'Tax Sched 23'!E5</f>
        <v>1099999</v>
      </c>
      <c r="D1809" s="2" t="str">
        <f t="shared" si="27"/>
        <v>Error?</v>
      </c>
    </row>
    <row r="1810" spans="1:4" x14ac:dyDescent="0.2">
      <c r="A1810" s="5">
        <v>1749</v>
      </c>
      <c r="B1810" s="138">
        <f>'Tax Sched 23'!E6</f>
        <v>1536548</v>
      </c>
      <c r="D1810" s="2" t="str">
        <f t="shared" si="27"/>
        <v>Error?</v>
      </c>
    </row>
    <row r="1811" spans="1:4" x14ac:dyDescent="0.2">
      <c r="A1811" s="5">
        <v>1750</v>
      </c>
      <c r="B1811" s="138">
        <f>'Tax Sched 23'!E7</f>
        <v>324998</v>
      </c>
      <c r="D1811" s="2" t="str">
        <f t="shared" si="27"/>
        <v>Error?</v>
      </c>
    </row>
    <row r="1812" spans="1:4" x14ac:dyDescent="0.2">
      <c r="A1812" s="5">
        <v>1751</v>
      </c>
      <c r="B1812" s="138">
        <f>'Tax Sched 23'!E8</f>
        <v>10001</v>
      </c>
      <c r="D1812" s="2" t="str">
        <f t="shared" si="27"/>
        <v>Error?</v>
      </c>
    </row>
    <row r="1813" spans="1:4" x14ac:dyDescent="0.2">
      <c r="A1813" s="5">
        <v>1752</v>
      </c>
      <c r="B1813" s="138">
        <f>'Tax Sched 23'!E10</f>
        <v>5146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1340003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16394288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9771278</v>
      </c>
      <c r="C1939" s="2" t="s">
        <v>594</v>
      </c>
      <c r="D1939" s="2" t="str">
        <f t="shared" si="29"/>
        <v>Error?</v>
      </c>
    </row>
    <row r="1940" spans="1:5" x14ac:dyDescent="0.2">
      <c r="A1940" s="5">
        <v>1879</v>
      </c>
      <c r="B1940" s="138">
        <f>'Short-Term Long-Term Debt 24'!F49</f>
        <v>5182000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1246968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1246968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1246968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387375</v>
      </c>
      <c r="D2008" s="2" t="str">
        <f t="shared" si="30"/>
        <v>Error?</v>
      </c>
    </row>
    <row r="2009" spans="1:4" x14ac:dyDescent="0.2">
      <c r="A2009" s="5">
        <v>1948</v>
      </c>
      <c r="B2009" s="138">
        <f>'Cap Outlay Deprec 26'!C8</f>
        <v>20412896</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2557221</v>
      </c>
      <c r="D2011" s="2" t="str">
        <f t="shared" si="30"/>
        <v>Error?</v>
      </c>
    </row>
    <row r="2012" spans="1:4" x14ac:dyDescent="0.2">
      <c r="A2012" s="5">
        <v>1951</v>
      </c>
      <c r="B2012" s="138">
        <f>'Cap Outlay Deprec 26'!C13</f>
        <v>113122</v>
      </c>
      <c r="D2012" s="2" t="str">
        <f t="shared" si="30"/>
        <v>Error?</v>
      </c>
    </row>
    <row r="2013" spans="1:4" x14ac:dyDescent="0.2">
      <c r="A2013" s="5">
        <v>1952</v>
      </c>
      <c r="B2013" s="138">
        <f>'Cap Outlay Deprec 26'!C16</f>
        <v>23470614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331976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50718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438019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136687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136687</v>
      </c>
      <c r="C2025" s="2" t="s">
        <v>594</v>
      </c>
      <c r="D2025" s="2" t="str">
        <f t="shared" si="30"/>
        <v>Error?</v>
      </c>
    </row>
    <row r="2026" spans="1:4" x14ac:dyDescent="0.2">
      <c r="A2026" s="5">
        <v>1965</v>
      </c>
      <c r="B2026" s="138">
        <f>'Cap Outlay Deprec 26'!F5</f>
        <v>387375</v>
      </c>
      <c r="C2026" s="2" t="s">
        <v>594</v>
      </c>
      <c r="D2026" s="2" t="str">
        <f t="shared" si="30"/>
        <v>Error?</v>
      </c>
    </row>
    <row r="2027" spans="1:4" x14ac:dyDescent="0.2">
      <c r="A2027" s="5">
        <v>1966</v>
      </c>
      <c r="B2027" s="138">
        <f>'Cap Outlay Deprec 26'!F8</f>
        <v>20744872</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2471252</v>
      </c>
      <c r="C2029" s="2" t="s">
        <v>594</v>
      </c>
      <c r="D2029" s="2" t="str">
        <f t="shared" si="30"/>
        <v>Error?</v>
      </c>
    </row>
    <row r="2030" spans="1:4" x14ac:dyDescent="0.2">
      <c r="A2030" s="5">
        <v>1969</v>
      </c>
      <c r="B2030" s="138">
        <f>'Cap Outlay Deprec 26'!F13</f>
        <v>113122</v>
      </c>
      <c r="C2030" s="2" t="s">
        <v>594</v>
      </c>
      <c r="D2030" s="2" t="str">
        <f t="shared" si="30"/>
        <v>Error?</v>
      </c>
    </row>
    <row r="2031" spans="1:4" x14ac:dyDescent="0.2">
      <c r="A2031" s="5">
        <v>1970</v>
      </c>
      <c r="B2031" s="138">
        <f>'Cap Outlay Deprec 26'!F16</f>
        <v>23771946</v>
      </c>
      <c r="C2031" s="2" t="s">
        <v>594</v>
      </c>
      <c r="D2031" s="2" t="str">
        <f t="shared" si="30"/>
        <v>Error?</v>
      </c>
    </row>
    <row r="2032" spans="1:4" x14ac:dyDescent="0.2">
      <c r="A2032" s="10">
        <v>1971</v>
      </c>
      <c r="D2032" s="2" t="str">
        <f t="shared" si="30"/>
        <v>OK</v>
      </c>
    </row>
    <row r="2033" spans="1:4" x14ac:dyDescent="0.2">
      <c r="A2033" s="5">
        <v>1972</v>
      </c>
      <c r="B2033" s="138">
        <f>'Cap Outlay Deprec 26'!H8</f>
        <v>8173753</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1991079</v>
      </c>
      <c r="D2035" s="2" t="str">
        <f t="shared" si="30"/>
        <v>Error?</v>
      </c>
    </row>
    <row r="2036" spans="1:4" x14ac:dyDescent="0.2">
      <c r="A2036" s="5">
        <v>1975</v>
      </c>
      <c r="B2036" s="138">
        <f>'Cap Outlay Deprec 26'!H13</f>
        <v>104159</v>
      </c>
      <c r="D2036" s="2" t="str">
        <f t="shared" si="30"/>
        <v>Error?</v>
      </c>
    </row>
    <row r="2037" spans="1:4" x14ac:dyDescent="0.2">
      <c r="A2037" s="5">
        <v>1976</v>
      </c>
      <c r="B2037" s="138">
        <f>'Cap Outlay Deprec 26'!H16</f>
        <v>10268991</v>
      </c>
      <c r="C2037" s="2" t="s">
        <v>594</v>
      </c>
      <c r="D2037" s="2" t="str">
        <f t="shared" si="30"/>
        <v>Error?</v>
      </c>
    </row>
    <row r="2038" spans="1:4" x14ac:dyDescent="0.2">
      <c r="A2038" s="10">
        <v>1977</v>
      </c>
      <c r="D2038" s="2" t="str">
        <f t="shared" si="30"/>
        <v>OK</v>
      </c>
    </row>
    <row r="2039" spans="1:4" x14ac:dyDescent="0.2">
      <c r="A2039" s="5">
        <v>1978</v>
      </c>
      <c r="B2039" s="138">
        <f>'Cap Outlay Deprec 26'!I8</f>
        <v>431745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99762</v>
      </c>
      <c r="D2041" s="2" t="str">
        <f t="shared" si="30"/>
        <v>Error?</v>
      </c>
    </row>
    <row r="2042" spans="1:4" x14ac:dyDescent="0.2">
      <c r="A2042" s="5">
        <v>1981</v>
      </c>
      <c r="B2042" s="138">
        <f>'Cap Outlay Deprec 26'!I13</f>
        <v>3073</v>
      </c>
      <c r="D2042" s="2" t="str">
        <f t="shared" si="30"/>
        <v>Error?</v>
      </c>
    </row>
    <row r="2043" spans="1:4" x14ac:dyDescent="0.2">
      <c r="A2043" s="5">
        <v>1982</v>
      </c>
      <c r="B2043" s="138">
        <f>'Cap Outlay Deprec 26'!I16</f>
        <v>534580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134177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134177</v>
      </c>
      <c r="C2049" s="2" t="s">
        <v>594</v>
      </c>
      <c r="D2049" s="2" t="str">
        <f t="shared" si="31"/>
        <v>Error?</v>
      </c>
    </row>
    <row r="2050" spans="1:4" x14ac:dyDescent="0.2">
      <c r="A2050" s="10">
        <v>1989</v>
      </c>
      <c r="D2050" s="2" t="str">
        <f t="shared" si="31"/>
        <v>OK</v>
      </c>
    </row>
    <row r="2051" spans="1:4" x14ac:dyDescent="0.2">
      <c r="A2051" s="5">
        <v>1990</v>
      </c>
      <c r="B2051" s="138">
        <f>'Cap Outlay Deprec 26'!K8</f>
        <v>8605498</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1956664</v>
      </c>
      <c r="C2053" s="2" t="s">
        <v>594</v>
      </c>
      <c r="D2053" s="2" t="str">
        <f t="shared" si="31"/>
        <v>Error?</v>
      </c>
    </row>
    <row r="2054" spans="1:4" x14ac:dyDescent="0.2">
      <c r="A2054" s="5">
        <v>1993</v>
      </c>
      <c r="B2054" s="138">
        <f>'Cap Outlay Deprec 26'!K13</f>
        <v>107232</v>
      </c>
      <c r="C2054" s="2" t="s">
        <v>594</v>
      </c>
      <c r="D2054" s="2" t="str">
        <f t="shared" si="31"/>
        <v>Error?</v>
      </c>
    </row>
    <row r="2055" spans="1:4" x14ac:dyDescent="0.2">
      <c r="A2055" s="5">
        <v>1994</v>
      </c>
      <c r="B2055" s="138">
        <f>'Cap Outlay Deprec 26'!K16</f>
        <v>10669394</v>
      </c>
      <c r="C2055" s="2" t="s">
        <v>594</v>
      </c>
      <c r="D2055" s="2" t="str">
        <f t="shared" si="31"/>
        <v>Error?</v>
      </c>
    </row>
    <row r="2056" spans="1:4" x14ac:dyDescent="0.2">
      <c r="A2056" s="5">
        <v>1995</v>
      </c>
      <c r="B2056" s="138">
        <f>'Cap Outlay Deprec 26'!L5</f>
        <v>387375</v>
      </c>
      <c r="C2056" s="2" t="s">
        <v>594</v>
      </c>
      <c r="D2056" s="2" t="str">
        <f t="shared" si="31"/>
        <v>Error?</v>
      </c>
    </row>
    <row r="2057" spans="1:4" x14ac:dyDescent="0.2">
      <c r="A2057" s="5">
        <v>1996</v>
      </c>
      <c r="B2057" s="138">
        <f>'Cap Outlay Deprec 26'!L8</f>
        <v>12139374</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514588</v>
      </c>
      <c r="C2059" s="2" t="s">
        <v>594</v>
      </c>
      <c r="D2059" s="2" t="str">
        <f t="shared" si="31"/>
        <v>Error?</v>
      </c>
    </row>
    <row r="2060" spans="1:4" x14ac:dyDescent="0.2">
      <c r="A2060" s="5">
        <v>1999</v>
      </c>
      <c r="B2060" s="138">
        <f>'Cap Outlay Deprec 26'!L13</f>
        <v>5890</v>
      </c>
      <c r="C2060" s="2" t="s">
        <v>594</v>
      </c>
      <c r="D2060" s="2" t="str">
        <f t="shared" si="31"/>
        <v>Error?</v>
      </c>
    </row>
    <row r="2061" spans="1:4" x14ac:dyDescent="0.2">
      <c r="A2061" s="5">
        <v>2000</v>
      </c>
      <c r="B2061" s="138">
        <f>'Cap Outlay Deprec 26'!L16</f>
        <v>13102552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409448</v>
      </c>
      <c r="C2088" s="2" t="s">
        <v>594</v>
      </c>
      <c r="D2088" s="2" t="str">
        <f t="shared" si="31"/>
        <v>Error?</v>
      </c>
    </row>
    <row r="2089" spans="1:4" x14ac:dyDescent="0.2">
      <c r="A2089" s="5">
        <v>2028</v>
      </c>
      <c r="B2089" s="138">
        <f>'Expenditures 15-22'!K92</f>
        <v>700317</v>
      </c>
      <c r="C2089" s="2" t="s">
        <v>594</v>
      </c>
      <c r="D2089" s="2" t="str">
        <f t="shared" si="31"/>
        <v>Error?</v>
      </c>
    </row>
    <row r="2090" spans="1:4" x14ac:dyDescent="0.2">
      <c r="A2090" s="10">
        <v>2029</v>
      </c>
      <c r="D2090" s="2" t="str">
        <f t="shared" si="31"/>
        <v>OK</v>
      </c>
    </row>
    <row r="2091" spans="1:4" x14ac:dyDescent="0.2">
      <c r="A2091" s="5">
        <v>2030</v>
      </c>
      <c r="B2091" s="138">
        <f>'Expenditures 15-22'!H137</f>
        <v>44786</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44786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12864658</v>
      </c>
      <c r="C2551" s="2" t="s">
        <v>594</v>
      </c>
      <c r="D2551" s="2" t="str">
        <f t="shared" si="38"/>
        <v>Error?</v>
      </c>
    </row>
    <row r="2552" spans="1:4" x14ac:dyDescent="0.2">
      <c r="A2552" s="10">
        <v>2491</v>
      </c>
      <c r="D2552" s="2" t="str">
        <f t="shared" si="38"/>
        <v>OK</v>
      </c>
    </row>
    <row r="2553" spans="1:4" x14ac:dyDescent="0.2">
      <c r="A2553" s="5">
        <v>2492</v>
      </c>
      <c r="B2553" s="138">
        <f>'Acct Summary 7-8'!C6</f>
        <v>3505009</v>
      </c>
      <c r="C2553" s="2" t="s">
        <v>594</v>
      </c>
      <c r="D2553" s="2" t="str">
        <f t="shared" si="38"/>
        <v>Error?</v>
      </c>
    </row>
    <row r="2554" spans="1:4" x14ac:dyDescent="0.2">
      <c r="A2554" s="5">
        <v>2493</v>
      </c>
      <c r="B2554" s="138">
        <f>'Acct Summary 7-8'!C7</f>
        <v>892959</v>
      </c>
      <c r="C2554" s="2" t="s">
        <v>594</v>
      </c>
      <c r="D2554" s="2" t="str">
        <f t="shared" si="38"/>
        <v>Error?</v>
      </c>
    </row>
    <row r="2555" spans="1:4" x14ac:dyDescent="0.2">
      <c r="A2555" s="5">
        <v>2494</v>
      </c>
      <c r="B2555" s="138">
        <f>'Acct Summary 7-8'!C8</f>
        <v>17262626</v>
      </c>
      <c r="C2555" s="2" t="s">
        <v>594</v>
      </c>
      <c r="D2555" s="2" t="str">
        <f t="shared" si="38"/>
        <v>Error?</v>
      </c>
    </row>
    <row r="2556" spans="1:4" x14ac:dyDescent="0.2">
      <c r="A2556" s="5">
        <v>2495</v>
      </c>
      <c r="B2556" s="138">
        <f>'Acct Summary 7-8'!C12</f>
        <v>10008576</v>
      </c>
      <c r="C2556" s="2" t="s">
        <v>594</v>
      </c>
      <c r="D2556" s="2" t="str">
        <f t="shared" si="38"/>
        <v>Error?</v>
      </c>
    </row>
    <row r="2557" spans="1:4" x14ac:dyDescent="0.2">
      <c r="A2557" s="5">
        <v>2496</v>
      </c>
      <c r="B2557" s="138">
        <f>'Acct Summary 7-8'!C13</f>
        <v>5298505</v>
      </c>
      <c r="C2557" s="2" t="s">
        <v>594</v>
      </c>
      <c r="D2557" s="2" t="str">
        <f t="shared" si="38"/>
        <v>Error?</v>
      </c>
    </row>
    <row r="2558" spans="1:4" x14ac:dyDescent="0.2">
      <c r="A2558" s="5">
        <v>2497</v>
      </c>
      <c r="B2558" s="138">
        <f>'Acct Summary 7-8'!C14</f>
        <v>135350</v>
      </c>
      <c r="C2558" s="2" t="s">
        <v>594</v>
      </c>
      <c r="D2558" s="2" t="str">
        <f t="shared" si="38"/>
        <v>Error?</v>
      </c>
    </row>
    <row r="2559" spans="1:4" x14ac:dyDescent="0.2">
      <c r="A2559" s="5">
        <v>2498</v>
      </c>
      <c r="B2559" s="138">
        <f>'Acct Summary 7-8'!C15</f>
        <v>1109765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16552196</v>
      </c>
      <c r="C2561" s="2" t="s">
        <v>594</v>
      </c>
      <c r="D2561" s="2" t="str">
        <f t="shared" si="39"/>
        <v>Error?</v>
      </c>
    </row>
    <row r="2562" spans="1:4" x14ac:dyDescent="0.2">
      <c r="A2562" s="5">
        <v>2501</v>
      </c>
      <c r="B2562" s="138">
        <f>'Acct Summary 7-8'!C20</f>
        <v>710430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2232312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2232312</v>
      </c>
      <c r="C2568" s="2" t="s">
        <v>594</v>
      </c>
      <c r="D2568" s="2" t="str">
        <f t="shared" si="39"/>
        <v>Error?</v>
      </c>
    </row>
    <row r="2569" spans="1:4" x14ac:dyDescent="0.2">
      <c r="A2569" s="5">
        <v>2508</v>
      </c>
      <c r="B2569" s="138">
        <f>'Acct Summary 7-8'!D13</f>
        <v>1748028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44786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1792814</v>
      </c>
      <c r="C2573" s="2" t="s">
        <v>594</v>
      </c>
      <c r="D2573" s="2" t="str">
        <f t="shared" si="39"/>
        <v>Error?</v>
      </c>
    </row>
    <row r="2574" spans="1:4" x14ac:dyDescent="0.2">
      <c r="A2574" s="5">
        <v>2513</v>
      </c>
      <c r="B2574" s="138">
        <f>'Acct Summary 7-8'!D20</f>
        <v>439498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330069</v>
      </c>
      <c r="C2591" s="2" t="s">
        <v>594</v>
      </c>
      <c r="D2591" s="2" t="str">
        <f t="shared" si="39"/>
        <v>Error?</v>
      </c>
    </row>
    <row r="2592" spans="1:4" x14ac:dyDescent="0.2">
      <c r="A2592" s="10">
        <v>2531</v>
      </c>
      <c r="D2592" s="2" t="str">
        <f t="shared" si="39"/>
        <v>OK</v>
      </c>
    </row>
    <row r="2593" spans="1:4" x14ac:dyDescent="0.2">
      <c r="A2593" s="5">
        <v>2532</v>
      </c>
      <c r="B2593" s="138">
        <f>'Acct Summary 7-8'!F6</f>
        <v>291058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621127</v>
      </c>
      <c r="C2595" s="2" t="s">
        <v>594</v>
      </c>
      <c r="D2595" s="2" t="str">
        <f t="shared" si="39"/>
        <v>Error?</v>
      </c>
    </row>
    <row r="2596" spans="1:4" x14ac:dyDescent="0.2">
      <c r="A2596" s="5">
        <v>2535</v>
      </c>
      <c r="B2596" s="138">
        <f>'Acct Summary 7-8'!F13</f>
        <v>896484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22639</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919123</v>
      </c>
      <c r="C2600" s="2" t="s">
        <v>594</v>
      </c>
      <c r="D2600" s="2" t="str">
        <f t="shared" si="39"/>
        <v>Error?</v>
      </c>
    </row>
    <row r="2601" spans="1:4" x14ac:dyDescent="0.2">
      <c r="A2601" s="5">
        <v>2540</v>
      </c>
      <c r="B2601" s="138">
        <f>'Acct Summary 7-8'!F20</f>
        <v>-297996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226600</v>
      </c>
      <c r="C2603" s="2" t="s">
        <v>594</v>
      </c>
      <c r="D2603" s="2" t="str">
        <f t="shared" si="39"/>
        <v>Error?</v>
      </c>
    </row>
    <row r="2604" spans="1:4" x14ac:dyDescent="0.2">
      <c r="A2604" s="5">
        <v>2543</v>
      </c>
      <c r="B2604" s="138">
        <f>'Acct Summary 7-8'!G6</f>
        <v>50000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276600</v>
      </c>
      <c r="C2606" s="2" t="s">
        <v>594</v>
      </c>
      <c r="D2606" s="2" t="str">
        <f t="shared" si="39"/>
        <v>Error?</v>
      </c>
    </row>
    <row r="2607" spans="1:4" x14ac:dyDescent="0.2">
      <c r="A2607" s="5">
        <v>2546</v>
      </c>
      <c r="B2607" s="138">
        <f>'Acct Summary 7-8'!G12</f>
        <v>166698</v>
      </c>
      <c r="C2607" s="2" t="s">
        <v>594</v>
      </c>
      <c r="D2607" s="2" t="str">
        <f t="shared" si="39"/>
        <v>Error?</v>
      </c>
    </row>
    <row r="2608" spans="1:4" x14ac:dyDescent="0.2">
      <c r="A2608" s="5">
        <v>2547</v>
      </c>
      <c r="B2608" s="138">
        <f>'Acct Summary 7-8'!G13</f>
        <v>276448</v>
      </c>
      <c r="C2608" s="2" t="s">
        <v>594</v>
      </c>
      <c r="D2608" s="2" t="str">
        <f t="shared" si="39"/>
        <v>Error?</v>
      </c>
    </row>
    <row r="2609" spans="1:4" x14ac:dyDescent="0.2">
      <c r="A2609" s="5">
        <v>2548</v>
      </c>
      <c r="B2609" s="138">
        <f>'Acct Summary 7-8'!G14</f>
        <v>4519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471929</v>
      </c>
      <c r="C2612" s="2" t="s">
        <v>594</v>
      </c>
      <c r="D2612" s="2" t="str">
        <f t="shared" si="39"/>
        <v>Error?</v>
      </c>
    </row>
    <row r="2613" spans="1:4" x14ac:dyDescent="0.2">
      <c r="A2613" s="5">
        <v>2552</v>
      </c>
      <c r="B2613" s="138">
        <f>'Acct Summary 7-8'!G20</f>
        <v>-195329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1508475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1508475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1614622</v>
      </c>
      <c r="C2634" s="2" t="s">
        <v>594</v>
      </c>
      <c r="D2634" s="2" t="str">
        <f t="shared" si="40"/>
        <v>Error?</v>
      </c>
    </row>
    <row r="2635" spans="1:4" x14ac:dyDescent="0.2">
      <c r="A2635" s="5">
        <v>2574</v>
      </c>
      <c r="B2635" s="138">
        <f>'Acct Summary 7-8'!E17</f>
        <v>1614622</v>
      </c>
      <c r="C2635" s="2" t="s">
        <v>594</v>
      </c>
      <c r="D2635" s="2" t="str">
        <f t="shared" si="40"/>
        <v>Error?</v>
      </c>
    </row>
    <row r="2636" spans="1:4" x14ac:dyDescent="0.2">
      <c r="A2636" s="5">
        <v>2575</v>
      </c>
      <c r="B2636" s="138">
        <f>'Acct Summary 7-8'!E20</f>
        <v>-106147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358099</v>
      </c>
      <c r="C2655" s="2" t="s">
        <v>594</v>
      </c>
      <c r="D2655" s="2" t="str">
        <f t="shared" si="40"/>
        <v>Error?</v>
      </c>
    </row>
    <row r="2656" spans="1:4" x14ac:dyDescent="0.2">
      <c r="A2656" s="5">
        <v>2595</v>
      </c>
      <c r="B2656" s="138">
        <f>'Acct Summary 7-8'!H6</f>
        <v>1125000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1483099</v>
      </c>
      <c r="C2658" s="2" t="s">
        <v>594</v>
      </c>
      <c r="D2658" s="2" t="str">
        <f t="shared" si="40"/>
        <v>Error?</v>
      </c>
    </row>
    <row r="2659" spans="1:4" x14ac:dyDescent="0.2">
      <c r="A2659" s="5">
        <v>2598</v>
      </c>
      <c r="B2659" s="138">
        <f>'Acct Summary 7-8'!H13</f>
        <v>338786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338786</v>
      </c>
      <c r="C2661" s="2" t="s">
        <v>594</v>
      </c>
      <c r="D2661" s="2" t="str">
        <f t="shared" si="40"/>
        <v>Error?</v>
      </c>
    </row>
    <row r="2662" spans="1:4" x14ac:dyDescent="0.2">
      <c r="A2662" s="5">
        <v>2601</v>
      </c>
      <c r="B2662" s="138">
        <f>'Acct Summary 7-8'!H20</f>
        <v>1144313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190586</v>
      </c>
      <c r="D2718" s="2" t="str">
        <f t="shared" si="41"/>
        <v>Error?</v>
      </c>
    </row>
    <row r="2719" spans="1:4" x14ac:dyDescent="0.2">
      <c r="A2719" s="5">
        <v>2658</v>
      </c>
      <c r="B2719" s="138">
        <f>'Expenditures 15-22'!D51</f>
        <v>34460</v>
      </c>
      <c r="D2719" s="2" t="str">
        <f t="shared" si="41"/>
        <v>Error?</v>
      </c>
    </row>
    <row r="2720" spans="1:4" x14ac:dyDescent="0.2">
      <c r="A2720" s="5">
        <v>2659</v>
      </c>
      <c r="B2720" s="138">
        <f>'Expenditures 15-22'!E51</f>
        <v>8092</v>
      </c>
      <c r="D2720" s="2" t="str">
        <f t="shared" si="41"/>
        <v>Error?</v>
      </c>
    </row>
    <row r="2721" spans="1:4" x14ac:dyDescent="0.2">
      <c r="A2721" s="5">
        <v>2660</v>
      </c>
      <c r="B2721" s="138">
        <f>'Expenditures 15-22'!F51</f>
        <v>894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314</v>
      </c>
      <c r="D2723" s="2" t="str">
        <f t="shared" si="41"/>
        <v>Error?</v>
      </c>
    </row>
    <row r="2724" spans="1:4" x14ac:dyDescent="0.2">
      <c r="A2724" s="5">
        <v>2663</v>
      </c>
      <c r="B2724" s="138">
        <f>'Expenditures 15-22'!K51</f>
        <v>235764</v>
      </c>
      <c r="C2724" s="2" t="s">
        <v>594</v>
      </c>
      <c r="D2724" s="2" t="str">
        <f t="shared" si="41"/>
        <v>Error?</v>
      </c>
    </row>
    <row r="2725" spans="1:4" x14ac:dyDescent="0.2">
      <c r="A2725" s="5">
        <v>2664</v>
      </c>
      <c r="B2725" s="138">
        <f>'Expenditures 15-22'!D247</f>
        <v>14947</v>
      </c>
      <c r="D2725" s="2" t="str">
        <f t="shared" si="41"/>
        <v>Error?</v>
      </c>
    </row>
    <row r="2726" spans="1:4" x14ac:dyDescent="0.2">
      <c r="A2726" s="5">
        <v>2665</v>
      </c>
      <c r="B2726" s="138">
        <f>'Expenditures 15-22'!K247</f>
        <v>14947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409448</v>
      </c>
      <c r="C2789" s="2" t="s">
        <v>594</v>
      </c>
      <c r="D2789" s="2" t="str">
        <f t="shared" si="42"/>
        <v>Error?</v>
      </c>
    </row>
    <row r="2790" spans="1:4" x14ac:dyDescent="0.2">
      <c r="A2790" s="5">
        <v>2729</v>
      </c>
      <c r="B2790" s="138">
        <f>'Expenditures 15-22'!E102</f>
        <v>409448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22639</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22639</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55325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1243191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20620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2717</v>
      </c>
      <c r="D2908" s="2" t="str">
        <f t="shared" si="44"/>
        <v>Error?</v>
      </c>
    </row>
    <row r="2909" spans="1:4" x14ac:dyDescent="0.2">
      <c r="A2909" s="10">
        <v>2848</v>
      </c>
      <c r="D2909" s="2" t="str">
        <f t="shared" si="44"/>
        <v>OK</v>
      </c>
    </row>
    <row r="2910" spans="1:4" x14ac:dyDescent="0.2">
      <c r="A2910" s="5">
        <v>2849</v>
      </c>
      <c r="B2910" s="138">
        <f>'Assets-Liab 5-6'!I34</f>
        <v>2717</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1240474</v>
      </c>
      <c r="D2912" s="2" t="str">
        <f t="shared" si="44"/>
        <v>Error?</v>
      </c>
    </row>
    <row r="2913" spans="1:4" x14ac:dyDescent="0.2">
      <c r="A2913" s="5">
        <v>2852</v>
      </c>
      <c r="B2913" s="138">
        <f>'Assets-Liab 5-6'!I41</f>
        <v>1243191</v>
      </c>
      <c r="C2913" s="2" t="s">
        <v>594</v>
      </c>
      <c r="D2913" s="2" t="str">
        <f t="shared" si="44"/>
        <v>Error?</v>
      </c>
    </row>
    <row r="2914" spans="1:4" x14ac:dyDescent="0.2">
      <c r="A2914" s="5">
        <v>2853</v>
      </c>
      <c r="B2914" s="138">
        <f>'Assets-Liab 5-6'!L33</f>
        <v>20620</v>
      </c>
      <c r="D2914" s="2" t="str">
        <f t="shared" si="44"/>
        <v>Error?</v>
      </c>
    </row>
    <row r="2915" spans="1:4" x14ac:dyDescent="0.2">
      <c r="A2915" s="10">
        <v>2854</v>
      </c>
      <c r="D2915" s="2" t="str">
        <f t="shared" si="44"/>
        <v>OK</v>
      </c>
    </row>
    <row r="2916" spans="1:4" x14ac:dyDescent="0.2">
      <c r="A2916" s="5">
        <v>2855</v>
      </c>
      <c r="B2916" s="138">
        <f>'Assets-Liab 5-6'!L34</f>
        <v>20620</v>
      </c>
      <c r="C2916" s="2" t="s">
        <v>594</v>
      </c>
      <c r="D2916" s="2" t="str">
        <f t="shared" si="44"/>
        <v>Error?</v>
      </c>
    </row>
    <row r="2917" spans="1:4" x14ac:dyDescent="0.2">
      <c r="A2917" s="5">
        <v>2856</v>
      </c>
      <c r="B2917" s="138">
        <f>'Assets-Liab 5-6'!L41</f>
        <v>20620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64557</v>
      </c>
      <c r="D2949" s="2" t="str">
        <f t="shared" si="45"/>
        <v>Error?</v>
      </c>
    </row>
    <row r="2950" spans="1:4" x14ac:dyDescent="0.2">
      <c r="A2950" s="5">
        <v>2889</v>
      </c>
      <c r="B2950" s="138">
        <f>'Expenditures 15-22'!E79</f>
        <v>344891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64557</v>
      </c>
      <c r="C2973" s="2" t="s">
        <v>594</v>
      </c>
      <c r="D2973" s="2" t="str">
        <f t="shared" si="45"/>
        <v>Error?</v>
      </c>
    </row>
    <row r="2974" spans="1:4" x14ac:dyDescent="0.2">
      <c r="A2974" s="5">
        <v>2913</v>
      </c>
      <c r="B2974" s="138">
        <f>'Expenditures 15-22'!K79</f>
        <v>344891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44786</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44786</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22639</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22639</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162661</v>
      </c>
      <c r="D3055" s="2" t="str">
        <f t="shared" si="46"/>
        <v>Error?</v>
      </c>
    </row>
    <row r="3056" spans="1:4" x14ac:dyDescent="0.2">
      <c r="A3056" s="5">
        <v>2995</v>
      </c>
      <c r="B3056" s="138">
        <f>'Expenditures 15-22'!D10</f>
        <v>26120</v>
      </c>
      <c r="D3056" s="2" t="str">
        <f t="shared" si="46"/>
        <v>Error?</v>
      </c>
    </row>
    <row r="3057" spans="1:4" x14ac:dyDescent="0.2">
      <c r="A3057" s="5">
        <v>2996</v>
      </c>
      <c r="B3057" s="138">
        <f>'Expenditures 15-22'!E10</f>
        <v>5140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193921</v>
      </c>
      <c r="C3062" s="2" t="s">
        <v>594</v>
      </c>
      <c r="D3062" s="2" t="str">
        <f t="shared" si="46"/>
        <v>Error?</v>
      </c>
    </row>
    <row r="3063" spans="1:4" x14ac:dyDescent="0.2">
      <c r="A3063" s="10">
        <v>3002</v>
      </c>
      <c r="D3063" s="2" t="str">
        <f t="shared" si="46"/>
        <v>OK</v>
      </c>
    </row>
    <row r="3064" spans="1:4" x14ac:dyDescent="0.2">
      <c r="A3064" s="5">
        <v>3003</v>
      </c>
      <c r="B3064" s="138">
        <f>'Expenditures 15-22'!D219</f>
        <v>2147</v>
      </c>
      <c r="D3064" s="2" t="str">
        <f t="shared" si="46"/>
        <v>Error?</v>
      </c>
    </row>
    <row r="3065" spans="1:4" x14ac:dyDescent="0.2">
      <c r="A3065" s="5">
        <v>3004</v>
      </c>
      <c r="B3065" s="138">
        <f>'Expenditures 15-22'!K219</f>
        <v>2147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1475000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18772</v>
      </c>
      <c r="C3225" s="2" t="s">
        <v>594</v>
      </c>
      <c r="D3225" s="2" t="str">
        <f t="shared" si="49"/>
        <v>Error?</v>
      </c>
    </row>
    <row r="3226" spans="1:4" x14ac:dyDescent="0.2">
      <c r="A3226" s="5">
        <v>3165</v>
      </c>
      <c r="B3226" s="138">
        <f>'Acct Summary 7-8'!I8</f>
        <v>18772</v>
      </c>
      <c r="C3226" s="2" t="s">
        <v>594</v>
      </c>
      <c r="D3226" s="2" t="str">
        <f t="shared" si="49"/>
        <v>Error?</v>
      </c>
    </row>
    <row r="3227" spans="1:4" x14ac:dyDescent="0.2">
      <c r="A3227" s="5">
        <v>3166</v>
      </c>
      <c r="B3227" s="138">
        <f>'Acct Summary 7-8'!I20</f>
        <v>18772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710430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439498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-297996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-195329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1475000</v>
      </c>
      <c r="C3274" s="2" t="s">
        <v>594</v>
      </c>
      <c r="D3274" s="2" t="str">
        <f t="shared" si="50"/>
        <v>Error?</v>
      </c>
    </row>
    <row r="3275" spans="1:4" x14ac:dyDescent="0.2">
      <c r="A3275" s="5">
        <v>3214</v>
      </c>
      <c r="B3275" s="138">
        <f>'Acct Summary 7-8'!E75</f>
        <v>1429117</v>
      </c>
      <c r="D3275" s="2" t="str">
        <f t="shared" si="50"/>
        <v>Error?</v>
      </c>
    </row>
    <row r="3276" spans="1:4" x14ac:dyDescent="0.2">
      <c r="A3276" s="5">
        <v>3215</v>
      </c>
      <c r="B3276" s="138">
        <f>'Acct Summary 7-8'!E76</f>
        <v>1429117</v>
      </c>
      <c r="C3276" s="2" t="s">
        <v>594</v>
      </c>
      <c r="D3276" s="2" t="str">
        <f t="shared" si="50"/>
        <v>Error?</v>
      </c>
    </row>
    <row r="3277" spans="1:4" x14ac:dyDescent="0.2">
      <c r="A3277" s="5">
        <v>3216</v>
      </c>
      <c r="B3277" s="138">
        <f>'Acct Summary 7-8'!E77</f>
        <v>45883</v>
      </c>
      <c r="C3277" s="2" t="s">
        <v>594</v>
      </c>
      <c r="D3277" s="2" t="str">
        <f t="shared" si="50"/>
        <v>Error?</v>
      </c>
    </row>
    <row r="3278" spans="1:4" x14ac:dyDescent="0.2">
      <c r="A3278" s="5">
        <v>3217</v>
      </c>
      <c r="B3278" s="138">
        <f>'Acct Summary 7-8'!E78</f>
        <v>-60264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3707000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3707000</v>
      </c>
      <c r="C3299" s="2" t="s">
        <v>594</v>
      </c>
      <c r="D3299" s="2" t="str">
        <f t="shared" si="50"/>
        <v>Error?</v>
      </c>
    </row>
    <row r="3300" spans="1:4" x14ac:dyDescent="0.2">
      <c r="A3300" s="5">
        <v>3239</v>
      </c>
      <c r="B3300" s="138">
        <f>'Acct Summary 7-8'!H78</f>
        <v>4851313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18772</v>
      </c>
      <c r="C3320" s="2" t="s">
        <v>594</v>
      </c>
      <c r="D3320" s="2" t="str">
        <f t="shared" si="50"/>
        <v>Error?</v>
      </c>
    </row>
    <row r="3321" spans="1:4" x14ac:dyDescent="0.2">
      <c r="A3321" s="5">
        <v>3260</v>
      </c>
      <c r="B3321" s="138">
        <f>'Acct Summary 7-8'!I79</f>
        <v>1221702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1240474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962635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160601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40131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61274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1224641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65212</v>
      </c>
      <c r="D3387" s="2" t="str">
        <f t="shared" si="51"/>
        <v>Error?</v>
      </c>
    </row>
    <row r="3388" spans="1:4" x14ac:dyDescent="0.2">
      <c r="A3388" s="5">
        <v>3327</v>
      </c>
      <c r="B3388" s="138">
        <f>'Expenditures 15-22'!D217</f>
        <v>57719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65212</v>
      </c>
      <c r="C3390" s="2" t="s">
        <v>594</v>
      </c>
      <c r="D3390" s="2" t="str">
        <f t="shared" si="51"/>
        <v>Error?</v>
      </c>
    </row>
    <row r="3391" spans="1:4" x14ac:dyDescent="0.2">
      <c r="A3391" s="5">
        <v>3330</v>
      </c>
      <c r="B3391" s="138">
        <f>'Expenditures 15-22'!K217</f>
        <v>57719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13848615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368225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2049845</v>
      </c>
      <c r="D3417" s="2" t="str">
        <f t="shared" si="52"/>
        <v>Error?</v>
      </c>
    </row>
    <row r="3418" spans="1:4" x14ac:dyDescent="0.2">
      <c r="A3418" s="10">
        <v>3357</v>
      </c>
      <c r="D3418" s="2" t="str">
        <f t="shared" si="52"/>
        <v>OK</v>
      </c>
    </row>
    <row r="3419" spans="1:4" x14ac:dyDescent="0.2">
      <c r="A3419" s="5">
        <v>3358</v>
      </c>
      <c r="B3419" s="138">
        <f>'Assets-Liab 5-6'!F4</f>
        <v>700997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107312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4926223</v>
      </c>
      <c r="D3425" s="2" t="str">
        <f t="shared" si="52"/>
        <v>Error?</v>
      </c>
    </row>
    <row r="3426" spans="1:4" x14ac:dyDescent="0.2">
      <c r="A3426" s="10">
        <v>3365</v>
      </c>
      <c r="D3426" s="2" t="str">
        <f t="shared" si="52"/>
        <v>OK</v>
      </c>
    </row>
    <row r="3427" spans="1:4" x14ac:dyDescent="0.2">
      <c r="A3427" s="5">
        <v>3366</v>
      </c>
      <c r="B3427" s="138">
        <f>'Assets-Liab 5-6'!I4</f>
        <v>1243191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20620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140868</v>
      </c>
      <c r="C3446" s="2" t="s">
        <v>594</v>
      </c>
      <c r="D3446" s="2" t="str">
        <f t="shared" si="52"/>
        <v>Error?</v>
      </c>
    </row>
    <row r="3447" spans="1:4" x14ac:dyDescent="0.2">
      <c r="A3447" s="5">
        <v>3386</v>
      </c>
      <c r="B3447" s="138">
        <f>'Tax Sched 23'!D16</f>
        <v>140868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150002</v>
      </c>
      <c r="C3449" s="2" t="s">
        <v>594</v>
      </c>
      <c r="D3449" s="2" t="str">
        <f t="shared" si="52"/>
        <v>Error?</v>
      </c>
    </row>
    <row r="3450" spans="1:4" x14ac:dyDescent="0.2">
      <c r="A3450" s="5">
        <v>3389</v>
      </c>
      <c r="B3450" s="138">
        <f>'Tax Sched 23'!E16</f>
        <v>150002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55325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55325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55325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24264</v>
      </c>
      <c r="D3721" s="2" t="str">
        <f t="shared" si="57"/>
        <v>Error?</v>
      </c>
    </row>
    <row r="3722" spans="1:4" x14ac:dyDescent="0.2">
      <c r="A3722" s="5">
        <v>3661</v>
      </c>
      <c r="B3722" s="138">
        <f>'Expenditures 15-22'!D285</f>
        <v>24264</v>
      </c>
      <c r="C3722" s="2" t="s">
        <v>594</v>
      </c>
      <c r="D3722" s="2" t="str">
        <f t="shared" si="57"/>
        <v>Error?</v>
      </c>
    </row>
    <row r="3723" spans="1:4" x14ac:dyDescent="0.2">
      <c r="A3723" s="5">
        <v>3662</v>
      </c>
      <c r="B3723" s="138">
        <f>'Expenditures 15-22'!K283</f>
        <v>24264</v>
      </c>
      <c r="C3723" s="2" t="s">
        <v>594</v>
      </c>
      <c r="D3723" s="2" t="str">
        <f t="shared" si="57"/>
        <v>Error?</v>
      </c>
    </row>
    <row r="3724" spans="1:4" x14ac:dyDescent="0.2">
      <c r="A3724" s="5">
        <v>3663</v>
      </c>
      <c r="B3724" s="138">
        <f>'Expenditures 15-22'!K285</f>
        <v>24264</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29125</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29125</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24271</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24271</v>
      </c>
      <c r="D4111" s="2" t="str">
        <f t="shared" si="63"/>
        <v>Error?</v>
      </c>
    </row>
    <row r="4112" spans="1:4" x14ac:dyDescent="0.2">
      <c r="A4112" s="10">
        <v>4051</v>
      </c>
      <c r="D4112" s="2" t="str">
        <f t="shared" si="63"/>
        <v>OK</v>
      </c>
    </row>
    <row r="4113" spans="1:4" x14ac:dyDescent="0.2">
      <c r="A4113" s="5">
        <v>4052</v>
      </c>
      <c r="B4113" s="138">
        <f>'Acct Summary 7-8'!C9</f>
        <v>7154442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24417068</v>
      </c>
      <c r="C4122" s="2" t="s">
        <v>594</v>
      </c>
      <c r="D4122" s="2" t="str">
        <f t="shared" si="63"/>
        <v>Error?</v>
      </c>
    </row>
    <row r="4123" spans="1:4" x14ac:dyDescent="0.2">
      <c r="A4123" s="5">
        <v>4062</v>
      </c>
      <c r="B4123" s="138">
        <f>'Acct Summary 7-8'!D10</f>
        <v>2232312</v>
      </c>
      <c r="C4123" s="2" t="s">
        <v>594</v>
      </c>
      <c r="D4123" s="2" t="str">
        <f t="shared" si="63"/>
        <v>Error?</v>
      </c>
    </row>
    <row r="4124" spans="1:4" x14ac:dyDescent="0.2">
      <c r="A4124" s="5">
        <v>4063</v>
      </c>
      <c r="B4124" s="138">
        <f>'Acct Summary 7-8'!E10</f>
        <v>1508475</v>
      </c>
      <c r="C4124" s="2" t="s">
        <v>594</v>
      </c>
      <c r="D4124" s="2" t="str">
        <f t="shared" si="63"/>
        <v>Error?</v>
      </c>
    </row>
    <row r="4125" spans="1:4" x14ac:dyDescent="0.2">
      <c r="A4125" s="5">
        <v>4064</v>
      </c>
      <c r="B4125" s="138">
        <f>'Acct Summary 7-8'!F10</f>
        <v>621127</v>
      </c>
      <c r="C4125" s="2" t="s">
        <v>594</v>
      </c>
      <c r="D4125" s="2" t="str">
        <f t="shared" si="63"/>
        <v>Error?</v>
      </c>
    </row>
    <row r="4126" spans="1:4" x14ac:dyDescent="0.2">
      <c r="A4126" s="5">
        <v>4065</v>
      </c>
      <c r="B4126" s="138">
        <f>'Acct Summary 7-8'!G10</f>
        <v>276600</v>
      </c>
      <c r="C4126" s="2" t="s">
        <v>594</v>
      </c>
      <c r="D4126" s="2" t="str">
        <f t="shared" si="63"/>
        <v>Error?</v>
      </c>
    </row>
    <row r="4127" spans="1:4" x14ac:dyDescent="0.2">
      <c r="A4127" s="5">
        <v>4066</v>
      </c>
      <c r="B4127" s="138">
        <f>'Acct Summary 7-8'!H10</f>
        <v>1483099</v>
      </c>
      <c r="C4127" s="2" t="s">
        <v>594</v>
      </c>
      <c r="D4127" s="2" t="str">
        <f t="shared" si="63"/>
        <v>Error?</v>
      </c>
    </row>
    <row r="4128" spans="1:4" x14ac:dyDescent="0.2">
      <c r="A4128" s="5">
        <v>4067</v>
      </c>
      <c r="B4128" s="138">
        <f>'Acct Summary 7-8'!I10</f>
        <v>18772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7154442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23706638</v>
      </c>
      <c r="C4136" s="2" t="s">
        <v>594</v>
      </c>
      <c r="D4136" s="2" t="str">
        <f t="shared" si="63"/>
        <v>Error?</v>
      </c>
    </row>
    <row r="4137" spans="1:4" x14ac:dyDescent="0.2">
      <c r="A4137" s="5">
        <v>4076</v>
      </c>
      <c r="B4137" s="138">
        <f>'Acct Summary 7-8'!D19</f>
        <v>1792814</v>
      </c>
      <c r="C4137" s="2" t="s">
        <v>594</v>
      </c>
      <c r="D4137" s="2" t="str">
        <f t="shared" si="63"/>
        <v>Error?</v>
      </c>
    </row>
    <row r="4138" spans="1:4" x14ac:dyDescent="0.2">
      <c r="A4138" s="5">
        <v>4077</v>
      </c>
      <c r="B4138" s="138">
        <f>'Acct Summary 7-8'!E19</f>
        <v>1614622</v>
      </c>
      <c r="C4138" s="2" t="s">
        <v>594</v>
      </c>
      <c r="D4138" s="2" t="str">
        <f t="shared" si="63"/>
        <v>Error?</v>
      </c>
    </row>
    <row r="4139" spans="1:4" x14ac:dyDescent="0.2">
      <c r="A4139" s="5">
        <v>4078</v>
      </c>
      <c r="B4139" s="138">
        <f>'Acct Summary 7-8'!F19</f>
        <v>919123</v>
      </c>
      <c r="C4139" s="2" t="s">
        <v>594</v>
      </c>
      <c r="D4139" s="2" t="str">
        <f t="shared" si="63"/>
        <v>Error?</v>
      </c>
    </row>
    <row r="4140" spans="1:4" x14ac:dyDescent="0.2">
      <c r="A4140" s="5">
        <v>4079</v>
      </c>
      <c r="B4140" s="138">
        <f>'Acct Summary 7-8'!G19</f>
        <v>471929</v>
      </c>
      <c r="C4140" s="2" t="s">
        <v>594</v>
      </c>
      <c r="D4140" s="2" t="str">
        <f t="shared" si="63"/>
        <v>Error?</v>
      </c>
    </row>
    <row r="4141" spans="1:4" x14ac:dyDescent="0.2">
      <c r="A4141" s="5">
        <v>4080</v>
      </c>
      <c r="B4141" s="138">
        <f>'Acct Summary 7-8'!H19</f>
        <v>338786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12813419</v>
      </c>
      <c r="C4171" s="2" t="s">
        <v>594</v>
      </c>
      <c r="D4171" s="2" t="str">
        <f t="shared" si="64"/>
        <v>Error?</v>
      </c>
    </row>
    <row r="4172" spans="1:4" x14ac:dyDescent="0.2">
      <c r="A4172" s="5">
        <v>4111</v>
      </c>
      <c r="B4172" s="138">
        <f>'Short-Term Long-Term Debt 24'!J49</f>
        <v>11575190</v>
      </c>
      <c r="C4172" s="2" t="s">
        <v>594</v>
      </c>
      <c r="D4172" s="2" t="str">
        <f t="shared" si="64"/>
        <v>Error?</v>
      </c>
    </row>
    <row r="4173" spans="1:4" x14ac:dyDescent="0.2">
      <c r="A4173" s="5">
        <v>4112</v>
      </c>
      <c r="B4173" s="138">
        <f>'Short-Term Long-Term Debt 24'!H49</f>
        <v>1240110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-899749</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3483.587</v>
      </c>
      <c r="C4265" s="2" t="s">
        <v>594</v>
      </c>
      <c r="D4265" s="2" t="str">
        <f t="shared" si="65"/>
        <v>Error?</v>
      </c>
      <c r="E4265" s="128"/>
    </row>
    <row r="4266" spans="1:5" x14ac:dyDescent="0.2">
      <c r="A4266" s="12">
        <v>4205</v>
      </c>
      <c r="B4266" s="138">
        <f>('FP Info 3'!F10)*100000</f>
        <v>321.92200000000003</v>
      </c>
      <c r="C4266" s="2" t="s">
        <v>594</v>
      </c>
      <c r="D4266" s="2" t="str">
        <f t="shared" si="65"/>
        <v>Error?</v>
      </c>
      <c r="E4266" s="128"/>
    </row>
    <row r="4267" spans="1:5" x14ac:dyDescent="0.2">
      <c r="A4267" s="12">
        <v>4206</v>
      </c>
      <c r="B4267" s="138">
        <f>('FP Info 3'!H10)*100000</f>
        <v>95.113</v>
      </c>
      <c r="C4267" s="2" t="s">
        <v>594</v>
      </c>
      <c r="D4267" s="2" t="str">
        <f t="shared" si="65"/>
        <v>Error?</v>
      </c>
      <c r="E4267" s="128"/>
    </row>
    <row r="4268" spans="1:5" x14ac:dyDescent="0.2">
      <c r="A4268" s="12">
        <v>4207</v>
      </c>
      <c r="B4268" s="138">
        <f>('FP Info 3'!J10)*100000</f>
        <v>3901.0000000000005</v>
      </c>
      <c r="C4268" s="2" t="s">
        <v>594</v>
      </c>
      <c r="D4268" s="2" t="str">
        <f t="shared" si="65"/>
        <v>Error?</v>
      </c>
    </row>
    <row r="4269" spans="1:5" x14ac:dyDescent="0.2">
      <c r="A4269" s="12">
        <v>4208</v>
      </c>
      <c r="B4269" s="138">
        <f>'FP Info 3'!J16</f>
        <v>6948664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63071</v>
      </c>
      <c r="D4300" s="2" t="str">
        <f t="shared" si="66"/>
        <v>Error?</v>
      </c>
    </row>
    <row r="4301" spans="1:4" x14ac:dyDescent="0.2">
      <c r="A4301" s="5">
        <v>4240</v>
      </c>
      <c r="B4301" s="138">
        <f>'Rest Tax Levies-Tort Im 25'!G37</f>
        <v>23093</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68054</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72600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38939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199488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22781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27657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1.506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2317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2161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341697223</v>
      </c>
      <c r="D4995" s="2" t="str">
        <f t="shared" si="77"/>
        <v>Error?</v>
      </c>
    </row>
    <row r="4996" spans="1:4" x14ac:dyDescent="0.2">
      <c r="A4996" s="12">
        <v>4935</v>
      </c>
      <c r="B4996" s="138">
        <f>'FP Info 3'!H31</f>
        <v>23577108.387000002</v>
      </c>
      <c r="D4996" s="2" t="str">
        <f t="shared" si="77"/>
        <v>Error?</v>
      </c>
    </row>
    <row r="4997" spans="1:4" x14ac:dyDescent="0.2">
      <c r="A4997" s="12">
        <v>4936</v>
      </c>
      <c r="B4997" s="138">
        <f>'FP Info 3'!H37</f>
        <v>12813419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10925632</v>
      </c>
      <c r="D5061" s="2" t="str">
        <f t="shared" si="78"/>
        <v>Error?</v>
      </c>
    </row>
    <row r="5062" spans="1:4" x14ac:dyDescent="0.2">
      <c r="A5062" s="10">
        <v>5001</v>
      </c>
      <c r="D5062" s="2" t="str">
        <f t="shared" si="78"/>
        <v>OK</v>
      </c>
    </row>
    <row r="5063" spans="1:4" x14ac:dyDescent="0.2">
      <c r="A5063" s="5">
        <v>5002</v>
      </c>
      <c r="B5063" s="138">
        <f>'Revenues 9-14'!C7</f>
        <v>1246968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12172600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31</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31</v>
      </c>
      <c r="C5087" s="2" t="s">
        <v>594</v>
      </c>
      <c r="D5087" s="2" t="str">
        <f t="shared" si="78"/>
        <v>Error?</v>
      </c>
    </row>
    <row r="5088" spans="1:4" x14ac:dyDescent="0.2">
      <c r="A5088" s="5">
        <v>5027</v>
      </c>
      <c r="B5088" s="138">
        <f>'Revenues 9-14'!C65</f>
        <v>99155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99155</v>
      </c>
      <c r="C5090" s="2" t="s">
        <v>594</v>
      </c>
      <c r="D5090" s="2" t="str">
        <f t="shared" si="78"/>
        <v>Error?</v>
      </c>
    </row>
    <row r="5091" spans="1:4" x14ac:dyDescent="0.2">
      <c r="A5091" s="5">
        <v>5030</v>
      </c>
      <c r="B5091" s="138">
        <f>'Revenues 9-14'!C70</f>
        <v>18393</v>
      </c>
      <c r="D5091" s="2" t="str">
        <f t="shared" si="78"/>
        <v>Error?</v>
      </c>
    </row>
    <row r="5092" spans="1:4" x14ac:dyDescent="0.2">
      <c r="A5092" s="5">
        <v>5031</v>
      </c>
      <c r="B5092" s="138">
        <f>'Revenues 9-14'!C71</f>
        <v>47580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894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203371</v>
      </c>
      <c r="C5096" s="2" t="s">
        <v>594</v>
      </c>
      <c r="D5096" s="2" t="str">
        <f t="shared" si="78"/>
        <v>Error?</v>
      </c>
    </row>
    <row r="5097" spans="1:4" x14ac:dyDescent="0.2">
      <c r="A5097" s="5">
        <v>5036</v>
      </c>
      <c r="B5097" s="138">
        <f>'Revenues 9-14'!C77</f>
        <v>26346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84731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111077</v>
      </c>
      <c r="C5102" s="2" t="s">
        <v>594</v>
      </c>
      <c r="D5102" s="2" t="str">
        <f t="shared" si="78"/>
        <v>Error?</v>
      </c>
    </row>
    <row r="5103" spans="1:4" x14ac:dyDescent="0.2">
      <c r="A5103" s="5">
        <v>5042</v>
      </c>
      <c r="B5103" s="138">
        <f>'Revenues 9-14'!C84</f>
        <v>139456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13011</v>
      </c>
      <c r="D5111" s="2" t="str">
        <f t="shared" si="78"/>
        <v>Error?</v>
      </c>
    </row>
    <row r="5112" spans="1:4" x14ac:dyDescent="0.2">
      <c r="A5112" s="5">
        <v>5051</v>
      </c>
      <c r="B5112" s="138">
        <f>'Revenues 9-14'!C93</f>
        <v>152467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51226</v>
      </c>
      <c r="D5114" s="2" t="str">
        <f t="shared" si="78"/>
        <v>Error?</v>
      </c>
    </row>
    <row r="5115" spans="1:4" x14ac:dyDescent="0.2">
      <c r="A5115" s="5">
        <v>5054</v>
      </c>
      <c r="B5115" s="138">
        <f>'Revenues 9-14'!C98</f>
        <v>56189</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13347</v>
      </c>
      <c r="D5118" s="2" t="str">
        <f t="shared" si="78"/>
        <v>Error?</v>
      </c>
    </row>
    <row r="5119" spans="1:4" x14ac:dyDescent="0.2">
      <c r="A5119" s="5">
        <v>5058</v>
      </c>
      <c r="B5119" s="138">
        <f>'Revenues 9-14'!C107</f>
        <v>2878</v>
      </c>
      <c r="D5119" s="2" t="str">
        <f t="shared" ref="D5119:D5182" si="79">IF(ISBLANK(B5119),"OK",IF(A5119-B5119=0,"OK","Error?"))</f>
        <v>Error?</v>
      </c>
    </row>
    <row r="5120" spans="1:4" x14ac:dyDescent="0.2">
      <c r="A5120" s="5">
        <v>5059</v>
      </c>
      <c r="B5120" s="138">
        <f>'Revenues 9-14'!C108</f>
        <v>125957</v>
      </c>
      <c r="C5120" s="2" t="s">
        <v>594</v>
      </c>
      <c r="D5120" s="2" t="str">
        <f t="shared" si="79"/>
        <v>Error?</v>
      </c>
    </row>
    <row r="5121" spans="1:4" x14ac:dyDescent="0.2">
      <c r="A5121" s="5">
        <v>5060</v>
      </c>
      <c r="B5121" s="138">
        <f>'Revenues 9-14'!C109</f>
        <v>12864658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2745565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2745565</v>
      </c>
      <c r="C5132" s="2" t="s">
        <v>594</v>
      </c>
      <c r="D5132" s="2" t="str">
        <f t="shared" si="79"/>
        <v>Error?</v>
      </c>
    </row>
    <row r="5133" spans="1:4" x14ac:dyDescent="0.2">
      <c r="A5133" s="5">
        <v>5072</v>
      </c>
      <c r="B5133" s="138">
        <f>'Revenues 9-14'!C124</f>
        <v>96227</v>
      </c>
      <c r="D5133" s="2" t="str">
        <f t="shared" si="79"/>
        <v>Error?</v>
      </c>
    </row>
    <row r="5134" spans="1:4" x14ac:dyDescent="0.2">
      <c r="A5134" s="5">
        <v>5073</v>
      </c>
      <c r="B5134" s="138">
        <f>'Revenues 9-14'!C125</f>
        <v>107594</v>
      </c>
      <c r="D5134" s="2" t="str">
        <f t="shared" si="79"/>
        <v>Error?</v>
      </c>
    </row>
    <row r="5135" spans="1:4" x14ac:dyDescent="0.2">
      <c r="A5135" s="5">
        <v>5074</v>
      </c>
      <c r="B5135" s="138">
        <f>'Revenues 9-14'!C126</f>
        <v>122247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9675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335743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74515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74515</v>
      </c>
      <c r="C5165" s="2" t="s">
        <v>594</v>
      </c>
      <c r="D5165" s="2" t="str">
        <f t="shared" si="79"/>
        <v>Error?</v>
      </c>
    </row>
    <row r="5166" spans="1:4" x14ac:dyDescent="0.2">
      <c r="A5166" s="10">
        <v>5105</v>
      </c>
      <c r="D5166" s="2" t="str">
        <f t="shared" si="79"/>
        <v>OK</v>
      </c>
    </row>
    <row r="5167" spans="1:4" x14ac:dyDescent="0.2">
      <c r="A5167" s="5">
        <v>5106</v>
      </c>
      <c r="B5167" s="138">
        <f>'Revenues 9-14'!C145</f>
        <v>3564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343461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759444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3505009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277045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28533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305578</v>
      </c>
      <c r="C5246" s="2" t="s">
        <v>594</v>
      </c>
      <c r="D5246" s="2" t="str">
        <f t="shared" si="80"/>
        <v>Error?</v>
      </c>
    </row>
    <row r="5247" spans="1:4" x14ac:dyDescent="0.2">
      <c r="A5247" s="5">
        <v>5186</v>
      </c>
      <c r="B5247" s="138">
        <f>'Revenues 9-14'!C203</f>
        <v>87128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87128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14614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196774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211388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892959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892959</v>
      </c>
      <c r="C5326" s="2" t="s">
        <v>594</v>
      </c>
      <c r="D5326" s="2" t="str">
        <f t="shared" si="82"/>
        <v>Error?</v>
      </c>
    </row>
    <row r="5327" spans="1:4" x14ac:dyDescent="0.2">
      <c r="A5327" s="5">
        <v>5266</v>
      </c>
      <c r="B5327" s="138">
        <f>'Revenues 9-14'!C275</f>
        <v>17262626</v>
      </c>
      <c r="C5327" s="2" t="s">
        <v>594</v>
      </c>
      <c r="D5327" s="2" t="str">
        <f t="shared" si="82"/>
        <v>Error?</v>
      </c>
    </row>
    <row r="5328" spans="1:4" x14ac:dyDescent="0.2">
      <c r="A5328" s="5">
        <v>5267</v>
      </c>
      <c r="B5328" s="138">
        <f>'Revenues 9-14'!D5</f>
        <v>1716237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1716237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8904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8904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359539</v>
      </c>
      <c r="D5349" s="2" t="str">
        <f t="shared" si="82"/>
        <v>Error?</v>
      </c>
    </row>
    <row r="5350" spans="1:4" x14ac:dyDescent="0.2">
      <c r="A5350" s="5">
        <v>5289</v>
      </c>
      <c r="B5350" s="138">
        <f>'Revenues 9-14'!D96</f>
        <v>764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584</v>
      </c>
      <c r="D5352" s="2" t="str">
        <f t="shared" si="82"/>
        <v>Error?</v>
      </c>
    </row>
    <row r="5353" spans="1:4" x14ac:dyDescent="0.2">
      <c r="A5353" s="5">
        <v>5292</v>
      </c>
      <c r="B5353" s="138">
        <f>'Revenues 9-14'!D104</f>
        <v>84690</v>
      </c>
      <c r="D5353" s="2" t="str">
        <f t="shared" si="82"/>
        <v>Error?</v>
      </c>
    </row>
    <row r="5354" spans="1:4" x14ac:dyDescent="0.2">
      <c r="A5354" s="5">
        <v>5293</v>
      </c>
      <c r="B5354" s="138">
        <f>'Revenues 9-14'!D107</f>
        <v>41009</v>
      </c>
      <c r="D5354" s="2" t="str">
        <f t="shared" si="82"/>
        <v>Error?</v>
      </c>
    </row>
    <row r="5355" spans="1:4" x14ac:dyDescent="0.2">
      <c r="A5355" s="5">
        <v>5294</v>
      </c>
      <c r="B5355" s="138">
        <f>'Revenues 9-14'!D108</f>
        <v>507171</v>
      </c>
      <c r="C5355" s="2" t="s">
        <v>594</v>
      </c>
      <c r="D5355" s="2" t="str">
        <f t="shared" si="82"/>
        <v>Error?</v>
      </c>
    </row>
    <row r="5356" spans="1:4" x14ac:dyDescent="0.2">
      <c r="A5356" s="5">
        <v>5295</v>
      </c>
      <c r="B5356" s="138">
        <f>'Revenues 9-14'!D109</f>
        <v>2232312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2232312</v>
      </c>
      <c r="C5508" s="2" t="s">
        <v>594</v>
      </c>
      <c r="D5508" s="2" t="str">
        <f t="shared" si="85"/>
        <v>Error?</v>
      </c>
    </row>
    <row r="5509" spans="1:4" x14ac:dyDescent="0.2">
      <c r="A5509" s="5">
        <v>5448</v>
      </c>
      <c r="B5509" s="138">
        <f>'Revenues 9-14'!E5</f>
        <v>1491933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1491933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16542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16542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1508475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1508475</v>
      </c>
      <c r="C5552" s="2" t="s">
        <v>594</v>
      </c>
      <c r="D5552" s="2" t="str">
        <f t="shared" si="85"/>
        <v>Error?</v>
      </c>
    </row>
    <row r="5553" spans="1:4" x14ac:dyDescent="0.2">
      <c r="A5553" s="5">
        <v>5492</v>
      </c>
      <c r="B5553" s="138">
        <f>'Revenues 9-14'!F5</f>
        <v>320554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320554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681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681</v>
      </c>
      <c r="C5579" s="2" t="s">
        <v>594</v>
      </c>
      <c r="D5579" s="2" t="str">
        <f t="shared" si="86"/>
        <v>Error?</v>
      </c>
    </row>
    <row r="5580" spans="1:4" x14ac:dyDescent="0.2">
      <c r="A5580" s="5">
        <v>5519</v>
      </c>
      <c r="B5580" s="138">
        <f>'Revenues 9-14'!F65</f>
        <v>8834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8834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330069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73883</v>
      </c>
      <c r="D5615" s="2" t="str">
        <f t="shared" si="86"/>
        <v>Error?</v>
      </c>
    </row>
    <row r="5616" spans="1:4" x14ac:dyDescent="0.2">
      <c r="A5616" s="10">
        <v>5555</v>
      </c>
      <c r="D5616" s="2" t="str">
        <f t="shared" si="86"/>
        <v>OK</v>
      </c>
    </row>
    <row r="5617" spans="1:4" x14ac:dyDescent="0.2">
      <c r="A5617" s="5">
        <v>5556</v>
      </c>
      <c r="B5617" s="138">
        <f>'Revenues 9-14'!F152</f>
        <v>217175</v>
      </c>
      <c r="D5617" s="2" t="str">
        <f t="shared" si="86"/>
        <v>Error?</v>
      </c>
    </row>
    <row r="5618" spans="1:4" x14ac:dyDescent="0.2">
      <c r="A5618" s="5">
        <v>5557</v>
      </c>
      <c r="B5618" s="138">
        <f>'Revenues 9-14'!F154</f>
        <v>291058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291058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291058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621127</v>
      </c>
      <c r="C5720" s="2" t="s">
        <v>594</v>
      </c>
      <c r="D5720" s="2" t="str">
        <f t="shared" si="88"/>
        <v>Error?</v>
      </c>
    </row>
    <row r="5721" spans="1:4" x14ac:dyDescent="0.2">
      <c r="A5721" s="5">
        <v>5660</v>
      </c>
      <c r="B5721" s="138">
        <f>'Revenues 9-14'!G5</f>
        <v>5066</v>
      </c>
      <c r="D5721" s="2" t="str">
        <f t="shared" si="88"/>
        <v>Error?</v>
      </c>
    </row>
    <row r="5722" spans="1:4" x14ac:dyDescent="0.2">
      <c r="A5722" s="5">
        <v>5661</v>
      </c>
      <c r="B5722" s="138">
        <f>'Revenues 9-14'!G7</f>
        <v>0</v>
      </c>
      <c r="D5722" s="2" t="str">
        <f t="shared" si="88"/>
        <v>Error?</v>
      </c>
    </row>
    <row r="5723" spans="1:4" x14ac:dyDescent="0.2">
      <c r="A5723" s="5">
        <v>5662</v>
      </c>
      <c r="B5723" s="138">
        <f>'Revenues 9-14'!G8</f>
        <v>140868</v>
      </c>
      <c r="D5723" s="2" t="str">
        <f t="shared" si="88"/>
        <v>Error?</v>
      </c>
    </row>
    <row r="5724" spans="1:4" x14ac:dyDescent="0.2">
      <c r="A5724" s="5">
        <v>5663</v>
      </c>
      <c r="B5724" s="138">
        <f>'Revenues 9-14'!G11</f>
        <v>29125</v>
      </c>
      <c r="D5724" s="2" t="str">
        <f t="shared" si="88"/>
        <v>Error?</v>
      </c>
    </row>
    <row r="5725" spans="1:4" x14ac:dyDescent="0.2">
      <c r="A5725" s="5">
        <v>5664</v>
      </c>
      <c r="B5725" s="138">
        <f>'Revenues 9-14'!G12</f>
        <v>175059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594</v>
      </c>
      <c r="D5730" s="2" t="str">
        <f t="shared" si="88"/>
        <v>Error?</v>
      </c>
    </row>
    <row r="5731" spans="1:4" x14ac:dyDescent="0.2">
      <c r="A5731" s="5">
        <v>5670</v>
      </c>
      <c r="B5731" s="138">
        <f>'Revenues 9-14'!G65</f>
        <v>1541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1541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50000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50000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50000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276600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45243</v>
      </c>
      <c r="D5876" s="2" t="str">
        <f t="shared" si="90"/>
        <v>Error?</v>
      </c>
    </row>
    <row r="5877" spans="1:4" x14ac:dyDescent="0.2">
      <c r="A5877" s="5">
        <v>5816</v>
      </c>
      <c r="B5877" s="138">
        <f>'Revenues 9-14'!H17</f>
        <v>0</v>
      </c>
      <c r="D5877" s="2" t="str">
        <f t="shared" si="90"/>
        <v>Error?</v>
      </c>
    </row>
    <row r="5878" spans="1:4" x14ac:dyDescent="0.2">
      <c r="A5878" s="5">
        <v>5817</v>
      </c>
      <c r="B5878" s="138">
        <f>'Revenues 9-14'!H18</f>
        <v>45243</v>
      </c>
      <c r="C5878" s="2" t="s">
        <v>594</v>
      </c>
      <c r="D5878" s="2" t="str">
        <f t="shared" si="90"/>
        <v>Error?</v>
      </c>
    </row>
    <row r="5879" spans="1:4" x14ac:dyDescent="0.2">
      <c r="A5879" s="5">
        <v>5818</v>
      </c>
      <c r="B5879" s="138">
        <f>'Revenues 9-14'!H65</f>
        <v>2691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2691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69203</v>
      </c>
      <c r="D5885" s="2" t="str">
        <f t="shared" si="90"/>
        <v>Error?</v>
      </c>
    </row>
    <row r="5886" spans="1:4" x14ac:dyDescent="0.2">
      <c r="A5886" s="5">
        <v>5825</v>
      </c>
      <c r="B5886" s="138">
        <f>'Revenues 9-14'!H108</f>
        <v>310165</v>
      </c>
      <c r="C5886" s="2" t="s">
        <v>594</v>
      </c>
      <c r="D5886" s="2" t="str">
        <f t="shared" si="90"/>
        <v>Error?</v>
      </c>
    </row>
    <row r="5887" spans="1:4" x14ac:dyDescent="0.2">
      <c r="A5887" s="5">
        <v>5826</v>
      </c>
      <c r="B5887" s="138">
        <f>'Revenues 9-14'!H117</f>
        <v>1125000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1125000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1125000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1483099</v>
      </c>
      <c r="C5915" s="2" t="s">
        <v>594</v>
      </c>
      <c r="D5915" s="2" t="str">
        <f t="shared" si="91"/>
        <v>Error?</v>
      </c>
    </row>
    <row r="5916" spans="1:4" x14ac:dyDescent="0.2">
      <c r="A5916" s="5">
        <v>5855</v>
      </c>
      <c r="B5916" s="138">
        <f>'Revenues 9-14'!I5</f>
        <v>5135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5135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13637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13637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18772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226600</v>
      </c>
      <c r="C6024" s="2" t="s">
        <v>594</v>
      </c>
      <c r="D6024" s="2" t="str">
        <f t="shared" si="93"/>
        <v>Error?</v>
      </c>
    </row>
    <row r="6025" spans="1:5" x14ac:dyDescent="0.2">
      <c r="A6025" s="5">
        <v>5964</v>
      </c>
      <c r="B6025" s="138">
        <f>'Revenues 9-14'!H109</f>
        <v>358099</v>
      </c>
      <c r="C6025" s="2" t="s">
        <v>594</v>
      </c>
      <c r="D6025" s="2" t="str">
        <f t="shared" si="93"/>
        <v>Error?</v>
      </c>
    </row>
    <row r="6026" spans="1:5" x14ac:dyDescent="0.2">
      <c r="A6026" s="5">
        <v>5965</v>
      </c>
      <c r="B6026" s="138">
        <f>'Revenues 9-14'!I109</f>
        <v>18772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136504</v>
      </c>
      <c r="D6031" s="2" t="str">
        <f t="shared" si="93"/>
        <v>Error?</v>
      </c>
    </row>
    <row r="6032" spans="1:5" x14ac:dyDescent="0.2">
      <c r="A6032" s="5">
        <v>5971</v>
      </c>
      <c r="B6032" s="138">
        <f>'Acct Summary 7-8'!G15</f>
        <v>24264</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43233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1555.89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208976</v>
      </c>
      <c r="D6090" s="2" t="str">
        <f t="shared" si="94"/>
        <v>Error?</v>
      </c>
      <c r="E6090" s="2" t="s">
        <v>199</v>
      </c>
    </row>
    <row r="6091" spans="1:5" x14ac:dyDescent="0.2">
      <c r="A6091">
        <v>6030</v>
      </c>
      <c r="B6091" s="138">
        <f>'Assets-Liab 5-6'!D8</f>
        <v>126243</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5319</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38751</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1575948</v>
      </c>
      <c r="D6142" s="2" t="str">
        <f t="shared" si="94"/>
        <v>Error?</v>
      </c>
      <c r="E6142" s="2" t="s">
        <v>199</v>
      </c>
    </row>
    <row r="6143" spans="1:5" x14ac:dyDescent="0.2">
      <c r="A6143">
        <v>6082</v>
      </c>
      <c r="B6143" s="138">
        <f>'Assets-Liab 5-6'!D27</f>
        <v>40820</v>
      </c>
      <c r="D6143" s="2" t="str">
        <f t="shared" ref="D6143:D6206" si="95">IF(ISBLANK(B6143),"OK",IF(A6143-B6143=0,"OK","Error?"))</f>
        <v>Error?</v>
      </c>
      <c r="E6143" s="2" t="s">
        <v>199</v>
      </c>
    </row>
    <row r="6144" spans="1:5" x14ac:dyDescent="0.2">
      <c r="A6144">
        <v>6083</v>
      </c>
      <c r="B6144" s="138">
        <f>'Assets-Liab 5-6'!E27</f>
        <v>200</v>
      </c>
      <c r="D6144" s="2" t="str">
        <f t="shared" si="95"/>
        <v>Error?</v>
      </c>
      <c r="E6144" s="2" t="s">
        <v>199</v>
      </c>
    </row>
    <row r="6145" spans="1:5" x14ac:dyDescent="0.2">
      <c r="A6145">
        <v>6084</v>
      </c>
      <c r="B6145" s="138">
        <f>'Assets-Liab 5-6'!F27</f>
        <v>28406</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41556</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710430</v>
      </c>
      <c r="D6267" s="2" t="str">
        <f t="shared" si="96"/>
        <v>Error?</v>
      </c>
      <c r="E6267" s="2" t="s">
        <v>199</v>
      </c>
    </row>
    <row r="6268" spans="1:5" x14ac:dyDescent="0.2">
      <c r="A6268">
        <v>6207</v>
      </c>
      <c r="B6268" s="138">
        <f>'Acct Summary 7-8'!D82</f>
        <v>439498</v>
      </c>
      <c r="D6268" s="2" t="str">
        <f t="shared" si="96"/>
        <v>Error?</v>
      </c>
      <c r="E6268" s="2" t="s">
        <v>199</v>
      </c>
    </row>
    <row r="6269" spans="1:5" x14ac:dyDescent="0.2">
      <c r="A6269">
        <v>6208</v>
      </c>
      <c r="B6269" s="138">
        <f>'Acct Summary 7-8'!E82</f>
        <v>-60264</v>
      </c>
      <c r="D6269" s="2" t="str">
        <f t="shared" si="96"/>
        <v>Error?</v>
      </c>
      <c r="E6269" s="2" t="s">
        <v>199</v>
      </c>
    </row>
    <row r="6270" spans="1:5" x14ac:dyDescent="0.2">
      <c r="A6270">
        <v>6209</v>
      </c>
      <c r="B6270" s="138">
        <f>'Acct Summary 7-8'!F82</f>
        <v>-297996</v>
      </c>
      <c r="D6270" s="2" t="str">
        <f t="shared" si="96"/>
        <v>Error?</v>
      </c>
      <c r="E6270" s="2" t="s">
        <v>199</v>
      </c>
    </row>
    <row r="6271" spans="1:5" x14ac:dyDescent="0.2">
      <c r="A6271">
        <v>6210</v>
      </c>
      <c r="B6271" s="138">
        <f>'Acct Summary 7-8'!G82</f>
        <v>-195329</v>
      </c>
      <c r="D6271" s="2" t="str">
        <f t="shared" ref="D6271:D6334" si="97">IF(ISBLANK(B6271),"OK",IF(A6271-B6271=0,"OK","Error?"))</f>
        <v>Error?</v>
      </c>
      <c r="E6271" s="2" t="s">
        <v>199</v>
      </c>
    </row>
    <row r="6272" spans="1:5" x14ac:dyDescent="0.2">
      <c r="A6272">
        <v>6211</v>
      </c>
      <c r="B6272" s="138">
        <f>'Acct Summary 7-8'!H82</f>
        <v>4851313</v>
      </c>
      <c r="D6272" s="2" t="str">
        <f t="shared" si="97"/>
        <v>Error?</v>
      </c>
      <c r="E6272" s="2" t="s">
        <v>199</v>
      </c>
    </row>
    <row r="6273" spans="1:5" x14ac:dyDescent="0.2">
      <c r="A6273">
        <v>6212</v>
      </c>
      <c r="B6273" s="138">
        <f>'Acct Summary 7-8'!I82</f>
        <v>18772</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0.13177175069481437</v>
      </c>
      <c r="D6276" s="2" t="str">
        <f t="shared" si="97"/>
        <v>Error?</v>
      </c>
      <c r="E6276" s="2" t="s">
        <v>199</v>
      </c>
    </row>
    <row r="6277" spans="1:5" x14ac:dyDescent="0.2">
      <c r="A6277">
        <v>6216</v>
      </c>
      <c r="B6277" s="138">
        <f>'Acct Summary 7-8'!D83</f>
        <v>-3.6048655653800097</v>
      </c>
      <c r="D6277" s="2" t="str">
        <f t="shared" si="97"/>
        <v>Error?</v>
      </c>
      <c r="E6277" s="2" t="s">
        <v>199</v>
      </c>
    </row>
    <row r="6278" spans="1:5" x14ac:dyDescent="0.2">
      <c r="A6278">
        <v>6217</v>
      </c>
      <c r="B6278" s="138">
        <f>'Acct Summary 7-8'!E83</f>
        <v>-4.8669511051671381E-2</v>
      </c>
      <c r="D6278" s="2" t="str">
        <f t="shared" si="97"/>
        <v>Error?</v>
      </c>
      <c r="E6278" s="2" t="s">
        <v>199</v>
      </c>
    </row>
    <row r="6279" spans="1:5" x14ac:dyDescent="0.2">
      <c r="A6279">
        <v>6218</v>
      </c>
      <c r="B6279" s="138">
        <f>'Acct Summary 7-8'!F83</f>
        <v>-0.67920864293203265</v>
      </c>
      <c r="D6279" s="2" t="str">
        <f t="shared" si="97"/>
        <v>Error?</v>
      </c>
      <c r="E6279" s="2" t="s">
        <v>199</v>
      </c>
    </row>
    <row r="6280" spans="1:5" x14ac:dyDescent="0.2">
      <c r="A6280">
        <v>6219</v>
      </c>
      <c r="B6280" s="138">
        <f>'Acct Summary 7-8'!G83</f>
        <v>-11.426089499853758</v>
      </c>
      <c r="D6280" s="2" t="str">
        <f t="shared" si="97"/>
        <v>Error?</v>
      </c>
      <c r="E6280" s="2" t="s">
        <v>199</v>
      </c>
    </row>
    <row r="6281" spans="1:5" x14ac:dyDescent="0.2">
      <c r="A6281">
        <v>6220</v>
      </c>
      <c r="B6281" s="138">
        <f>'Acct Summary 7-8'!H83</f>
        <v>0.99317169420146756</v>
      </c>
      <c r="D6281" s="2" t="str">
        <f t="shared" si="97"/>
        <v>Error?</v>
      </c>
      <c r="E6281" s="2" t="s">
        <v>199</v>
      </c>
    </row>
    <row r="6282" spans="1:5" x14ac:dyDescent="0.2">
      <c r="A6282">
        <v>6221</v>
      </c>
      <c r="B6282" s="138">
        <f>'Acct Summary 7-8'!I83</f>
        <v>1.5132924994800375E-2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147146</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93816</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140497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7580</v>
      </c>
      <c r="D6844" s="2" t="str">
        <f t="shared" si="105"/>
        <v>Error?</v>
      </c>
    </row>
    <row r="6845" spans="1:4" x14ac:dyDescent="0.2">
      <c r="A6845">
        <v>6784</v>
      </c>
      <c r="B6845" s="138">
        <f>'Expenditures 15-22'!J5</f>
        <v>247797</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187647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248400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320029</v>
      </c>
      <c r="D6880" s="2" t="str">
        <f t="shared" si="106"/>
        <v>Error?</v>
      </c>
    </row>
    <row r="6881" spans="1:4" x14ac:dyDescent="0.2">
      <c r="A6881">
        <v>6820</v>
      </c>
      <c r="B6881" s="138">
        <f>'Expenditures 15-22'!K22</f>
        <v>320029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7580</v>
      </c>
      <c r="D6902" s="2" t="str">
        <f t="shared" si="106"/>
        <v>Error?</v>
      </c>
    </row>
    <row r="6903" spans="1:4" x14ac:dyDescent="0.2">
      <c r="A6903">
        <v>6842</v>
      </c>
      <c r="B6903" s="138">
        <f>'Expenditures 15-22'!J33</f>
        <v>247797</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1418</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86164</v>
      </c>
      <c r="D6933" s="2" t="str">
        <f t="shared" si="107"/>
        <v>Error?</v>
      </c>
    </row>
    <row r="6934" spans="1:4" x14ac:dyDescent="0.2">
      <c r="A6934">
        <v>6873</v>
      </c>
      <c r="B6934" s="138">
        <f>'Expenditures 15-22'!E52</f>
        <v>132491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218655</v>
      </c>
      <c r="D6940" s="2" t="str">
        <f t="shared" si="107"/>
        <v>Error?</v>
      </c>
    </row>
    <row r="6941" spans="1:4" x14ac:dyDescent="0.2">
      <c r="A6941">
        <v>6880</v>
      </c>
      <c r="B6941" s="138">
        <f>'Expenditures 15-22'!L52</f>
        <v>211559</v>
      </c>
      <c r="D6941" s="2" t="str">
        <f t="shared" si="107"/>
        <v>Error?</v>
      </c>
    </row>
    <row r="6942" spans="1:4" x14ac:dyDescent="0.2">
      <c r="A6942">
        <v>6881</v>
      </c>
      <c r="B6942" s="138">
        <f>'Expenditures 15-22'!I53</f>
        <v>1418</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1098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1098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35507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35507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38023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700317</v>
      </c>
      <c r="D6983" s="2" t="str">
        <f t="shared" si="108"/>
        <v>Error?</v>
      </c>
    </row>
    <row r="6984" spans="1:4" x14ac:dyDescent="0.2">
      <c r="A6984">
        <v>6923</v>
      </c>
      <c r="B6984" s="138">
        <f>'Expenditures 15-22'!K86</f>
        <v>700317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700317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45603</v>
      </c>
      <c r="D7020" s="2" t="str">
        <f t="shared" si="108"/>
        <v>Error?</v>
      </c>
    </row>
    <row r="7021" spans="1:4" x14ac:dyDescent="0.2">
      <c r="A7021">
        <v>6960</v>
      </c>
      <c r="B7021" s="138">
        <f>'Expenditures 15-22'!J114</f>
        <v>247797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17985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17985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17985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20585</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17985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8735</v>
      </c>
      <c r="D7073" s="2" t="str">
        <f t="shared" si="109"/>
        <v>Error?</v>
      </c>
    </row>
    <row r="7074" spans="1:4" x14ac:dyDescent="0.2">
      <c r="A7074">
        <v>7013</v>
      </c>
      <c r="B7074" s="138">
        <f>'Expenditures 15-22'!K216</f>
        <v>8735</v>
      </c>
      <c r="D7074" s="2" t="str">
        <f t="shared" si="109"/>
        <v>Error?</v>
      </c>
    </row>
    <row r="7075" spans="1:4" x14ac:dyDescent="0.2">
      <c r="A7075">
        <v>7014</v>
      </c>
      <c r="B7075" s="138">
        <f>'Expenditures 15-22'!D218</f>
        <v>11282</v>
      </c>
      <c r="D7075" s="2" t="str">
        <f t="shared" si="109"/>
        <v>Error?</v>
      </c>
    </row>
    <row r="7076" spans="1:4" x14ac:dyDescent="0.2">
      <c r="A7076">
        <v>7015</v>
      </c>
      <c r="B7076" s="138">
        <f>'Expenditures 15-22'!K218</f>
        <v>11282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30149</v>
      </c>
      <c r="D7246" s="2" t="str">
        <f t="shared" si="112"/>
        <v>Error?</v>
      </c>
    </row>
    <row r="7247" spans="1:4" x14ac:dyDescent="0.2">
      <c r="A7247">
        <f t="shared" si="113"/>
        <v>7186</v>
      </c>
      <c r="B7247" s="138">
        <f>'Expenditures 15-22'!E7</f>
        <v>2363</v>
      </c>
      <c r="D7247" s="2" t="str">
        <f t="shared" si="112"/>
        <v>Error?</v>
      </c>
    </row>
    <row r="7248" spans="1:4" x14ac:dyDescent="0.2">
      <c r="A7248">
        <f t="shared" si="113"/>
        <v>7187</v>
      </c>
      <c r="B7248" s="138">
        <f>'Expenditures 15-22'!F7</f>
        <v>14638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179364</v>
      </c>
      <c r="D7251" s="2" t="str">
        <f t="shared" si="112"/>
        <v>Error?</v>
      </c>
    </row>
    <row r="7252" spans="1:4" x14ac:dyDescent="0.2">
      <c r="A7252">
        <f t="shared" si="113"/>
        <v>7191</v>
      </c>
      <c r="B7252" s="138">
        <f>'Expenditures 15-22'!D9</f>
        <v>69036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63588</v>
      </c>
      <c r="D7624" s="2" t="str">
        <f t="shared" si="124"/>
        <v>Error?</v>
      </c>
      <c r="E7624" s="2" t="s">
        <v>19</v>
      </c>
    </row>
    <row r="7625" spans="1:5" x14ac:dyDescent="0.2">
      <c r="A7625">
        <f t="shared" si="123"/>
        <v>7564</v>
      </c>
      <c r="B7625" s="138">
        <f>'Cap Outlay Deprec 26'!I17</f>
        <v>6358.8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540938.80000000005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1246968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92037</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92037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1715506</v>
      </c>
      <c r="D7797" s="2" t="str">
        <f t="shared" si="127"/>
        <v>Error?</v>
      </c>
      <c r="E7797" s="4" t="s">
        <v>2017</v>
      </c>
    </row>
    <row r="7798" spans="1:5" x14ac:dyDescent="0.2">
      <c r="A7798">
        <v>7737</v>
      </c>
      <c r="B7798" s="138">
        <f>'Contracts Paid in CY 29'!F141</f>
        <v>157192</v>
      </c>
      <c r="D7798" s="2" t="str">
        <f t="shared" si="127"/>
        <v>Error?</v>
      </c>
      <c r="E7798" s="4" t="s">
        <v>2017</v>
      </c>
    </row>
    <row r="7799" spans="1:5" x14ac:dyDescent="0.2">
      <c r="A7799">
        <v>7738</v>
      </c>
      <c r="B7799" s="138">
        <f>'Contracts Paid in CY 29'!G141</f>
        <v>1558314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O35" sqref="O3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MUNDELEIN ELEMENTARY SCHOOL DISTRICT NO. 75</v>
      </c>
      <c r="B7" s="2403"/>
      <c r="C7" s="2403"/>
      <c r="D7" s="2440"/>
      <c r="E7" s="2441">
        <f>COVER!A13</f>
        <v>34049075002</v>
      </c>
      <c r="F7" s="2442"/>
      <c r="G7" s="2409" t="str">
        <f>COVER!T23</f>
        <v>060-003973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EVANS, MARSHALL &amp; PEASE, P.C.</v>
      </c>
      <c r="H9" s="2416"/>
      <c r="I9" s="2416"/>
      <c r="J9" s="2416"/>
      <c r="K9" s="2416"/>
      <c r="L9" s="2417"/>
    </row>
    <row r="10" spans="1:29" ht="13.5" customHeight="1" x14ac:dyDescent="0.2">
      <c r="A10" s="2399">
        <f>COVER!A38</f>
        <v>0</v>
      </c>
      <c r="B10" s="2400"/>
      <c r="C10" s="2400"/>
      <c r="D10" s="2400"/>
      <c r="E10" s="2400"/>
      <c r="F10" s="2401"/>
      <c r="G10" s="2415" t="str">
        <f>COVER!T17</f>
        <v>1875 HICKS ROAD</v>
      </c>
      <c r="H10" s="2428"/>
      <c r="I10" s="2428"/>
      <c r="J10" s="2428"/>
      <c r="K10" s="2428"/>
      <c r="L10" s="2429"/>
    </row>
    <row r="11" spans="1:29" ht="13.5" customHeight="1" x14ac:dyDescent="0.2">
      <c r="A11" s="1185" t="s">
        <v>1599</v>
      </c>
      <c r="B11" s="1186"/>
      <c r="C11" s="1187"/>
      <c r="D11" s="1192"/>
      <c r="E11" s="1187"/>
      <c r="F11" s="1191"/>
      <c r="G11" s="2415" t="str">
        <f>COVER!T19</f>
        <v>ROLLING MEADOWS</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JEFF@EMPCPA.COM</v>
      </c>
      <c r="J13" s="2437"/>
      <c r="K13" s="2437"/>
      <c r="L13" s="2438"/>
    </row>
    <row r="14" spans="1:29" ht="13.5" customHeight="1" x14ac:dyDescent="0.2">
      <c r="A14" s="2415" t="str">
        <f>COVER!A19</f>
        <v>470 NORTH LAKE STREET</v>
      </c>
      <c r="B14" s="2428"/>
      <c r="C14" s="2428"/>
      <c r="D14" s="2428"/>
      <c r="E14" s="2428"/>
      <c r="F14" s="2429"/>
      <c r="G14" s="1196" t="s">
        <v>1247</v>
      </c>
      <c r="H14" s="1194"/>
      <c r="I14" s="1194"/>
      <c r="J14" s="1194"/>
      <c r="K14" s="1194"/>
      <c r="L14" s="1195"/>
    </row>
    <row r="15" spans="1:29" ht="13.5" customHeight="1" x14ac:dyDescent="0.2">
      <c r="A15" s="2415" t="str">
        <f>COVER!A21</f>
        <v>MUNDELEIN</v>
      </c>
      <c r="B15" s="2428"/>
      <c r="C15" s="2428"/>
      <c r="D15" s="2428"/>
      <c r="E15" s="2428"/>
      <c r="F15" s="2429"/>
      <c r="G15" s="2425" t="str">
        <f>COVER!T15</f>
        <v>JEFFERY M. ROLLEFSON, CPA</v>
      </c>
      <c r="H15" s="2426"/>
      <c r="I15" s="2426"/>
      <c r="J15" s="2426"/>
      <c r="K15" s="2426"/>
      <c r="L15" s="2427"/>
    </row>
    <row r="16" spans="1:29" ht="12.2" customHeight="1" x14ac:dyDescent="0.2">
      <c r="A16" s="2405">
        <f>COVER!A25</f>
        <v>60060</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847-221-5700</v>
      </c>
      <c r="H18" s="2403"/>
      <c r="I18" s="2403"/>
      <c r="J18" s="2403"/>
      <c r="K18" s="2402" t="str">
        <f>COVER!X21</f>
        <v>847-221-5701</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MUNDELEIN ELEMENTARY SCHOOL DISTRICT NO. 75</v>
      </c>
      <c r="B1" s="2439"/>
      <c r="C1" s="2439"/>
      <c r="D1" s="2439"/>
    </row>
    <row r="2" spans="1:11" s="1215" customFormat="1" ht="12.75" x14ac:dyDescent="0.2">
      <c r="A2" s="2444">
        <f>'Single Audit Cover'!E7</f>
        <v>34049075002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6"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MUNDELEIN ELEMENTARY SCHOOL DISTRICT NO. 75</v>
      </c>
      <c r="B1" s="2447"/>
      <c r="C1" s="2447"/>
      <c r="D1" s="2447"/>
      <c r="E1" s="2447"/>
    </row>
    <row r="2" spans="1:5" x14ac:dyDescent="0.2">
      <c r="A2" s="2448">
        <f>'Single Audit Cover'!E7</f>
        <v>34049075002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892959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43233</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-199488</v>
      </c>
    </row>
    <row r="19" spans="1:4" ht="13.5" thickBot="1" x14ac:dyDescent="0.25">
      <c r="A19" s="1265" t="s">
        <v>1297</v>
      </c>
      <c r="D19" s="1266">
        <f>SUM(D10:D17)</f>
        <v>736704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736704</v>
      </c>
    </row>
    <row r="33" spans="1:4" x14ac:dyDescent="0.2">
      <c r="D33" s="1269"/>
    </row>
    <row r="34" spans="1:4" x14ac:dyDescent="0.2">
      <c r="A34" s="317" t="s">
        <v>1294</v>
      </c>
    </row>
    <row r="35" spans="1:4" x14ac:dyDescent="0.2">
      <c r="A35" s="317" t="s">
        <v>1293</v>
      </c>
      <c r="B35" s="1258" t="s">
        <v>1292</v>
      </c>
      <c r="D35" s="1270">
        <v>736704</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736704</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MUNDELEIN ELEMENTARY SCHOOL DISTRICT NO. 75</v>
      </c>
      <c r="B1" s="2452"/>
      <c r="C1" s="2452"/>
      <c r="D1" s="2452"/>
      <c r="E1" s="2452"/>
      <c r="F1" s="2452"/>
    </row>
    <row r="2" spans="1:7" ht="13.5" customHeight="1" x14ac:dyDescent="0.2">
      <c r="A2" s="2453">
        <f>'Single Audit Cover'!E7</f>
        <v>34049075002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2097</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1833</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2098</v>
      </c>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2129</v>
      </c>
      <c r="B32" s="2460"/>
      <c r="C32" s="2460"/>
      <c r="D32" s="2460"/>
      <c r="E32" s="2460"/>
      <c r="F32" s="2460"/>
    </row>
    <row r="33" spans="1:6" ht="13.5" customHeight="1" x14ac:dyDescent="0.2">
      <c r="A33" s="328" t="s">
        <v>1509</v>
      </c>
      <c r="B33" s="328"/>
      <c r="C33" s="1288">
        <v>43233</v>
      </c>
      <c r="D33" s="1928"/>
      <c r="E33" s="1286"/>
    </row>
    <row r="34" spans="1:6" ht="13.5" customHeight="1" x14ac:dyDescent="0.2">
      <c r="A34" s="328" t="s">
        <v>1946</v>
      </c>
      <c r="B34" s="328"/>
      <c r="C34" s="1289">
        <v>0</v>
      </c>
      <c r="D34" s="1928" t="s">
        <v>1671</v>
      </c>
      <c r="E34" s="2461">
        <f>+C33+C34</f>
        <v>43233</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4" sqref="I2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MUNDELEIN ELEMENTARY SCHOOL DISTRICT NO. 75</v>
      </c>
      <c r="C1" s="2464"/>
      <c r="D1" s="2464"/>
      <c r="E1" s="2464"/>
      <c r="F1" s="2464"/>
      <c r="G1" s="2464"/>
      <c r="H1" s="2464"/>
      <c r="I1" s="2464"/>
      <c r="J1" s="2464"/>
      <c r="K1" s="2464"/>
      <c r="L1" s="2464"/>
      <c r="M1" s="2464"/>
    </row>
    <row r="2" spans="2:14" ht="15" x14ac:dyDescent="0.2">
      <c r="B2" s="2453">
        <f>'Single Audit Cover'!E7</f>
        <v>34049075002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2130</v>
      </c>
      <c r="C11" s="1338"/>
      <c r="D11" s="1339"/>
      <c r="E11" s="1340"/>
      <c r="F11" s="1340"/>
      <c r="G11" s="1340"/>
      <c r="H11" s="1340"/>
      <c r="I11" s="1340"/>
      <c r="J11" s="1340"/>
      <c r="K11" s="1340"/>
      <c r="L11" s="1340"/>
      <c r="M11" s="1340"/>
    </row>
    <row r="12" spans="2:14" ht="20.100000000000001" customHeight="1" x14ac:dyDescent="0.2">
      <c r="B12" s="1337" t="s">
        <v>2131</v>
      </c>
      <c r="C12" s="1341"/>
      <c r="D12" s="1342"/>
      <c r="E12" s="1343"/>
      <c r="F12" s="1343"/>
      <c r="G12" s="1343"/>
      <c r="H12" s="1343"/>
      <c r="I12" s="1343"/>
      <c r="J12" s="1343"/>
      <c r="K12" s="1343"/>
      <c r="L12" s="1340"/>
      <c r="M12" s="1343"/>
    </row>
    <row r="13" spans="2:14" ht="20.100000000000001" customHeight="1" x14ac:dyDescent="0.2">
      <c r="B13" s="1337" t="s">
        <v>2132</v>
      </c>
      <c r="C13" s="1341" t="s">
        <v>2136</v>
      </c>
      <c r="D13" s="1342" t="s">
        <v>2137</v>
      </c>
      <c r="E13" s="1343">
        <v>164765</v>
      </c>
      <c r="F13" s="1343"/>
      <c r="G13" s="1343">
        <v>164765</v>
      </c>
      <c r="H13" s="1343"/>
      <c r="I13" s="1343"/>
      <c r="J13" s="1343"/>
      <c r="K13" s="1343"/>
      <c r="L13" s="1340">
        <f t="shared" ref="L13:L24" si="0">+G13+I13+K13</f>
        <v>164765</v>
      </c>
      <c r="M13" s="1343">
        <v>164934</v>
      </c>
    </row>
    <row r="14" spans="2:14" ht="20.100000000000001" customHeight="1" x14ac:dyDescent="0.2">
      <c r="B14" s="1337" t="s">
        <v>2132</v>
      </c>
      <c r="C14" s="1341" t="s">
        <v>2136</v>
      </c>
      <c r="D14" s="1342" t="s">
        <v>2138</v>
      </c>
      <c r="E14" s="1343"/>
      <c r="F14" s="1343">
        <v>87128</v>
      </c>
      <c r="G14" s="1343"/>
      <c r="H14" s="1343"/>
      <c r="I14" s="1343">
        <v>87128</v>
      </c>
      <c r="J14" s="1343"/>
      <c r="K14" s="1343"/>
      <c r="L14" s="1340" t="s">
        <v>2139</v>
      </c>
      <c r="M14" s="1343">
        <v>176789</v>
      </c>
    </row>
    <row r="15" spans="2:14" ht="20.100000000000001" customHeight="1" x14ac:dyDescent="0.2">
      <c r="B15" s="1337" t="s">
        <v>2133</v>
      </c>
      <c r="C15" s="1341" t="s">
        <v>2140</v>
      </c>
      <c r="D15" s="1342" t="s">
        <v>2141</v>
      </c>
      <c r="E15" s="1343">
        <v>42581</v>
      </c>
      <c r="F15" s="1343"/>
      <c r="G15" s="1343">
        <v>42581</v>
      </c>
      <c r="H15" s="1343"/>
      <c r="I15" s="1343"/>
      <c r="J15" s="1343"/>
      <c r="K15" s="1343"/>
      <c r="L15" s="1340">
        <f t="shared" si="0"/>
        <v>42581</v>
      </c>
      <c r="M15" s="1343">
        <v>43348</v>
      </c>
    </row>
    <row r="16" spans="2:14" ht="20.100000000000001" customHeight="1" x14ac:dyDescent="0.2">
      <c r="B16" s="1337" t="s">
        <v>2134</v>
      </c>
      <c r="C16" s="1341" t="s">
        <v>2140</v>
      </c>
      <c r="D16" s="1342" t="s">
        <v>2142</v>
      </c>
      <c r="E16" s="1343"/>
      <c r="F16" s="1343">
        <v>27657</v>
      </c>
      <c r="G16" s="1343"/>
      <c r="H16" s="1343"/>
      <c r="I16" s="1343">
        <v>27657</v>
      </c>
      <c r="J16" s="1343"/>
      <c r="K16" s="1343"/>
      <c r="L16" s="1340" t="s">
        <v>2139</v>
      </c>
      <c r="M16" s="1343">
        <v>43371</v>
      </c>
    </row>
    <row r="17" spans="2:14" ht="20.100000000000001" customHeight="1" x14ac:dyDescent="0.2">
      <c r="B17" s="1337" t="s">
        <v>2135</v>
      </c>
      <c r="C17" s="1341" t="s">
        <v>2143</v>
      </c>
      <c r="D17" s="1342" t="s">
        <v>2144</v>
      </c>
      <c r="E17" s="1343">
        <v>40217</v>
      </c>
      <c r="F17" s="1343"/>
      <c r="G17" s="1343">
        <v>40217</v>
      </c>
      <c r="H17" s="1343"/>
      <c r="I17" s="1343"/>
      <c r="J17" s="1343"/>
      <c r="K17" s="1343"/>
      <c r="L17" s="1340">
        <f t="shared" si="0"/>
        <v>40217</v>
      </c>
      <c r="M17" s="1343">
        <v>52635</v>
      </c>
    </row>
    <row r="18" spans="2:14" ht="20.100000000000001" customHeight="1" x14ac:dyDescent="0.2">
      <c r="B18" s="1337" t="s">
        <v>2135</v>
      </c>
      <c r="C18" s="1341" t="s">
        <v>2143</v>
      </c>
      <c r="D18" s="1342" t="s">
        <v>2145</v>
      </c>
      <c r="E18" s="1343"/>
      <c r="F18" s="1343">
        <v>22781</v>
      </c>
      <c r="G18" s="1343"/>
      <c r="H18" s="1343"/>
      <c r="I18" s="1343">
        <v>22781</v>
      </c>
      <c r="J18" s="1343"/>
      <c r="K18" s="1343"/>
      <c r="L18" s="1340" t="s">
        <v>2139</v>
      </c>
      <c r="M18" s="1343">
        <v>54182</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2146</v>
      </c>
      <c r="C20" s="1341"/>
      <c r="D20" s="1342"/>
      <c r="E20" s="1343"/>
      <c r="F20" s="1343"/>
      <c r="G20" s="1343"/>
      <c r="H20" s="1343"/>
      <c r="I20" s="1343"/>
      <c r="J20" s="1343"/>
      <c r="K20" s="1343"/>
      <c r="L20" s="1340"/>
      <c r="M20" s="1343"/>
    </row>
    <row r="21" spans="2:14" ht="20.100000000000001" customHeight="1" x14ac:dyDescent="0.2">
      <c r="B21" s="1337" t="s">
        <v>2177</v>
      </c>
      <c r="C21" s="1341" t="s">
        <v>2150</v>
      </c>
      <c r="D21" s="1342" t="s">
        <v>2151</v>
      </c>
      <c r="E21" s="1343">
        <v>15797</v>
      </c>
      <c r="F21" s="1343"/>
      <c r="G21" s="1343">
        <v>15797</v>
      </c>
      <c r="H21" s="1343"/>
      <c r="I21" s="1343"/>
      <c r="J21" s="1343"/>
      <c r="K21" s="1343"/>
      <c r="L21" s="1340">
        <f t="shared" si="0"/>
        <v>15797</v>
      </c>
      <c r="M21" s="1343" t="s">
        <v>2152</v>
      </c>
    </row>
    <row r="22" spans="2:14" ht="20.100000000000001" customHeight="1" x14ac:dyDescent="0.2">
      <c r="B22" s="1337" t="s">
        <v>2177</v>
      </c>
      <c r="C22" s="1341" t="s">
        <v>2153</v>
      </c>
      <c r="D22" s="1342" t="s">
        <v>2154</v>
      </c>
      <c r="E22" s="1343"/>
      <c r="F22" s="1343">
        <v>14614</v>
      </c>
      <c r="G22" s="1343"/>
      <c r="H22" s="1343"/>
      <c r="I22" s="1343">
        <v>14614</v>
      </c>
      <c r="J22" s="1343"/>
      <c r="K22" s="1343"/>
      <c r="L22" s="1340">
        <f t="shared" si="0"/>
        <v>14614</v>
      </c>
      <c r="M22" s="1343" t="s">
        <v>2152</v>
      </c>
    </row>
    <row r="23" spans="2:14" ht="20.100000000000001" customHeight="1" x14ac:dyDescent="0.2">
      <c r="B23" s="1337" t="s">
        <v>2178</v>
      </c>
      <c r="C23" s="1341" t="s">
        <v>2155</v>
      </c>
      <c r="D23" s="1342" t="s">
        <v>2156</v>
      </c>
      <c r="E23" s="1343">
        <v>216557</v>
      </c>
      <c r="F23" s="1343"/>
      <c r="G23" s="1343">
        <v>216557</v>
      </c>
      <c r="H23" s="1343"/>
      <c r="I23" s="1343"/>
      <c r="J23" s="1343"/>
      <c r="K23" s="1343"/>
      <c r="L23" s="1340">
        <f t="shared" si="0"/>
        <v>216557</v>
      </c>
      <c r="M23" s="1343" t="s">
        <v>2152</v>
      </c>
    </row>
    <row r="24" spans="2:14" ht="20.100000000000001" customHeight="1" x14ac:dyDescent="0.2">
      <c r="B24" s="1337" t="s">
        <v>2178</v>
      </c>
      <c r="C24" s="1341" t="s">
        <v>2155</v>
      </c>
      <c r="D24" s="1342" t="s">
        <v>2157</v>
      </c>
      <c r="E24" s="1343"/>
      <c r="F24" s="1343">
        <v>196774</v>
      </c>
      <c r="G24" s="1343"/>
      <c r="H24" s="1343"/>
      <c r="I24" s="1343">
        <v>196774</v>
      </c>
      <c r="J24" s="1343"/>
      <c r="K24" s="1343"/>
      <c r="L24" s="1340">
        <f t="shared" si="0"/>
        <v>196774</v>
      </c>
      <c r="M24" s="1343" t="s">
        <v>2152</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t="s">
        <v>2149</v>
      </c>
      <c r="C26" s="1341"/>
      <c r="D26" s="1342"/>
      <c r="E26" s="1343"/>
      <c r="F26" s="1343">
        <f>SUM(F14:F24)</f>
        <v>348954</v>
      </c>
      <c r="G26" s="1343"/>
      <c r="H26" s="1343"/>
      <c r="I26" s="1343">
        <f>SUM(I14:I24)</f>
        <v>348954</v>
      </c>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2075</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v>43341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v>0</v>
      </c>
      <c r="F85" s="276">
        <v>19017</v>
      </c>
      <c r="G85" s="276">
        <v>43209</v>
      </c>
      <c r="H85" s="276">
        <v>29811</v>
      </c>
      <c r="I85" s="276">
        <v>0</v>
      </c>
      <c r="J85" s="277">
        <f>SUM(E85:I85)</f>
        <v>92037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92037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2081</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MUNDELEIN ELEMENTARY SCHOOL DISTRICT NO. 75</v>
      </c>
      <c r="C1" s="2464"/>
      <c r="D1" s="2464"/>
      <c r="E1" s="2464"/>
      <c r="F1" s="2464"/>
      <c r="G1" s="2464"/>
      <c r="H1" s="2464"/>
      <c r="I1" s="2464"/>
      <c r="J1" s="2464"/>
      <c r="K1" s="2464"/>
      <c r="L1" s="2464"/>
      <c r="M1" s="2464"/>
    </row>
    <row r="2" spans="2:14" ht="15" x14ac:dyDescent="0.2">
      <c r="B2" s="2453">
        <f>'Single Audit Cover'!E7</f>
        <v>34049075002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2158</v>
      </c>
      <c r="C11" s="1338"/>
      <c r="D11" s="1339"/>
      <c r="E11" s="1340"/>
      <c r="F11" s="1340"/>
      <c r="G11" s="1340"/>
      <c r="H11" s="1340"/>
      <c r="I11" s="1340"/>
      <c r="J11" s="1340"/>
      <c r="K11" s="1340"/>
      <c r="L11" s="1340"/>
      <c r="M11" s="1340"/>
    </row>
    <row r="12" spans="2:14" ht="20.100000000000001" customHeight="1" x14ac:dyDescent="0.2">
      <c r="B12" s="1337" t="s">
        <v>2159</v>
      </c>
      <c r="C12" s="1341"/>
      <c r="D12" s="1342"/>
      <c r="E12" s="1343"/>
      <c r="F12" s="1343"/>
      <c r="G12" s="1343"/>
      <c r="H12" s="1343"/>
      <c r="I12" s="1343"/>
      <c r="J12" s="1343"/>
      <c r="K12" s="1343"/>
      <c r="L12" s="1340"/>
      <c r="M12" s="1343"/>
    </row>
    <row r="13" spans="2:14" ht="20.100000000000001" customHeight="1" x14ac:dyDescent="0.2">
      <c r="B13" s="1337" t="s">
        <v>2160</v>
      </c>
      <c r="C13" s="1341">
        <v>93.778000000000006</v>
      </c>
      <c r="D13" s="1342" t="s">
        <v>2162</v>
      </c>
      <c r="E13" s="1343">
        <v>27347</v>
      </c>
      <c r="F13" s="1343"/>
      <c r="G13" s="1343">
        <v>27347</v>
      </c>
      <c r="H13" s="1343"/>
      <c r="I13" s="1343"/>
      <c r="J13" s="1343"/>
      <c r="K13" s="1343"/>
      <c r="L13" s="1340">
        <f t="shared" ref="L13:L24" si="0">+G13+I13+K13</f>
        <v>27347</v>
      </c>
      <c r="M13" s="1343" t="s">
        <v>2152</v>
      </c>
    </row>
    <row r="14" spans="2:14" ht="20.100000000000001" customHeight="1" x14ac:dyDescent="0.2">
      <c r="B14" s="1337" t="s">
        <v>2160</v>
      </c>
      <c r="C14" s="1341">
        <v>93.778000000000006</v>
      </c>
      <c r="D14" s="1342" t="s">
        <v>2163</v>
      </c>
      <c r="E14" s="1343"/>
      <c r="F14" s="1343">
        <v>38939</v>
      </c>
      <c r="G14" s="1343"/>
      <c r="H14" s="1343"/>
      <c r="I14" s="1343">
        <v>38939</v>
      </c>
      <c r="J14" s="1343"/>
      <c r="K14" s="1343"/>
      <c r="L14" s="1340">
        <f>+G14+I14+K14</f>
        <v>38939</v>
      </c>
      <c r="M14" s="1343" t="s">
        <v>2152</v>
      </c>
    </row>
    <row r="15" spans="2:14" ht="20.100000000000001" customHeight="1" x14ac:dyDescent="0.2">
      <c r="B15" s="1337"/>
      <c r="C15" s="1341"/>
      <c r="D15" s="1342"/>
      <c r="E15" s="1343"/>
      <c r="F15" s="1343"/>
      <c r="G15" s="1343"/>
      <c r="H15" s="1343"/>
      <c r="I15" s="1343"/>
      <c r="J15" s="1343"/>
      <c r="K15" s="1343"/>
      <c r="L15" s="1340"/>
      <c r="M15" s="1343"/>
    </row>
    <row r="16" spans="2:14" ht="20.100000000000001" customHeight="1" x14ac:dyDescent="0.2">
      <c r="B16" s="1337" t="s">
        <v>2161</v>
      </c>
      <c r="C16" s="1341"/>
      <c r="D16" s="1342"/>
      <c r="E16" s="1343"/>
      <c r="F16" s="1343">
        <f>+F14</f>
        <v>38939</v>
      </c>
      <c r="G16" s="1343"/>
      <c r="H16" s="1343"/>
      <c r="I16" s="1343">
        <f>+I14</f>
        <v>38939</v>
      </c>
      <c r="J16" s="1343"/>
      <c r="K16" s="1343"/>
      <c r="L16" s="1340"/>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2164</v>
      </c>
      <c r="C18" s="1341"/>
      <c r="D18" s="1342"/>
      <c r="E18" s="1343"/>
      <c r="F18" s="1343"/>
      <c r="G18" s="1343"/>
      <c r="H18" s="1343"/>
      <c r="I18" s="1343"/>
      <c r="J18" s="1343"/>
      <c r="K18" s="1343"/>
      <c r="L18" s="1340"/>
      <c r="M18" s="1343"/>
    </row>
    <row r="19" spans="2:14" ht="20.100000000000001" customHeight="1" x14ac:dyDescent="0.2">
      <c r="B19" s="1337" t="s">
        <v>2131</v>
      </c>
      <c r="C19" s="1341"/>
      <c r="D19" s="1342"/>
      <c r="E19" s="1343"/>
      <c r="F19" s="1343"/>
      <c r="G19" s="1343"/>
      <c r="H19" s="1343"/>
      <c r="I19" s="1343"/>
      <c r="J19" s="1343"/>
      <c r="K19" s="1343"/>
      <c r="L19" s="1340"/>
      <c r="M19" s="1343"/>
    </row>
    <row r="20" spans="2:14" ht="20.100000000000001" customHeight="1" x14ac:dyDescent="0.2">
      <c r="B20" s="1337" t="s">
        <v>2165</v>
      </c>
      <c r="C20" s="1341">
        <v>10.555</v>
      </c>
      <c r="D20" s="1342" t="s">
        <v>2170</v>
      </c>
      <c r="E20" s="1343"/>
      <c r="F20" s="1343">
        <v>30326</v>
      </c>
      <c r="G20" s="1343"/>
      <c r="H20" s="1343"/>
      <c r="I20" s="1343">
        <v>30326</v>
      </c>
      <c r="J20" s="1343"/>
      <c r="K20" s="1343"/>
      <c r="L20" s="1340">
        <v>30326</v>
      </c>
      <c r="M20" s="1343" t="s">
        <v>2152</v>
      </c>
    </row>
    <row r="21" spans="2:14" ht="20.100000000000001" customHeight="1" x14ac:dyDescent="0.2">
      <c r="B21" s="1337" t="s">
        <v>2166</v>
      </c>
      <c r="C21" s="1341">
        <v>10.555</v>
      </c>
      <c r="D21" s="1342" t="s">
        <v>2170</v>
      </c>
      <c r="E21" s="1343"/>
      <c r="F21" s="1343">
        <v>12907</v>
      </c>
      <c r="G21" s="1343"/>
      <c r="H21" s="1343"/>
      <c r="I21" s="1343">
        <v>12907</v>
      </c>
      <c r="J21" s="1343"/>
      <c r="K21" s="1343"/>
      <c r="L21" s="1340">
        <f t="shared" si="0"/>
        <v>12907</v>
      </c>
      <c r="M21" s="1343" t="s">
        <v>2152</v>
      </c>
    </row>
    <row r="22" spans="2:14" ht="20.100000000000001" customHeight="1" x14ac:dyDescent="0.2">
      <c r="B22" s="1337" t="s">
        <v>2167</v>
      </c>
      <c r="C22" s="1341">
        <v>10.555</v>
      </c>
      <c r="D22" s="1342" t="s">
        <v>2171</v>
      </c>
      <c r="E22" s="1343">
        <v>194071</v>
      </c>
      <c r="F22" s="1343">
        <v>44732</v>
      </c>
      <c r="G22" s="1343">
        <v>194071</v>
      </c>
      <c r="H22" s="1343"/>
      <c r="I22" s="1343">
        <v>44732</v>
      </c>
      <c r="J22" s="1343"/>
      <c r="K22" s="1343"/>
      <c r="L22" s="1340">
        <f t="shared" si="0"/>
        <v>238803</v>
      </c>
      <c r="M22" s="1343" t="s">
        <v>2152</v>
      </c>
    </row>
    <row r="23" spans="2:14" ht="20.100000000000001" customHeight="1" x14ac:dyDescent="0.2">
      <c r="B23" s="1337" t="s">
        <v>2167</v>
      </c>
      <c r="C23" s="1341">
        <v>10.555</v>
      </c>
      <c r="D23" s="1342" t="s">
        <v>2172</v>
      </c>
      <c r="E23" s="1343"/>
      <c r="F23" s="1343">
        <v>232313</v>
      </c>
      <c r="G23" s="1343"/>
      <c r="H23" s="1343"/>
      <c r="I23" s="1343">
        <v>232313</v>
      </c>
      <c r="J23" s="1343"/>
      <c r="K23" s="1343"/>
      <c r="L23" s="1340">
        <f t="shared" si="0"/>
        <v>232313</v>
      </c>
      <c r="M23" s="1343" t="s">
        <v>2152</v>
      </c>
    </row>
    <row r="24" spans="2:14" ht="20.100000000000001" customHeight="1" x14ac:dyDescent="0.2">
      <c r="B24" s="1337" t="s">
        <v>2168</v>
      </c>
      <c r="C24" s="1341">
        <v>10.553000000000001</v>
      </c>
      <c r="D24" s="1342" t="s">
        <v>2173</v>
      </c>
      <c r="E24" s="1343">
        <v>21945</v>
      </c>
      <c r="F24" s="1343">
        <v>3038</v>
      </c>
      <c r="G24" s="1343">
        <v>21945</v>
      </c>
      <c r="H24" s="1343"/>
      <c r="I24" s="1343">
        <v>3038</v>
      </c>
      <c r="J24" s="1343"/>
      <c r="K24" s="1343"/>
      <c r="L24" s="1340">
        <f t="shared" si="0"/>
        <v>24983</v>
      </c>
      <c r="M24" s="1343" t="s">
        <v>2152</v>
      </c>
    </row>
    <row r="25" spans="2:14" ht="20.100000000000001" customHeight="1" x14ac:dyDescent="0.2">
      <c r="B25" s="1337" t="s">
        <v>2168</v>
      </c>
      <c r="C25" s="1341">
        <v>10.553000000000001</v>
      </c>
      <c r="D25" s="1342" t="s">
        <v>2174</v>
      </c>
      <c r="E25" s="1343"/>
      <c r="F25" s="1343">
        <v>25495</v>
      </c>
      <c r="G25" s="1343"/>
      <c r="H25" s="1343"/>
      <c r="I25" s="1343">
        <v>25495</v>
      </c>
      <c r="J25" s="1343"/>
      <c r="K25" s="1343"/>
      <c r="L25" s="1340">
        <v>25495</v>
      </c>
      <c r="M25" s="1343" t="s">
        <v>2152</v>
      </c>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t="s">
        <v>2169</v>
      </c>
      <c r="C27" s="1341"/>
      <c r="D27" s="1342"/>
      <c r="E27" s="1343"/>
      <c r="F27" s="1343">
        <f>SUM(F20:F25)</f>
        <v>348811</v>
      </c>
      <c r="G27" s="1343"/>
      <c r="H27" s="1343"/>
      <c r="I27" s="1343">
        <f>SUM(I20:I25)</f>
        <v>348811</v>
      </c>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I19" sqref="I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MUNDELEIN ELEMENTARY SCHOOL DISTRICT NO. 75</v>
      </c>
      <c r="C1" s="2464"/>
      <c r="D1" s="2464"/>
      <c r="E1" s="2464"/>
      <c r="F1" s="2464"/>
      <c r="G1" s="2464"/>
      <c r="H1" s="2464"/>
      <c r="I1" s="2464"/>
      <c r="J1" s="2464"/>
      <c r="K1" s="2464"/>
      <c r="L1" s="2464"/>
      <c r="M1" s="2464"/>
    </row>
    <row r="2" spans="2:14" ht="15" x14ac:dyDescent="0.2">
      <c r="B2" s="2453">
        <f>'Single Audit Cover'!E7</f>
        <v>34049075002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c r="M11" s="1340"/>
    </row>
    <row r="12" spans="2:14" ht="20.100000000000001" customHeight="1" x14ac:dyDescent="0.2">
      <c r="B12" s="1337" t="s">
        <v>2175</v>
      </c>
      <c r="C12" s="1341"/>
      <c r="D12" s="1342"/>
      <c r="E12" s="1343"/>
      <c r="F12" s="1343">
        <f>+' SEFA'!F26+' SEFA (2)'!F16+' SEFA (2)'!F27</f>
        <v>736704</v>
      </c>
      <c r="G12" s="1343"/>
      <c r="H12" s="1343"/>
      <c r="I12" s="1343">
        <f>+' SEFA'!I26+' SEFA (2)'!I16+' SEFA (2)'!I27</f>
        <v>736704</v>
      </c>
      <c r="J12" s="1343"/>
      <c r="K12" s="1343"/>
      <c r="L12" s="1340"/>
      <c r="M12" s="1343"/>
    </row>
    <row r="13" spans="2:14" ht="20.100000000000001" customHeight="1" x14ac:dyDescent="0.2">
      <c r="B13" s="1337"/>
      <c r="C13" s="1341"/>
      <c r="D13" s="1342"/>
      <c r="E13" s="1343"/>
      <c r="F13" s="1343"/>
      <c r="G13" s="1343"/>
      <c r="H13" s="1343"/>
      <c r="I13" s="1343"/>
      <c r="J13" s="1343"/>
      <c r="K13" s="1343"/>
      <c r="L13" s="1340"/>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c r="C15" s="1341"/>
      <c r="D15" s="1342"/>
      <c r="E15" s="1343"/>
      <c r="F15" s="1343"/>
      <c r="G15" s="1343"/>
      <c r="H15" s="1343"/>
      <c r="I15" s="1343"/>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E52" sqref="E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MUNDELEIN ELEMENTARY SCHOOL DISTRICT NO. 75</v>
      </c>
      <c r="C1" s="2472"/>
      <c r="D1" s="2472"/>
      <c r="E1" s="2472"/>
      <c r="F1" s="2472"/>
      <c r="G1" s="2472"/>
      <c r="H1" s="2472"/>
      <c r="I1" s="2472"/>
      <c r="J1" s="1422"/>
    </row>
    <row r="2" spans="2:10" s="317" customFormat="1" ht="12.75" customHeight="1" x14ac:dyDescent="0.2">
      <c r="B2" s="2473">
        <f>'Single Audit Cover'!E7</f>
        <v>34049075002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2176</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2075</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2075</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2075</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2075</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2075</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t="s">
        <v>2179</v>
      </c>
      <c r="E29" s="2478"/>
      <c r="F29" s="2478"/>
      <c r="G29" s="2478"/>
      <c r="H29" s="2478"/>
      <c r="I29" s="2478"/>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2075</v>
      </c>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79" t="s">
        <v>1852</v>
      </c>
      <c r="D37" s="2480"/>
      <c r="E37" s="2480"/>
      <c r="F37" s="2481"/>
      <c r="G37" s="2479" t="s">
        <v>1674</v>
      </c>
      <c r="H37" s="2480"/>
      <c r="I37" s="2481"/>
    </row>
    <row r="38" spans="2:9" ht="16.5" customHeight="1" x14ac:dyDescent="0.2">
      <c r="B38" s="1444" t="s">
        <v>2150</v>
      </c>
      <c r="C38" s="2467" t="s">
        <v>2147</v>
      </c>
      <c r="D38" s="2468"/>
      <c r="E38" s="2468"/>
      <c r="F38" s="2469"/>
      <c r="G38" s="2482">
        <v>14614</v>
      </c>
      <c r="H38" s="2483"/>
      <c r="I38" s="2484"/>
    </row>
    <row r="39" spans="2:9" ht="16.5" customHeight="1" x14ac:dyDescent="0.2">
      <c r="B39" s="1444" t="s">
        <v>2155</v>
      </c>
      <c r="C39" s="2467" t="s">
        <v>2148</v>
      </c>
      <c r="D39" s="2468"/>
      <c r="E39" s="2468"/>
      <c r="F39" s="2469"/>
      <c r="G39" s="2470">
        <v>196774</v>
      </c>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211388</v>
      </c>
      <c r="H43" s="2488"/>
      <c r="I43" s="2488"/>
    </row>
    <row r="44" spans="2:9" ht="12.75" customHeight="1" x14ac:dyDescent="0.2"/>
    <row r="45" spans="2:9" ht="12.75" customHeight="1" x14ac:dyDescent="0.2">
      <c r="B45" s="1435" t="s">
        <v>1949</v>
      </c>
      <c r="D45" s="2489">
        <v>736704</v>
      </c>
      <c r="E45" s="2490"/>
    </row>
    <row r="46" spans="2:9" ht="5.25" customHeight="1" x14ac:dyDescent="0.2">
      <c r="B46" s="1445"/>
      <c r="D46" s="1446"/>
      <c r="E46" s="1447"/>
    </row>
    <row r="47" spans="2:9" ht="12.75" customHeight="1" x14ac:dyDescent="0.2">
      <c r="B47" s="1300" t="s">
        <v>1676</v>
      </c>
      <c r="C47" s="1300"/>
      <c r="D47" s="1448">
        <f>+G43/D45</f>
        <v>0.2869374945704109</v>
      </c>
      <c r="E47" s="1449"/>
      <c r="F47" s="1450"/>
      <c r="I47" s="1451"/>
    </row>
    <row r="48" spans="2:9" ht="9.9499999999999993" customHeight="1" x14ac:dyDescent="0.2"/>
    <row r="49" spans="1:9" x14ac:dyDescent="0.2">
      <c r="B49" s="1368" t="s">
        <v>1335</v>
      </c>
      <c r="C49" s="1282"/>
      <c r="D49" s="1282"/>
      <c r="E49" s="2491">
        <v>750000</v>
      </c>
      <c r="F49" s="2491"/>
      <c r="G49" s="2491"/>
      <c r="H49" s="322"/>
    </row>
    <row r="51" spans="1:9" ht="13.5" customHeight="1" x14ac:dyDescent="0.2">
      <c r="B51" s="1368" t="s">
        <v>1334</v>
      </c>
      <c r="C51" s="1282"/>
      <c r="E51" s="1438" t="s">
        <v>2075</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MUNDELEIN ELEMENTARY SCHOOL DISTRICT NO. 75</v>
      </c>
      <c r="C1" s="2471"/>
      <c r="D1" s="2471"/>
      <c r="E1" s="2471"/>
      <c r="F1" s="2471"/>
      <c r="G1" s="2471"/>
      <c r="H1" s="2471"/>
      <c r="I1" s="2471"/>
      <c r="J1" s="2471"/>
      <c r="K1" s="2471"/>
      <c r="L1" s="1374"/>
      <c r="M1" s="1374"/>
    </row>
    <row r="2" spans="1:13" ht="12" customHeight="1" x14ac:dyDescent="0.2">
      <c r="B2" s="2473">
        <f>'Single Audit Cover'!E7</f>
        <v>34049075002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t="s">
        <v>2180</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MUNDELEIN ELEMENTARY SCHOOL DISTRICT NO. 75</v>
      </c>
      <c r="C1" s="2498"/>
      <c r="D1" s="2498"/>
      <c r="E1" s="2498"/>
      <c r="F1" s="2498"/>
      <c r="G1" s="2498"/>
      <c r="H1" s="2498"/>
      <c r="I1" s="2498"/>
      <c r="J1" s="2498"/>
      <c r="K1" s="2498"/>
      <c r="L1" s="1465"/>
    </row>
    <row r="2" spans="1:12" ht="12.75" customHeight="1" x14ac:dyDescent="0.2">
      <c r="B2" s="2499">
        <f>'Single Audit Cover'!E7</f>
        <v>34049075002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t="s">
        <v>2180</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36" sqref="D3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MUNDELEIN ELEMENTARY SCHOOL DISTRICT NO. 75</v>
      </c>
      <c r="C1" s="2471"/>
      <c r="D1" s="2471"/>
      <c r="E1" s="1491"/>
    </row>
    <row r="2" spans="2:5" s="1282" customFormat="1" ht="12.75" customHeight="1" x14ac:dyDescent="0.2">
      <c r="B2" s="2473">
        <f>'Single Audit Cover'!E7</f>
        <v>34049075002</v>
      </c>
      <c r="C2" s="2473"/>
      <c r="D2" s="2473"/>
      <c r="E2" s="1492"/>
    </row>
    <row r="3" spans="2:5" ht="12.75" customHeight="1" x14ac:dyDescent="0.2">
      <c r="B3" s="2494" t="s">
        <v>1867</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341697223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3.4835869999999998E-2</v>
      </c>
      <c r="E10" s="356" t="s">
        <v>1062</v>
      </c>
      <c r="F10" s="355">
        <v>3.2192200000000001E-3</v>
      </c>
      <c r="G10" s="356" t="s">
        <v>1062</v>
      </c>
      <c r="H10" s="355">
        <v>9.5113000000000001E-4</v>
      </c>
      <c r="I10" s="356" t="s">
        <v>1063</v>
      </c>
      <c r="J10" s="1754">
        <f>ROUND(D10+F10+H10,5)</f>
        <v>3.9010000000000003E-2</v>
      </c>
      <c r="K10" s="222"/>
      <c r="L10" s="355">
        <v>1.506E-5</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20134837</v>
      </c>
      <c r="E16" s="356"/>
      <c r="F16" s="1755">
        <f>SUM('Acct Summary 7-8'!C17,'Acct Summary 7-8'!D17,'Acct Summary 7-8'!F17)</f>
        <v>19264133</v>
      </c>
      <c r="G16" s="356"/>
      <c r="H16" s="1755">
        <f>SUM(D16-F16)</f>
        <v>870704</v>
      </c>
      <c r="I16" s="222"/>
      <c r="J16" s="1755">
        <f>SUM('Acct Summary 7-8'!C81,'Acct Summary 7-8'!D81,'Acct Summary 7-8'!F81,'Acct Summary 7-8'!I81)</f>
        <v>6948664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607</v>
      </c>
      <c r="D31" s="237" t="s">
        <v>1132</v>
      </c>
      <c r="E31" s="222"/>
      <c r="F31" s="222"/>
      <c r="G31" s="363"/>
      <c r="H31" s="1757">
        <f>IF(B31="X",(J7*0.069),IF(B32="X",(J7*0.138),"Enter x in a.or b."))</f>
        <v>23577108.387000002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12813419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5" sqref="A15:H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MUNDELEIN ELEMENTARY SCHOOL DISTRICT NO. 75</v>
      </c>
      <c r="E7" s="391"/>
      <c r="G7" s="252"/>
      <c r="H7" s="387"/>
      <c r="I7" s="387"/>
      <c r="J7" s="387"/>
      <c r="K7" s="387"/>
      <c r="L7" s="329"/>
      <c r="M7" s="329"/>
      <c r="N7" s="329"/>
      <c r="O7" s="329"/>
      <c r="P7" s="329"/>
    </row>
    <row r="8" spans="1:18" ht="12.75" x14ac:dyDescent="0.2">
      <c r="A8" s="329"/>
      <c r="B8" s="329"/>
      <c r="C8" s="389" t="s">
        <v>1187</v>
      </c>
      <c r="D8" s="392">
        <f>COVER!A13</f>
        <v>34049075002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6948664</v>
      </c>
      <c r="I12" s="404"/>
      <c r="J12" s="404"/>
      <c r="K12" s="405">
        <f>TRUNC((H12/H13*100000),5)/100000</f>
        <v>0.34510654340000002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20134837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19264133</v>
      </c>
      <c r="I17" s="404"/>
      <c r="J17" s="416"/>
      <c r="K17" s="405">
        <f>TRUNC((H17/H18*100000),5)/100000</f>
        <v>0.95675634220000005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20134837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16161028</v>
      </c>
      <c r="I24" s="422"/>
      <c r="J24" s="422"/>
      <c r="K24" s="423">
        <f>TRUNC(((H24/H25*100000)/100000),2)</f>
        <v>302.01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53511.480560000004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11330167.36885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12813419</v>
      </c>
      <c r="I32" s="420"/>
      <c r="J32" s="420"/>
      <c r="K32" s="423">
        <f>TRUNC(100-((((H32/H33*100))*100)/100),2)</f>
        <v>45.65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23577108.387000002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15" sqref="A15:H15"/>
      <selection pane="bottomLeft" activeCell="A15" sqref="A15:H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13848615</v>
      </c>
      <c r="D4" s="466">
        <v>368225</v>
      </c>
      <c r="E4" s="466">
        <v>2049845</v>
      </c>
      <c r="F4" s="466">
        <v>700997</v>
      </c>
      <c r="G4" s="466">
        <v>107312</v>
      </c>
      <c r="H4" s="466">
        <v>4926223</v>
      </c>
      <c r="I4" s="466">
        <v>1243191</v>
      </c>
      <c r="J4" s="467"/>
      <c r="K4" s="466"/>
      <c r="L4" s="466">
        <v>20620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208976</v>
      </c>
      <c r="D8" s="467">
        <f>110015+16228</f>
        <v>126243</v>
      </c>
      <c r="E8" s="467"/>
      <c r="F8" s="467"/>
      <c r="G8" s="478"/>
      <c r="H8" s="467"/>
      <c r="I8" s="474"/>
      <c r="J8" s="474"/>
      <c r="K8" s="479"/>
      <c r="L8" s="480"/>
      <c r="M8" s="468"/>
      <c r="N8" s="469"/>
    </row>
    <row r="9" spans="1:14" ht="13.5" customHeight="1" x14ac:dyDescent="0.2">
      <c r="A9" s="473" t="s">
        <v>288</v>
      </c>
      <c r="B9" s="470">
        <v>160</v>
      </c>
      <c r="C9" s="476"/>
      <c r="D9" s="467">
        <v>5319</v>
      </c>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38751</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14096342</v>
      </c>
      <c r="D13" s="1759">
        <f t="shared" ref="D13:L13" si="0">SUM(D4:D12)</f>
        <v>499787</v>
      </c>
      <c r="E13" s="1759">
        <f t="shared" si="0"/>
        <v>2049845</v>
      </c>
      <c r="F13" s="1759">
        <f t="shared" si="0"/>
        <v>700997</v>
      </c>
      <c r="G13" s="1759">
        <f t="shared" si="0"/>
        <v>107312</v>
      </c>
      <c r="H13" s="1759">
        <f t="shared" si="0"/>
        <v>4926223</v>
      </c>
      <c r="I13" s="1759">
        <f t="shared" si="0"/>
        <v>1243191</v>
      </c>
      <c r="J13" s="1759">
        <f t="shared" si="0"/>
        <v>0</v>
      </c>
      <c r="K13" s="1759">
        <f t="shared" si="0"/>
        <v>0</v>
      </c>
      <c r="L13" s="1759">
        <f t="shared" si="0"/>
        <v>20620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387375</v>
      </c>
      <c r="N16" s="484"/>
    </row>
    <row r="17" spans="1:14" s="485" customFormat="1" ht="12.75" customHeight="1" x14ac:dyDescent="0.2">
      <c r="A17" s="482" t="s">
        <v>1470</v>
      </c>
      <c r="B17" s="483">
        <v>230</v>
      </c>
      <c r="C17" s="477"/>
      <c r="D17" s="477"/>
      <c r="E17" s="477"/>
      <c r="F17" s="477"/>
      <c r="G17" s="477"/>
      <c r="H17" s="477"/>
      <c r="I17" s="477"/>
      <c r="J17" s="477"/>
      <c r="K17" s="477"/>
      <c r="L17" s="477"/>
      <c r="M17" s="467">
        <v>20744872</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2471252+113122</f>
        <v>2584374</v>
      </c>
      <c r="N19" s="484"/>
    </row>
    <row r="20" spans="1:14" s="485" customFormat="1" ht="12.75" customHeight="1" x14ac:dyDescent="0.2">
      <c r="A20" s="482" t="s">
        <v>1473</v>
      </c>
      <c r="B20" s="483">
        <v>260</v>
      </c>
      <c r="C20" s="477"/>
      <c r="D20" s="477"/>
      <c r="E20" s="477"/>
      <c r="F20" s="477"/>
      <c r="G20" s="477"/>
      <c r="H20" s="477"/>
      <c r="I20" s="477"/>
      <c r="J20" s="477"/>
      <c r="K20" s="477"/>
      <c r="L20" s="477"/>
      <c r="M20" s="467">
        <v>55325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1238229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11575190</v>
      </c>
    </row>
    <row r="23" spans="1:14" ht="13.5" customHeight="1" thickBot="1" x14ac:dyDescent="0.25">
      <c r="A23" s="1758" t="s">
        <v>664</v>
      </c>
      <c r="B23" s="1763"/>
      <c r="C23" s="468"/>
      <c r="D23" s="468"/>
      <c r="E23" s="468"/>
      <c r="F23" s="468"/>
      <c r="G23" s="468"/>
      <c r="H23" s="468"/>
      <c r="I23" s="468"/>
      <c r="J23" s="468"/>
      <c r="K23" s="468"/>
      <c r="L23" s="468"/>
      <c r="M23" s="1710">
        <f>SUM(M15:M22)</f>
        <v>23771946</v>
      </c>
      <c r="N23" s="1710">
        <f>SUM(N21:N22)</f>
        <v>12813419</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1575948</v>
      </c>
      <c r="D27" s="467">
        <v>40820</v>
      </c>
      <c r="E27" s="467">
        <v>200</v>
      </c>
      <c r="F27" s="467">
        <v>28406</v>
      </c>
      <c r="G27" s="467"/>
      <c r="H27" s="467">
        <v>41556</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22769</v>
      </c>
      <c r="D31" s="467"/>
      <c r="E31" s="467"/>
      <c r="F31" s="466"/>
      <c r="G31" s="467">
        <v>-7094</v>
      </c>
      <c r="H31" s="467"/>
      <c r="I31" s="467"/>
      <c r="J31" s="467"/>
      <c r="K31" s="467"/>
      <c r="L31" s="468"/>
      <c r="M31" s="468"/>
      <c r="N31" s="468"/>
    </row>
    <row r="32" spans="1:14" ht="13.5" customHeight="1" x14ac:dyDescent="0.2">
      <c r="A32" s="490" t="s">
        <v>673</v>
      </c>
      <c r="B32" s="491">
        <v>490</v>
      </c>
      <c r="C32" s="492">
        <v>7106257</v>
      </c>
      <c r="D32" s="492">
        <v>580885</v>
      </c>
      <c r="E32" s="474">
        <v>811416</v>
      </c>
      <c r="F32" s="474">
        <f>171625+62226</f>
        <v>233851</v>
      </c>
      <c r="G32" s="474">
        <v>97311</v>
      </c>
      <c r="H32" s="474"/>
      <c r="I32" s="474">
        <v>2717</v>
      </c>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20620</v>
      </c>
      <c r="M33" s="468"/>
      <c r="N33" s="469"/>
    </row>
    <row r="34" spans="1:14" ht="13.5" customHeight="1" thickBot="1" x14ac:dyDescent="0.25">
      <c r="A34" s="1760" t="s">
        <v>675</v>
      </c>
      <c r="B34" s="1761"/>
      <c r="C34" s="1762">
        <f>SUM(C25:C33)</f>
        <v>8704974</v>
      </c>
      <c r="D34" s="1762">
        <f t="shared" ref="D34:K34" si="1">SUM(D25:D33)</f>
        <v>621705</v>
      </c>
      <c r="E34" s="1762">
        <f t="shared" si="1"/>
        <v>811616</v>
      </c>
      <c r="F34" s="1762">
        <f t="shared" si="1"/>
        <v>262257</v>
      </c>
      <c r="G34" s="1762">
        <f t="shared" si="1"/>
        <v>90217</v>
      </c>
      <c r="H34" s="1762">
        <f t="shared" si="1"/>
        <v>41556</v>
      </c>
      <c r="I34" s="1762">
        <f t="shared" si="1"/>
        <v>2717</v>
      </c>
      <c r="J34" s="1762">
        <f t="shared" si="1"/>
        <v>0</v>
      </c>
      <c r="K34" s="1762">
        <f t="shared" si="1"/>
        <v>0</v>
      </c>
      <c r="L34" s="1743">
        <f>SUM(L33)</f>
        <v>20620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12813419</v>
      </c>
    </row>
    <row r="37" spans="1:14" ht="13.5" thickBot="1" x14ac:dyDescent="0.25">
      <c r="A37" s="1758" t="s">
        <v>674</v>
      </c>
      <c r="B37" s="1763"/>
      <c r="C37" s="477"/>
      <c r="D37" s="477"/>
      <c r="E37" s="477"/>
      <c r="F37" s="477"/>
      <c r="G37" s="477"/>
      <c r="H37" s="477"/>
      <c r="I37" s="477"/>
      <c r="J37" s="477"/>
      <c r="K37" s="477"/>
      <c r="L37" s="480"/>
      <c r="M37" s="468"/>
      <c r="N37" s="1710">
        <f>SUM(N36:N36)</f>
        <v>12813419</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5391368</v>
      </c>
      <c r="D39" s="466">
        <v>-121918</v>
      </c>
      <c r="E39" s="466">
        <v>1238229</v>
      </c>
      <c r="F39" s="466">
        <v>438740</v>
      </c>
      <c r="G39" s="466">
        <v>17095</v>
      </c>
      <c r="H39" s="466">
        <v>4884667</v>
      </c>
      <c r="I39" s="466">
        <v>1240474</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23771946</v>
      </c>
      <c r="N40" s="497"/>
    </row>
    <row r="41" spans="1:14" ht="13.5" customHeight="1" thickBot="1" x14ac:dyDescent="0.25">
      <c r="A41" s="1758" t="s">
        <v>676</v>
      </c>
      <c r="B41" s="1728"/>
      <c r="C41" s="1710">
        <f>(SUM(C34,C37,C38,C39))</f>
        <v>14096342</v>
      </c>
      <c r="D41" s="1710">
        <f t="shared" ref="D41:L41" si="2">SUM(D34,D37,D38:D39)</f>
        <v>499787</v>
      </c>
      <c r="E41" s="1710">
        <f t="shared" si="2"/>
        <v>2049845</v>
      </c>
      <c r="F41" s="1710">
        <f t="shared" si="2"/>
        <v>700997</v>
      </c>
      <c r="G41" s="1710">
        <f t="shared" si="2"/>
        <v>107312</v>
      </c>
      <c r="H41" s="1710">
        <f t="shared" si="2"/>
        <v>4926223</v>
      </c>
      <c r="I41" s="1710">
        <f t="shared" si="2"/>
        <v>1243191</v>
      </c>
      <c r="J41" s="1710">
        <f t="shared" si="2"/>
        <v>0</v>
      </c>
      <c r="K41" s="1710">
        <f t="shared" si="2"/>
        <v>0</v>
      </c>
      <c r="L41" s="1710">
        <f t="shared" si="2"/>
        <v>20620</v>
      </c>
      <c r="M41" s="1710">
        <f>SUM(M40)</f>
        <v>23771946</v>
      </c>
      <c r="N41" s="1710">
        <f>SUM(N37)</f>
        <v>12813419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5" sqref="A15:H15"/>
      <selection pane="bottomLeft" activeCell="D9" sqref="D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12864658</v>
      </c>
      <c r="D4" s="1764">
        <f>'Revenues 9-14'!D109</f>
        <v>2232312</v>
      </c>
      <c r="E4" s="1764">
        <f>'Revenues 9-14'!E109</f>
        <v>1508475</v>
      </c>
      <c r="F4" s="1764">
        <f>'Revenues 9-14'!F109</f>
        <v>330069</v>
      </c>
      <c r="G4" s="1764">
        <f>'Revenues 9-14'!G109</f>
        <v>226600</v>
      </c>
      <c r="H4" s="1764">
        <f>'Revenues 9-14'!H109</f>
        <v>358099</v>
      </c>
      <c r="I4" s="1764">
        <f>'Revenues 9-14'!I109</f>
        <v>18772</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3505009</v>
      </c>
      <c r="D6" s="1765">
        <f>'Revenues 9-14'!D173</f>
        <v>0</v>
      </c>
      <c r="E6" s="1765">
        <f>'Revenues 9-14'!E173</f>
        <v>0</v>
      </c>
      <c r="F6" s="1765">
        <f>'Revenues 9-14'!F173</f>
        <v>291058</v>
      </c>
      <c r="G6" s="1765">
        <f>'Revenues 9-14'!G173</f>
        <v>50000</v>
      </c>
      <c r="H6" s="1765">
        <f>'Revenues 9-14'!H173</f>
        <v>1125000</v>
      </c>
      <c r="I6" s="1765">
        <f>'Revenues 9-14'!I173</f>
        <v>0</v>
      </c>
      <c r="J6" s="1765">
        <f>'Revenues 9-14'!J173</f>
        <v>0</v>
      </c>
      <c r="K6" s="1765">
        <f>'Revenues 9-14'!K173</f>
        <v>0</v>
      </c>
      <c r="L6" s="347"/>
      <c r="M6" s="513"/>
    </row>
    <row r="7" spans="1:13" ht="15.75" customHeight="1" x14ac:dyDescent="0.2">
      <c r="A7" s="1598" t="s">
        <v>1582</v>
      </c>
      <c r="B7" s="1600">
        <v>4000</v>
      </c>
      <c r="C7" s="1765">
        <f>'Revenues 9-14'!C274</f>
        <v>892959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17262626</v>
      </c>
      <c r="D8" s="1710">
        <f t="shared" ref="D8:K8" si="0">SUM(D4:D7)</f>
        <v>2232312</v>
      </c>
      <c r="E8" s="1710">
        <f t="shared" si="0"/>
        <v>1508475</v>
      </c>
      <c r="F8" s="1710">
        <f t="shared" si="0"/>
        <v>621127</v>
      </c>
      <c r="G8" s="1710">
        <f t="shared" si="0"/>
        <v>276600</v>
      </c>
      <c r="H8" s="1710">
        <f t="shared" si="0"/>
        <v>1483099</v>
      </c>
      <c r="I8" s="1710">
        <f t="shared" si="0"/>
        <v>18772</v>
      </c>
      <c r="J8" s="1710">
        <f t="shared" si="0"/>
        <v>0</v>
      </c>
      <c r="K8" s="1710">
        <f t="shared" si="0"/>
        <v>0</v>
      </c>
      <c r="L8" s="347"/>
    </row>
    <row r="9" spans="1:13" ht="15.75" thickTop="1" x14ac:dyDescent="0.2">
      <c r="A9" s="514" t="s">
        <v>1752</v>
      </c>
      <c r="B9" s="515">
        <v>3998</v>
      </c>
      <c r="C9" s="481">
        <v>7154442</v>
      </c>
      <c r="D9" s="516"/>
      <c r="E9" s="481"/>
      <c r="F9" s="481"/>
      <c r="G9" s="517"/>
      <c r="H9" s="481"/>
      <c r="I9" s="509" t="s">
        <v>1231</v>
      </c>
      <c r="J9" s="478"/>
      <c r="K9" s="481"/>
      <c r="L9" s="347"/>
    </row>
    <row r="10" spans="1:13" s="519" customFormat="1" ht="13.5" thickBot="1" x14ac:dyDescent="0.25">
      <c r="A10" s="1758" t="s">
        <v>1235</v>
      </c>
      <c r="B10" s="1731"/>
      <c r="C10" s="1710">
        <f>SUM(C8:C9)</f>
        <v>24417068</v>
      </c>
      <c r="D10" s="1710">
        <f t="shared" ref="D10:K10" si="1">SUM(D8:D9)</f>
        <v>2232312</v>
      </c>
      <c r="E10" s="1710">
        <f t="shared" si="1"/>
        <v>1508475</v>
      </c>
      <c r="F10" s="1710">
        <f t="shared" si="1"/>
        <v>621127</v>
      </c>
      <c r="G10" s="1710">
        <f t="shared" si="1"/>
        <v>276600</v>
      </c>
      <c r="H10" s="1710">
        <f t="shared" si="1"/>
        <v>1483099</v>
      </c>
      <c r="I10" s="1710">
        <f t="shared" si="1"/>
        <v>18772</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10008576</v>
      </c>
      <c r="D12" s="520" t="s">
        <v>1231</v>
      </c>
      <c r="E12" s="468" t="s">
        <v>1231</v>
      </c>
      <c r="F12" s="468" t="s">
        <v>1231</v>
      </c>
      <c r="G12" s="1764">
        <f>'Expenditures 15-22'!K229</f>
        <v>166698</v>
      </c>
      <c r="H12" s="521"/>
      <c r="I12" s="468" t="s">
        <v>1231</v>
      </c>
      <c r="J12" s="468" t="s">
        <v>1231</v>
      </c>
      <c r="K12" s="521" t="s">
        <v>1231</v>
      </c>
      <c r="L12" s="347"/>
    </row>
    <row r="13" spans="1:13" ht="15.75" customHeight="1" x14ac:dyDescent="0.2">
      <c r="A13" s="1598" t="s">
        <v>477</v>
      </c>
      <c r="B13" s="1600">
        <v>2000</v>
      </c>
      <c r="C13" s="1765">
        <f>'Expenditures 15-22'!K74</f>
        <v>5298505</v>
      </c>
      <c r="D13" s="1765">
        <f>'Expenditures 15-22'!K129</f>
        <v>1748028</v>
      </c>
      <c r="E13" s="469" t="s">
        <v>1231</v>
      </c>
      <c r="F13" s="1765">
        <f>'Expenditures 15-22'!K184</f>
        <v>896484</v>
      </c>
      <c r="G13" s="1765">
        <f>'Expenditures 15-22'!K279</f>
        <v>276448</v>
      </c>
      <c r="H13" s="1765">
        <f>'Expenditures 15-22'!K303</f>
        <v>338786</v>
      </c>
      <c r="I13" s="468" t="s">
        <v>1231</v>
      </c>
      <c r="J13" s="1765">
        <f>'Expenditures 15-22'!K330</f>
        <v>0</v>
      </c>
      <c r="K13" s="1769">
        <f>'Expenditures 15-22'!K352</f>
        <v>0</v>
      </c>
      <c r="L13" s="347"/>
    </row>
    <row r="14" spans="1:13" ht="15.75" customHeight="1" x14ac:dyDescent="0.2">
      <c r="A14" s="1598" t="s">
        <v>469</v>
      </c>
      <c r="B14" s="1600">
        <v>3000</v>
      </c>
      <c r="C14" s="1765">
        <f>'Expenditures 15-22'!K75</f>
        <v>135350</v>
      </c>
      <c r="D14" s="1765">
        <f>'Expenditures 15-22'!K130</f>
        <v>0</v>
      </c>
      <c r="E14" s="520" t="s">
        <v>1231</v>
      </c>
      <c r="F14" s="1765">
        <f>'Expenditures 15-22'!K185</f>
        <v>0</v>
      </c>
      <c r="G14" s="1765">
        <f>'Expenditures 15-22'!K280</f>
        <v>4519</v>
      </c>
      <c r="H14" s="512"/>
      <c r="I14" s="468" t="s">
        <v>1231</v>
      </c>
      <c r="J14" s="468" t="s">
        <v>1231</v>
      </c>
      <c r="K14" s="512" t="s">
        <v>1231</v>
      </c>
      <c r="L14" s="347"/>
    </row>
    <row r="15" spans="1:13" ht="15.75" customHeight="1" x14ac:dyDescent="0.2">
      <c r="A15" s="1598" t="s">
        <v>109</v>
      </c>
      <c r="B15" s="1600">
        <v>4000</v>
      </c>
      <c r="C15" s="1765">
        <f>'Expenditures 15-22'!K102</f>
        <v>1109765</v>
      </c>
      <c r="D15" s="1765">
        <f>'Expenditures 15-22'!K139</f>
        <v>44786</v>
      </c>
      <c r="E15" s="1765">
        <f>'Expenditures 15-22'!K160</f>
        <v>0</v>
      </c>
      <c r="F15" s="1765">
        <f>'Expenditures 15-22'!K196</f>
        <v>22639</v>
      </c>
      <c r="G15" s="1765">
        <f>'Expenditures 15-22'!K285</f>
        <v>24264</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1614622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16552196</v>
      </c>
      <c r="D17" s="1710">
        <f t="shared" si="2"/>
        <v>1792814</v>
      </c>
      <c r="E17" s="1710">
        <f t="shared" si="2"/>
        <v>1614622</v>
      </c>
      <c r="F17" s="1710">
        <f t="shared" si="2"/>
        <v>919123</v>
      </c>
      <c r="G17" s="1710">
        <f t="shared" si="2"/>
        <v>471929</v>
      </c>
      <c r="H17" s="1710">
        <f t="shared" si="2"/>
        <v>338786</v>
      </c>
      <c r="I17" s="468"/>
      <c r="J17" s="1710">
        <f>SUM(J12:J16)</f>
        <v>0</v>
      </c>
      <c r="K17" s="1710">
        <f>SUM(K12:K16)</f>
        <v>0</v>
      </c>
      <c r="L17" s="347"/>
    </row>
    <row r="18" spans="1:12" ht="15" customHeight="1" thickTop="1" x14ac:dyDescent="0.2">
      <c r="A18" s="1766" t="s">
        <v>1753</v>
      </c>
      <c r="B18" s="1767">
        <v>4180</v>
      </c>
      <c r="C18" s="1764">
        <f t="shared" ref="C18:H18" si="3">C9</f>
        <v>7154442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23706638</v>
      </c>
      <c r="D19" s="1710">
        <f t="shared" si="4"/>
        <v>1792814</v>
      </c>
      <c r="E19" s="1710">
        <f t="shared" si="4"/>
        <v>1614622</v>
      </c>
      <c r="F19" s="1710">
        <f t="shared" si="4"/>
        <v>919123</v>
      </c>
      <c r="G19" s="1710">
        <f t="shared" si="4"/>
        <v>471929</v>
      </c>
      <c r="H19" s="1710">
        <f t="shared" si="4"/>
        <v>338786</v>
      </c>
      <c r="I19" s="468"/>
      <c r="J19" s="1710">
        <f>SUM(J17:J18)</f>
        <v>0</v>
      </c>
      <c r="K19" s="1710">
        <f>SUM(K17:K18)</f>
        <v>0</v>
      </c>
      <c r="L19" s="347"/>
    </row>
    <row r="20" spans="1:12" ht="16.5" thickTop="1" thickBot="1" x14ac:dyDescent="0.25">
      <c r="A20" s="2144" t="s">
        <v>1754</v>
      </c>
      <c r="B20" s="2145"/>
      <c r="C20" s="1768">
        <f>C8-C17</f>
        <v>710430</v>
      </c>
      <c r="D20" s="1768">
        <f t="shared" ref="D20:K20" si="5">D8-D17</f>
        <v>439498</v>
      </c>
      <c r="E20" s="1768">
        <f t="shared" si="5"/>
        <v>-106147</v>
      </c>
      <c r="F20" s="1768">
        <f t="shared" si="5"/>
        <v>-297996</v>
      </c>
      <c r="G20" s="1768">
        <f t="shared" si="5"/>
        <v>-195329</v>
      </c>
      <c r="H20" s="1768">
        <f t="shared" si="5"/>
        <v>1144313</v>
      </c>
      <c r="I20" s="1768">
        <f t="shared" si="5"/>
        <v>18772</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v>1475000</v>
      </c>
      <c r="F33" s="467"/>
      <c r="G33" s="477"/>
      <c r="H33" s="467">
        <v>3707000</v>
      </c>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1475000</v>
      </c>
      <c r="F44" s="1725">
        <f t="shared" si="6"/>
        <v>0</v>
      </c>
      <c r="G44" s="1725">
        <f t="shared" si="6"/>
        <v>0</v>
      </c>
      <c r="H44" s="1725">
        <f t="shared" si="6"/>
        <v>3707000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1429117</v>
      </c>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1429117</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45883</v>
      </c>
      <c r="F77" s="1725">
        <f t="shared" si="8"/>
        <v>0</v>
      </c>
      <c r="G77" s="1725">
        <f t="shared" si="8"/>
        <v>0</v>
      </c>
      <c r="H77" s="1725">
        <f t="shared" si="8"/>
        <v>3707000</v>
      </c>
      <c r="I77" s="1725">
        <f t="shared" si="8"/>
        <v>0</v>
      </c>
      <c r="J77" s="1725">
        <f t="shared" si="8"/>
        <v>0</v>
      </c>
      <c r="K77" s="1725">
        <f t="shared" si="8"/>
        <v>0</v>
      </c>
      <c r="L77" s="347"/>
    </row>
    <row r="78" spans="1:12" ht="21.75" customHeight="1" thickTop="1" thickBot="1" x14ac:dyDescent="0.25">
      <c r="A78" s="2140" t="s">
        <v>618</v>
      </c>
      <c r="B78" s="2141"/>
      <c r="C78" s="1724">
        <f t="shared" ref="C78:K78" si="9">C20+C77</f>
        <v>710430</v>
      </c>
      <c r="D78" s="1724">
        <f t="shared" si="9"/>
        <v>439498</v>
      </c>
      <c r="E78" s="1724">
        <f t="shared" si="9"/>
        <v>-60264</v>
      </c>
      <c r="F78" s="1724">
        <f t="shared" si="9"/>
        <v>-297996</v>
      </c>
      <c r="G78" s="1724">
        <f t="shared" si="9"/>
        <v>-195329</v>
      </c>
      <c r="H78" s="1724">
        <f t="shared" si="9"/>
        <v>4851313</v>
      </c>
      <c r="I78" s="1724">
        <f t="shared" si="9"/>
        <v>18772</v>
      </c>
      <c r="J78" s="1724">
        <f t="shared" si="9"/>
        <v>0</v>
      </c>
      <c r="K78" s="1724">
        <f t="shared" si="9"/>
        <v>0</v>
      </c>
      <c r="L78" s="533"/>
    </row>
    <row r="79" spans="1:12" ht="13.5" thickTop="1" x14ac:dyDescent="0.2">
      <c r="A79" s="1516" t="s">
        <v>2069</v>
      </c>
      <c r="B79" s="534"/>
      <c r="C79" s="478">
        <v>4680938</v>
      </c>
      <c r="D79" s="535">
        <v>-561416</v>
      </c>
      <c r="E79" s="535">
        <v>1298493</v>
      </c>
      <c r="F79" s="535">
        <v>736736</v>
      </c>
      <c r="G79" s="535">
        <v>212424</v>
      </c>
      <c r="H79" s="535">
        <v>33354</v>
      </c>
      <c r="I79" s="535">
        <v>1221702</v>
      </c>
      <c r="J79" s="535"/>
      <c r="K79" s="535"/>
      <c r="L79" s="347"/>
    </row>
    <row r="80" spans="1:12" x14ac:dyDescent="0.2">
      <c r="A80" s="2146" t="s">
        <v>1896</v>
      </c>
      <c r="B80" s="2147"/>
      <c r="C80" s="467"/>
      <c r="D80" s="467"/>
      <c r="E80" s="467"/>
      <c r="F80" s="467"/>
      <c r="G80" s="467"/>
      <c r="H80" s="467"/>
      <c r="I80" s="467"/>
      <c r="J80" s="467"/>
      <c r="K80" s="467"/>
      <c r="L80" s="347"/>
    </row>
    <row r="81" spans="1:12" ht="13.5" thickBot="1" x14ac:dyDescent="0.25">
      <c r="A81" s="2138" t="s">
        <v>2070</v>
      </c>
      <c r="B81" s="2139"/>
      <c r="C81" s="1710">
        <f>(SUM(C78:C80))</f>
        <v>5391368</v>
      </c>
      <c r="D81" s="1710">
        <f>SUM(D78:D80)</f>
        <v>-121918</v>
      </c>
      <c r="E81" s="1710">
        <f t="shared" ref="E81:K81" si="10">SUM(E78:E80)</f>
        <v>1238229</v>
      </c>
      <c r="F81" s="1710">
        <f t="shared" si="10"/>
        <v>438740</v>
      </c>
      <c r="G81" s="1710">
        <f t="shared" si="10"/>
        <v>17095</v>
      </c>
      <c r="H81" s="1710">
        <f t="shared" si="10"/>
        <v>4884667</v>
      </c>
      <c r="I81" s="1710">
        <f t="shared" si="10"/>
        <v>1240474</v>
      </c>
      <c r="J81" s="1710">
        <f t="shared" si="10"/>
        <v>0</v>
      </c>
      <c r="K81" s="1710">
        <f t="shared" si="10"/>
        <v>0</v>
      </c>
      <c r="L81" s="347"/>
    </row>
    <row r="82" spans="1:12" ht="0.75" customHeight="1" thickTop="1" thickBot="1" x14ac:dyDescent="0.25">
      <c r="A82" s="536" t="s">
        <v>361</v>
      </c>
      <c r="B82" s="537"/>
      <c r="C82" s="538">
        <f>(C81-C79)</f>
        <v>710430</v>
      </c>
      <c r="D82" s="538">
        <f t="shared" ref="D82:K82" si="11">(D81-D79)</f>
        <v>439498</v>
      </c>
      <c r="E82" s="538">
        <f t="shared" si="11"/>
        <v>-60264</v>
      </c>
      <c r="F82" s="538">
        <f t="shared" si="11"/>
        <v>-297996</v>
      </c>
      <c r="G82" s="538">
        <f t="shared" si="11"/>
        <v>-195329</v>
      </c>
      <c r="H82" s="538">
        <f t="shared" si="11"/>
        <v>4851313</v>
      </c>
      <c r="I82" s="538">
        <f t="shared" si="11"/>
        <v>18772</v>
      </c>
      <c r="J82" s="538">
        <f t="shared" si="11"/>
        <v>0</v>
      </c>
      <c r="K82" s="538">
        <f t="shared" si="11"/>
        <v>0</v>
      </c>
    </row>
    <row r="83" spans="1:12" ht="14.25" hidden="1" thickTop="1" thickBot="1" x14ac:dyDescent="0.25">
      <c r="A83" s="539" t="s">
        <v>362</v>
      </c>
      <c r="B83" s="464"/>
      <c r="C83" s="540">
        <f>C82/C81</f>
        <v>0.13177175069481437</v>
      </c>
      <c r="D83" s="540">
        <f t="shared" ref="D83:K83" si="12">D82/D81</f>
        <v>-3.6048655653800097</v>
      </c>
      <c r="E83" s="540">
        <f t="shared" si="12"/>
        <v>-4.8669511051671381E-2</v>
      </c>
      <c r="F83" s="540">
        <f t="shared" si="12"/>
        <v>-0.67920864293203265</v>
      </c>
      <c r="G83" s="540">
        <f t="shared" si="12"/>
        <v>-11.426089499853758</v>
      </c>
      <c r="H83" s="540">
        <f t="shared" si="12"/>
        <v>0.99317169420146756</v>
      </c>
      <c r="I83" s="540">
        <f t="shared" si="12"/>
        <v>1.5132924994800375E-2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5" sqref="A15:H15"/>
      <selection pane="bottomLeft" activeCell="K5" sqref="K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1903</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10925632</v>
      </c>
      <c r="D5" s="481">
        <v>1716237</v>
      </c>
      <c r="E5" s="466">
        <v>1491933</v>
      </c>
      <c r="F5" s="548">
        <v>320554</v>
      </c>
      <c r="G5" s="466">
        <v>5066</v>
      </c>
      <c r="H5" s="466"/>
      <c r="I5" s="466">
        <v>5135</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1246968</v>
      </c>
      <c r="D7" s="466"/>
      <c r="E7" s="468"/>
      <c r="F7" s="467"/>
      <c r="G7" s="467"/>
      <c r="H7" s="467"/>
      <c r="I7" s="468"/>
      <c r="J7" s="468"/>
      <c r="K7" s="468"/>
    </row>
    <row r="8" spans="1:12" x14ac:dyDescent="0.2">
      <c r="A8" s="463" t="s">
        <v>433</v>
      </c>
      <c r="B8" s="470">
        <v>1150</v>
      </c>
      <c r="C8" s="475"/>
      <c r="D8" s="475"/>
      <c r="E8" s="477"/>
      <c r="F8" s="477"/>
      <c r="G8" s="481">
        <v>140868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v>29125</v>
      </c>
      <c r="H11" s="466"/>
      <c r="I11" s="466"/>
      <c r="J11" s="467"/>
      <c r="K11" s="466"/>
      <c r="L11" s="552"/>
    </row>
    <row r="12" spans="1:12" ht="12.75" customHeight="1" thickBot="1" x14ac:dyDescent="0.25">
      <c r="A12" s="1727" t="s">
        <v>29</v>
      </c>
      <c r="B12" s="1728"/>
      <c r="C12" s="1729">
        <f t="shared" ref="C12:K12" si="0">SUM(C5:C11)</f>
        <v>12172600</v>
      </c>
      <c r="D12" s="1729">
        <f t="shared" si="0"/>
        <v>1716237</v>
      </c>
      <c r="E12" s="1729">
        <f t="shared" si="0"/>
        <v>1491933</v>
      </c>
      <c r="F12" s="1729">
        <f t="shared" si="0"/>
        <v>320554</v>
      </c>
      <c r="G12" s="1729">
        <f t="shared" si="0"/>
        <v>175059</v>
      </c>
      <c r="H12" s="1729">
        <f t="shared" si="0"/>
        <v>0</v>
      </c>
      <c r="I12" s="1729">
        <f t="shared" si="0"/>
        <v>5135</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v>50000</v>
      </c>
      <c r="H16" s="466">
        <v>45243</v>
      </c>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50000</v>
      </c>
      <c r="H18" s="1732">
        <f t="shared" si="1"/>
        <v>45243</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31</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31</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681</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681</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99155</v>
      </c>
      <c r="D65" s="466">
        <v>8904</v>
      </c>
      <c r="E65" s="466">
        <v>16542</v>
      </c>
      <c r="F65" s="467">
        <v>8834</v>
      </c>
      <c r="G65" s="466">
        <v>1541</v>
      </c>
      <c r="H65" s="466">
        <v>2691</v>
      </c>
      <c r="I65" s="466">
        <v>13637</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99155</v>
      </c>
      <c r="D67" s="1710">
        <f t="shared" ref="D67:K67" si="2">SUM(D65:D66)</f>
        <v>8904</v>
      </c>
      <c r="E67" s="1710">
        <f t="shared" si="2"/>
        <v>16542</v>
      </c>
      <c r="F67" s="1710">
        <f t="shared" si="2"/>
        <v>8834</v>
      </c>
      <c r="G67" s="1710">
        <f t="shared" si="2"/>
        <v>1541</v>
      </c>
      <c r="H67" s="1710">
        <f t="shared" si="2"/>
        <v>2691</v>
      </c>
      <c r="I67" s="1710">
        <f t="shared" si="2"/>
        <v>13637</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136504</v>
      </c>
      <c r="D69" s="468"/>
      <c r="E69" s="468"/>
      <c r="F69" s="468"/>
      <c r="G69" s="468"/>
      <c r="H69" s="468"/>
      <c r="I69" s="468"/>
      <c r="J69" s="468"/>
      <c r="K69" s="468"/>
    </row>
    <row r="70" spans="1:11" ht="12.75" customHeight="1" x14ac:dyDescent="0.2">
      <c r="A70" s="463" t="s">
        <v>1054</v>
      </c>
      <c r="B70" s="470">
        <v>1612</v>
      </c>
      <c r="C70" s="551">
        <v>18393</v>
      </c>
      <c r="D70" s="468"/>
      <c r="E70" s="468"/>
      <c r="F70" s="468"/>
      <c r="G70" s="468"/>
      <c r="H70" s="468"/>
      <c r="I70" s="468"/>
      <c r="J70" s="468"/>
      <c r="K70" s="468"/>
    </row>
    <row r="71" spans="1:11" ht="12.75" customHeight="1" x14ac:dyDescent="0.2">
      <c r="A71" s="463" t="s">
        <v>291</v>
      </c>
      <c r="B71" s="470">
        <v>1613</v>
      </c>
      <c r="C71" s="551">
        <v>47580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894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203371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26346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84731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111077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139456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13011</v>
      </c>
      <c r="D92" s="468"/>
      <c r="E92" s="468"/>
      <c r="F92" s="468"/>
      <c r="G92" s="468"/>
      <c r="H92" s="468"/>
      <c r="I92" s="468"/>
      <c r="J92" s="468"/>
      <c r="K92" s="468"/>
    </row>
    <row r="93" spans="1:11" ht="12.75" customHeight="1" thickBot="1" x14ac:dyDescent="0.25">
      <c r="A93" s="1730" t="s">
        <v>261</v>
      </c>
      <c r="B93" s="1731"/>
      <c r="C93" s="1710">
        <f>SUM(C84:C92)</f>
        <v>152467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359539</v>
      </c>
      <c r="E95" s="521"/>
      <c r="F95" s="521"/>
      <c r="G95" s="521"/>
      <c r="H95" s="521"/>
      <c r="I95" s="521"/>
      <c r="J95" s="521"/>
      <c r="K95" s="521"/>
    </row>
    <row r="96" spans="1:11" ht="12.75" customHeight="1" x14ac:dyDescent="0.2">
      <c r="A96" s="463" t="s">
        <v>409</v>
      </c>
      <c r="B96" s="470">
        <v>1920</v>
      </c>
      <c r="C96" s="551">
        <v>51226</v>
      </c>
      <c r="D96" s="551">
        <v>764</v>
      </c>
      <c r="E96" s="479"/>
      <c r="F96" s="478"/>
      <c r="G96" s="478"/>
      <c r="H96" s="478"/>
      <c r="I96" s="478"/>
      <c r="J96" s="478"/>
      <c r="K96" s="478"/>
    </row>
    <row r="97" spans="1:12" ht="12.75" customHeight="1" x14ac:dyDescent="0.2">
      <c r="A97" s="1517" t="s">
        <v>262</v>
      </c>
      <c r="B97" s="559">
        <v>1930</v>
      </c>
      <c r="C97" s="489"/>
      <c r="D97" s="467"/>
      <c r="E97" s="474"/>
      <c r="F97" s="467"/>
      <c r="G97" s="467"/>
      <c r="H97" s="467">
        <v>147146</v>
      </c>
      <c r="I97" s="467"/>
      <c r="J97" s="467"/>
      <c r="K97" s="467"/>
    </row>
    <row r="98" spans="1:12" ht="12.75" customHeight="1" x14ac:dyDescent="0.2">
      <c r="A98" s="463" t="s">
        <v>198</v>
      </c>
      <c r="B98" s="470">
        <v>1940</v>
      </c>
      <c r="C98" s="489">
        <v>56189</v>
      </c>
      <c r="D98" s="466"/>
      <c r="E98" s="512"/>
      <c r="F98" s="466"/>
      <c r="G98" s="512"/>
      <c r="H98" s="512"/>
      <c r="I98" s="510"/>
      <c r="J98" s="512"/>
      <c r="K98" s="512"/>
    </row>
    <row r="99" spans="1:12" ht="12.75" customHeight="1" x14ac:dyDescent="0.2">
      <c r="A99" s="463" t="s">
        <v>875</v>
      </c>
      <c r="B99" s="470">
        <v>1950</v>
      </c>
      <c r="C99" s="489"/>
      <c r="D99" s="466">
        <v>584</v>
      </c>
      <c r="E99" s="466"/>
      <c r="F99" s="466"/>
      <c r="G99" s="466"/>
      <c r="H99" s="466"/>
      <c r="I99" s="468"/>
      <c r="J99" s="467"/>
      <c r="K99" s="466"/>
    </row>
    <row r="100" spans="1:12" ht="12.75" customHeight="1" x14ac:dyDescent="0.2">
      <c r="A100" s="463" t="s">
        <v>263</v>
      </c>
      <c r="B100" s="470">
        <v>1960</v>
      </c>
      <c r="C100" s="489"/>
      <c r="D100" s="489"/>
      <c r="E100" s="489"/>
      <c r="F100" s="489"/>
      <c r="G100" s="489"/>
      <c r="H100" s="489">
        <v>93816</v>
      </c>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2317</v>
      </c>
      <c r="D104" s="466">
        <v>84690</v>
      </c>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13347</v>
      </c>
      <c r="D106" s="489">
        <v>20585</v>
      </c>
      <c r="E106" s="467"/>
      <c r="F106" s="467"/>
      <c r="G106" s="467"/>
      <c r="H106" s="467"/>
      <c r="I106" s="521"/>
      <c r="J106" s="467"/>
      <c r="K106" s="467"/>
    </row>
    <row r="107" spans="1:12" ht="12.75" customHeight="1" x14ac:dyDescent="0.2">
      <c r="A107" s="463" t="s">
        <v>80</v>
      </c>
      <c r="B107" s="470">
        <v>1999</v>
      </c>
      <c r="C107" s="551">
        <v>2878</v>
      </c>
      <c r="D107" s="466">
        <v>41009</v>
      </c>
      <c r="E107" s="466"/>
      <c r="F107" s="466"/>
      <c r="G107" s="466"/>
      <c r="H107" s="466">
        <v>69203</v>
      </c>
      <c r="I107" s="466"/>
      <c r="J107" s="467"/>
      <c r="K107" s="466"/>
    </row>
    <row r="108" spans="1:12" ht="12.75" customHeight="1" thickBot="1" x14ac:dyDescent="0.25">
      <c r="A108" s="1730" t="s">
        <v>508</v>
      </c>
      <c r="B108" s="1734"/>
      <c r="C108" s="1729">
        <f>SUM(C95:C107)</f>
        <v>125957</v>
      </c>
      <c r="D108" s="1729">
        <f t="shared" ref="D108:K108" si="3">SUM(D95:D107)</f>
        <v>507171</v>
      </c>
      <c r="E108" s="1729">
        <f t="shared" si="3"/>
        <v>0</v>
      </c>
      <c r="F108" s="1729">
        <f t="shared" si="3"/>
        <v>0</v>
      </c>
      <c r="G108" s="1729">
        <f t="shared" si="3"/>
        <v>0</v>
      </c>
      <c r="H108" s="1729">
        <f t="shared" si="3"/>
        <v>310165</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12864658</v>
      </c>
      <c r="D109" s="1737">
        <f t="shared" si="4"/>
        <v>2232312</v>
      </c>
      <c r="E109" s="1737">
        <f t="shared" si="4"/>
        <v>1508475</v>
      </c>
      <c r="F109" s="1737">
        <f t="shared" si="4"/>
        <v>330069</v>
      </c>
      <c r="G109" s="1737">
        <f t="shared" si="4"/>
        <v>226600</v>
      </c>
      <c r="H109" s="1737">
        <f t="shared" si="4"/>
        <v>358099</v>
      </c>
      <c r="I109" s="1737">
        <f t="shared" si="4"/>
        <v>18772</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2745565</v>
      </c>
      <c r="D117" s="481"/>
      <c r="E117" s="466"/>
      <c r="F117" s="481"/>
      <c r="G117" s="481">
        <v>50000</v>
      </c>
      <c r="H117" s="466">
        <v>1125000</v>
      </c>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2745565</v>
      </c>
      <c r="D121" s="1729">
        <f t="shared" si="5"/>
        <v>0</v>
      </c>
      <c r="E121" s="1729">
        <f t="shared" si="5"/>
        <v>0</v>
      </c>
      <c r="F121" s="1729">
        <f t="shared" si="5"/>
        <v>0</v>
      </c>
      <c r="G121" s="1729">
        <f t="shared" si="5"/>
        <v>50000</v>
      </c>
      <c r="H121" s="1729">
        <f t="shared" si="5"/>
        <v>1125000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96227</v>
      </c>
      <c r="D124" s="561"/>
      <c r="E124" s="468"/>
      <c r="F124" s="548"/>
      <c r="G124" s="468"/>
      <c r="H124" s="468"/>
      <c r="I124" s="468"/>
      <c r="J124" s="468"/>
      <c r="K124" s="468"/>
    </row>
    <row r="125" spans="1:11" ht="12.75" customHeight="1" x14ac:dyDescent="0.2">
      <c r="A125" s="463" t="s">
        <v>1521</v>
      </c>
      <c r="B125" s="562">
        <v>3105</v>
      </c>
      <c r="C125" s="466">
        <v>107594</v>
      </c>
      <c r="D125" s="561"/>
      <c r="E125" s="468"/>
      <c r="F125" s="466"/>
      <c r="G125" s="468"/>
      <c r="H125" s="468"/>
      <c r="I125" s="468"/>
      <c r="J125" s="468"/>
      <c r="K125" s="468"/>
    </row>
    <row r="126" spans="1:11" ht="12.75" customHeight="1" x14ac:dyDescent="0.2">
      <c r="A126" s="463" t="s">
        <v>922</v>
      </c>
      <c r="B126" s="562">
        <v>3110</v>
      </c>
      <c r="C126" s="551">
        <v>122247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9675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335743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74515</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74515</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3564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73883</v>
      </c>
      <c r="G151" s="467"/>
      <c r="H151" s="468"/>
      <c r="I151" s="468"/>
      <c r="J151" s="468"/>
      <c r="K151" s="468"/>
    </row>
    <row r="152" spans="1:11" ht="12.75" customHeight="1" x14ac:dyDescent="0.2">
      <c r="A152" s="463" t="s">
        <v>1117</v>
      </c>
      <c r="B152" s="562">
        <v>3510</v>
      </c>
      <c r="C152" s="551"/>
      <c r="D152" s="466"/>
      <c r="E152" s="561"/>
      <c r="F152" s="466">
        <v>217175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291058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343461</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2161</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759444</v>
      </c>
      <c r="D172" s="1744">
        <f t="shared" si="6"/>
        <v>0</v>
      </c>
      <c r="E172" s="1744">
        <f t="shared" si="6"/>
        <v>0</v>
      </c>
      <c r="F172" s="1744">
        <f t="shared" si="6"/>
        <v>291058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3505009</v>
      </c>
      <c r="D173" s="1737">
        <f>SUM(D121,D172)</f>
        <v>0</v>
      </c>
      <c r="E173" s="1737">
        <f>SUM(E121,E172)</f>
        <v>0</v>
      </c>
      <c r="F173" s="1737">
        <f t="shared" ref="F173:K173" si="7">SUM(F121,F172)</f>
        <v>291058</v>
      </c>
      <c r="G173" s="1737">
        <f t="shared" si="7"/>
        <v>50000</v>
      </c>
      <c r="H173" s="1737">
        <f t="shared" si="7"/>
        <v>1125000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1904</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277045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28533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305578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87128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87128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14614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196774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211388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22781</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27657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38939</v>
      </c>
      <c r="D270" s="576"/>
      <c r="E270" s="468"/>
      <c r="F270" s="576"/>
      <c r="G270" s="576"/>
      <c r="H270" s="468"/>
      <c r="I270" s="468"/>
      <c r="J270" s="468"/>
      <c r="K270" s="468"/>
    </row>
    <row r="271" spans="1:11" ht="12.75" customHeight="1" thickTop="1" thickBot="1" x14ac:dyDescent="0.25">
      <c r="A271" s="463" t="s">
        <v>395</v>
      </c>
      <c r="B271" s="470">
        <v>4992</v>
      </c>
      <c r="C271" s="575">
        <v>199488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892959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892959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17262626</v>
      </c>
      <c r="D275" s="1737">
        <f t="shared" si="12"/>
        <v>2232312</v>
      </c>
      <c r="E275" s="1737">
        <f t="shared" si="12"/>
        <v>1508475</v>
      </c>
      <c r="F275" s="1737">
        <f t="shared" si="12"/>
        <v>621127</v>
      </c>
      <c r="G275" s="1737">
        <f t="shared" si="12"/>
        <v>276600</v>
      </c>
      <c r="H275" s="1737">
        <f t="shared" si="12"/>
        <v>1483099</v>
      </c>
      <c r="I275" s="1737">
        <f t="shared" si="12"/>
        <v>18772</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1" activePane="bottomLeft" state="frozen"/>
      <selection activeCell="A15" sqref="A15:H15"/>
      <selection pane="bottomLeft" activeCell="L123" sqref="L1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4733807</v>
      </c>
      <c r="D5" s="466">
        <v>748026</v>
      </c>
      <c r="E5" s="466">
        <v>43744</v>
      </c>
      <c r="F5" s="466">
        <v>422698</v>
      </c>
      <c r="G5" s="466">
        <v>4699</v>
      </c>
      <c r="H5" s="466">
        <v>1103</v>
      </c>
      <c r="I5" s="467">
        <v>7580</v>
      </c>
      <c r="J5" s="467">
        <v>247797</v>
      </c>
      <c r="K5" s="1693">
        <f>SUM(C5:J5)</f>
        <v>6209454</v>
      </c>
      <c r="L5" s="466">
        <v>7473631</v>
      </c>
    </row>
    <row r="6" spans="1:14" x14ac:dyDescent="0.2">
      <c r="A6" s="1526" t="s">
        <v>1508</v>
      </c>
      <c r="B6" s="615" t="s">
        <v>1506</v>
      </c>
      <c r="C6" s="477"/>
      <c r="D6" s="477"/>
      <c r="E6" s="466"/>
      <c r="F6" s="477"/>
      <c r="G6" s="477"/>
      <c r="H6" s="477"/>
      <c r="I6" s="477"/>
      <c r="J6" s="477"/>
      <c r="K6" s="1693">
        <f>SUM(C6,E6)</f>
        <v>0</v>
      </c>
      <c r="L6" s="466">
        <v>3178</v>
      </c>
    </row>
    <row r="7" spans="1:14" x14ac:dyDescent="0.2">
      <c r="A7" s="1526" t="s">
        <v>165</v>
      </c>
      <c r="B7" s="615" t="s">
        <v>1024</v>
      </c>
      <c r="C7" s="467">
        <v>140497</v>
      </c>
      <c r="D7" s="467">
        <v>30149</v>
      </c>
      <c r="E7" s="467">
        <v>2363</v>
      </c>
      <c r="F7" s="467">
        <v>14638</v>
      </c>
      <c r="G7" s="467"/>
      <c r="H7" s="467"/>
      <c r="I7" s="467"/>
      <c r="J7" s="467"/>
      <c r="K7" s="1693">
        <f t="shared" ref="K7:K32" si="0">SUM(C7:J7)</f>
        <v>187647</v>
      </c>
      <c r="L7" s="466">
        <v>196501</v>
      </c>
    </row>
    <row r="8" spans="1:14" x14ac:dyDescent="0.2">
      <c r="A8" s="1526" t="s">
        <v>166</v>
      </c>
      <c r="B8" s="615">
        <v>1200</v>
      </c>
      <c r="C8" s="466">
        <v>962635</v>
      </c>
      <c r="D8" s="466">
        <v>160601</v>
      </c>
      <c r="E8" s="466">
        <v>40131</v>
      </c>
      <c r="F8" s="466">
        <v>61274</v>
      </c>
      <c r="G8" s="466"/>
      <c r="H8" s="466"/>
      <c r="I8" s="467"/>
      <c r="J8" s="467"/>
      <c r="K8" s="1693">
        <f t="shared" si="0"/>
        <v>1224641</v>
      </c>
      <c r="L8" s="466">
        <v>1243227</v>
      </c>
    </row>
    <row r="9" spans="1:14" x14ac:dyDescent="0.2">
      <c r="A9" s="1526" t="s">
        <v>745</v>
      </c>
      <c r="B9" s="615" t="s">
        <v>1025</v>
      </c>
      <c r="C9" s="467">
        <v>179364</v>
      </c>
      <c r="D9" s="467">
        <v>69036</v>
      </c>
      <c r="E9" s="467"/>
      <c r="F9" s="467"/>
      <c r="G9" s="467"/>
      <c r="H9" s="467"/>
      <c r="I9" s="467"/>
      <c r="J9" s="467"/>
      <c r="K9" s="1693">
        <f t="shared" si="0"/>
        <v>248400</v>
      </c>
      <c r="L9" s="466">
        <v>264200</v>
      </c>
    </row>
    <row r="10" spans="1:14" x14ac:dyDescent="0.2">
      <c r="A10" s="1526" t="s">
        <v>746</v>
      </c>
      <c r="B10" s="615">
        <v>1250</v>
      </c>
      <c r="C10" s="466">
        <v>162661</v>
      </c>
      <c r="D10" s="466">
        <v>26120</v>
      </c>
      <c r="E10" s="466">
        <v>5140</v>
      </c>
      <c r="F10" s="466"/>
      <c r="G10" s="466"/>
      <c r="H10" s="466"/>
      <c r="I10" s="467"/>
      <c r="J10" s="467"/>
      <c r="K10" s="1693">
        <f t="shared" si="0"/>
        <v>193921</v>
      </c>
      <c r="L10" s="466">
        <v>191430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82872</v>
      </c>
      <c r="D14" s="466">
        <v>5194</v>
      </c>
      <c r="E14" s="466">
        <v>4329</v>
      </c>
      <c r="F14" s="466">
        <v>30555</v>
      </c>
      <c r="G14" s="466"/>
      <c r="H14" s="466"/>
      <c r="I14" s="467"/>
      <c r="J14" s="467"/>
      <c r="K14" s="1693">
        <f t="shared" si="0"/>
        <v>122950</v>
      </c>
      <c r="L14" s="466">
        <v>124845</v>
      </c>
    </row>
    <row r="15" spans="1:14" x14ac:dyDescent="0.2">
      <c r="A15" s="1526" t="s">
        <v>1021</v>
      </c>
      <c r="B15" s="615">
        <v>1600</v>
      </c>
      <c r="C15" s="466">
        <v>6397</v>
      </c>
      <c r="D15" s="466">
        <v>451</v>
      </c>
      <c r="E15" s="466"/>
      <c r="F15" s="466">
        <v>6947</v>
      </c>
      <c r="G15" s="466"/>
      <c r="H15" s="466"/>
      <c r="I15" s="467"/>
      <c r="J15" s="467"/>
      <c r="K15" s="1693">
        <f t="shared" si="0"/>
        <v>13795</v>
      </c>
      <c r="L15" s="466">
        <v>5560</v>
      </c>
    </row>
    <row r="16" spans="1:14" x14ac:dyDescent="0.2">
      <c r="A16" s="1526" t="s">
        <v>1044</v>
      </c>
      <c r="B16" s="615" t="s">
        <v>444</v>
      </c>
      <c r="C16" s="466">
        <v>63974</v>
      </c>
      <c r="D16" s="466">
        <v>9732</v>
      </c>
      <c r="E16" s="466">
        <v>1600</v>
      </c>
      <c r="F16" s="466"/>
      <c r="G16" s="466"/>
      <c r="H16" s="466"/>
      <c r="I16" s="467"/>
      <c r="J16" s="467"/>
      <c r="K16" s="1693">
        <f t="shared" si="0"/>
        <v>75306</v>
      </c>
      <c r="L16" s="466">
        <v>75800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1048186</v>
      </c>
      <c r="D18" s="466">
        <v>168833</v>
      </c>
      <c r="E18" s="466">
        <v>31390</v>
      </c>
      <c r="F18" s="466">
        <v>164024</v>
      </c>
      <c r="G18" s="466"/>
      <c r="H18" s="466"/>
      <c r="I18" s="467"/>
      <c r="J18" s="467"/>
      <c r="K18" s="1693">
        <f t="shared" si="0"/>
        <v>1412433</v>
      </c>
      <c r="L18" s="466">
        <v>1428140</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320029</v>
      </c>
      <c r="I22" s="617"/>
      <c r="J22" s="477"/>
      <c r="K22" s="1693">
        <f t="shared" si="0"/>
        <v>320029</v>
      </c>
      <c r="L22" s="471">
        <v>310000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7380393</v>
      </c>
      <c r="D33" s="1692">
        <f t="shared" ref="D33:L33" si="1">SUM(D5:D32)</f>
        <v>1218142</v>
      </c>
      <c r="E33" s="1692">
        <f t="shared" si="1"/>
        <v>128697</v>
      </c>
      <c r="F33" s="1692">
        <f t="shared" si="1"/>
        <v>700136</v>
      </c>
      <c r="G33" s="1692">
        <f t="shared" si="1"/>
        <v>4699</v>
      </c>
      <c r="H33" s="1692">
        <f t="shared" si="1"/>
        <v>321132</v>
      </c>
      <c r="I33" s="1692">
        <f t="shared" si="1"/>
        <v>7580</v>
      </c>
      <c r="J33" s="1692">
        <f t="shared" si="1"/>
        <v>247797</v>
      </c>
      <c r="K33" s="1692">
        <f t="shared" si="1"/>
        <v>10008576</v>
      </c>
      <c r="L33" s="1692">
        <f t="shared" si="1"/>
        <v>11316512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288702</v>
      </c>
      <c r="D36" s="481">
        <v>63541</v>
      </c>
      <c r="E36" s="481">
        <v>1142</v>
      </c>
      <c r="F36" s="481">
        <v>303</v>
      </c>
      <c r="G36" s="481">
        <v>1311</v>
      </c>
      <c r="H36" s="481">
        <v>776</v>
      </c>
      <c r="I36" s="467"/>
      <c r="J36" s="467"/>
      <c r="K36" s="1693">
        <f t="shared" ref="K36:K41" si="2">SUM(C36:J36)</f>
        <v>355775</v>
      </c>
      <c r="L36" s="466">
        <v>361249</v>
      </c>
    </row>
    <row r="37" spans="1:14" x14ac:dyDescent="0.2">
      <c r="A37" s="1526" t="s">
        <v>1151</v>
      </c>
      <c r="B37" s="615">
        <v>2120</v>
      </c>
      <c r="C37" s="466">
        <v>53123</v>
      </c>
      <c r="D37" s="466">
        <v>13240</v>
      </c>
      <c r="E37" s="466"/>
      <c r="F37" s="466"/>
      <c r="G37" s="466"/>
      <c r="H37" s="466"/>
      <c r="I37" s="467"/>
      <c r="J37" s="467"/>
      <c r="K37" s="1693">
        <f t="shared" si="2"/>
        <v>66363</v>
      </c>
      <c r="L37" s="466">
        <v>66800</v>
      </c>
    </row>
    <row r="38" spans="1:14" x14ac:dyDescent="0.2">
      <c r="A38" s="1526" t="s">
        <v>207</v>
      </c>
      <c r="B38" s="615">
        <v>2130</v>
      </c>
      <c r="C38" s="466">
        <v>106222</v>
      </c>
      <c r="D38" s="466">
        <v>30238</v>
      </c>
      <c r="E38" s="466">
        <v>15357</v>
      </c>
      <c r="F38" s="466">
        <v>5498</v>
      </c>
      <c r="G38" s="466"/>
      <c r="H38" s="466"/>
      <c r="I38" s="467"/>
      <c r="J38" s="467"/>
      <c r="K38" s="1693">
        <f t="shared" si="2"/>
        <v>157315</v>
      </c>
      <c r="L38" s="466">
        <v>147909</v>
      </c>
    </row>
    <row r="39" spans="1:14" x14ac:dyDescent="0.2">
      <c r="A39" s="1526" t="s">
        <v>208</v>
      </c>
      <c r="B39" s="615">
        <v>2140</v>
      </c>
      <c r="C39" s="466">
        <v>165117</v>
      </c>
      <c r="D39" s="466">
        <v>27814</v>
      </c>
      <c r="E39" s="466">
        <v>9265</v>
      </c>
      <c r="F39" s="466">
        <v>931</v>
      </c>
      <c r="G39" s="466"/>
      <c r="H39" s="466"/>
      <c r="I39" s="467"/>
      <c r="J39" s="467"/>
      <c r="K39" s="1693">
        <f t="shared" si="2"/>
        <v>203127</v>
      </c>
      <c r="L39" s="466">
        <v>206053</v>
      </c>
    </row>
    <row r="40" spans="1:14" x14ac:dyDescent="0.2">
      <c r="A40" s="1526" t="s">
        <v>209</v>
      </c>
      <c r="B40" s="615">
        <v>2150</v>
      </c>
      <c r="C40" s="466">
        <v>348044</v>
      </c>
      <c r="D40" s="466">
        <v>42711</v>
      </c>
      <c r="E40" s="466">
        <v>66649</v>
      </c>
      <c r="F40" s="466">
        <v>3641</v>
      </c>
      <c r="G40" s="466"/>
      <c r="H40" s="466">
        <v>1650</v>
      </c>
      <c r="I40" s="467"/>
      <c r="J40" s="467"/>
      <c r="K40" s="1693">
        <f t="shared" si="2"/>
        <v>462695</v>
      </c>
      <c r="L40" s="466">
        <v>464548</v>
      </c>
    </row>
    <row r="41" spans="1:14" x14ac:dyDescent="0.2">
      <c r="A41" s="1526" t="s">
        <v>1768</v>
      </c>
      <c r="B41" s="615">
        <v>2190</v>
      </c>
      <c r="C41" s="466">
        <v>89005</v>
      </c>
      <c r="D41" s="466">
        <v>14821</v>
      </c>
      <c r="E41" s="466">
        <v>440</v>
      </c>
      <c r="F41" s="466"/>
      <c r="G41" s="466"/>
      <c r="H41" s="466"/>
      <c r="I41" s="467"/>
      <c r="J41" s="467"/>
      <c r="K41" s="1693">
        <f t="shared" si="2"/>
        <v>104266</v>
      </c>
      <c r="L41" s="466">
        <v>104540</v>
      </c>
    </row>
    <row r="42" spans="1:14" ht="12.75" customHeight="1" thickBot="1" x14ac:dyDescent="0.25">
      <c r="A42" s="1690" t="s">
        <v>581</v>
      </c>
      <c r="B42" s="1691" t="s">
        <v>740</v>
      </c>
      <c r="C42" s="1692">
        <f>SUM(C36:C41)</f>
        <v>1050213</v>
      </c>
      <c r="D42" s="1692">
        <f t="shared" ref="D42:L42" si="3">SUM(D36:D41)</f>
        <v>192365</v>
      </c>
      <c r="E42" s="1692">
        <f t="shared" si="3"/>
        <v>92853</v>
      </c>
      <c r="F42" s="1692">
        <f t="shared" si="3"/>
        <v>10373</v>
      </c>
      <c r="G42" s="1692">
        <f t="shared" si="3"/>
        <v>1311</v>
      </c>
      <c r="H42" s="1692">
        <f t="shared" si="3"/>
        <v>2426</v>
      </c>
      <c r="I42" s="1692">
        <f t="shared" si="3"/>
        <v>0</v>
      </c>
      <c r="J42" s="1692">
        <f t="shared" si="3"/>
        <v>0</v>
      </c>
      <c r="K42" s="1692">
        <f t="shared" si="3"/>
        <v>1349541</v>
      </c>
      <c r="L42" s="1692">
        <f t="shared" si="3"/>
        <v>1351099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209386</v>
      </c>
      <c r="D44" s="481">
        <v>60739</v>
      </c>
      <c r="E44" s="481">
        <v>121440</v>
      </c>
      <c r="F44" s="481">
        <v>11536</v>
      </c>
      <c r="G44" s="481"/>
      <c r="H44" s="481">
        <v>230</v>
      </c>
      <c r="I44" s="467"/>
      <c r="J44" s="467"/>
      <c r="K44" s="1694">
        <f>SUM(C44:J44)</f>
        <v>403331</v>
      </c>
      <c r="L44" s="481">
        <v>408759</v>
      </c>
    </row>
    <row r="45" spans="1:14" x14ac:dyDescent="0.2">
      <c r="A45" s="1526" t="s">
        <v>869</v>
      </c>
      <c r="B45" s="615">
        <v>2220</v>
      </c>
      <c r="C45" s="466">
        <v>401543</v>
      </c>
      <c r="D45" s="466">
        <v>67279</v>
      </c>
      <c r="E45" s="466">
        <v>11328</v>
      </c>
      <c r="F45" s="466">
        <v>15624</v>
      </c>
      <c r="G45" s="466"/>
      <c r="H45" s="466"/>
      <c r="I45" s="467"/>
      <c r="J45" s="467"/>
      <c r="K45" s="1694">
        <f>SUM(C45:J45)</f>
        <v>495774</v>
      </c>
      <c r="L45" s="466">
        <v>655111</v>
      </c>
    </row>
    <row r="46" spans="1:14" x14ac:dyDescent="0.2">
      <c r="A46" s="1526" t="s">
        <v>870</v>
      </c>
      <c r="B46" s="615">
        <v>2230</v>
      </c>
      <c r="C46" s="466">
        <v>2024</v>
      </c>
      <c r="D46" s="466">
        <v>33</v>
      </c>
      <c r="E46" s="466">
        <v>50703</v>
      </c>
      <c r="F46" s="466">
        <v>2049</v>
      </c>
      <c r="G46" s="466"/>
      <c r="H46" s="466"/>
      <c r="I46" s="467"/>
      <c r="J46" s="467"/>
      <c r="K46" s="1694">
        <f>SUM(C46:J46)</f>
        <v>54809</v>
      </c>
      <c r="L46" s="466">
        <v>55751</v>
      </c>
    </row>
    <row r="47" spans="1:14" ht="12.75" customHeight="1" thickBot="1" x14ac:dyDescent="0.25">
      <c r="A47" s="1690" t="s">
        <v>582</v>
      </c>
      <c r="B47" s="1691" t="s">
        <v>32</v>
      </c>
      <c r="C47" s="1692">
        <f>SUM(C44:C46)</f>
        <v>612953</v>
      </c>
      <c r="D47" s="1692">
        <f t="shared" ref="D47:K47" si="4">SUM(D44:D46)</f>
        <v>128051</v>
      </c>
      <c r="E47" s="1692">
        <f t="shared" si="4"/>
        <v>183471</v>
      </c>
      <c r="F47" s="1692">
        <f t="shared" si="4"/>
        <v>29209</v>
      </c>
      <c r="G47" s="1692">
        <f t="shared" si="4"/>
        <v>0</v>
      </c>
      <c r="H47" s="1692">
        <f t="shared" si="4"/>
        <v>230</v>
      </c>
      <c r="I47" s="1692">
        <f t="shared" si="4"/>
        <v>0</v>
      </c>
      <c r="J47" s="1692">
        <f t="shared" si="4"/>
        <v>0</v>
      </c>
      <c r="K47" s="1692">
        <f t="shared" si="4"/>
        <v>953914</v>
      </c>
      <c r="L47" s="1692">
        <f>SUM(L44:L46)</f>
        <v>1119621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33556</v>
      </c>
      <c r="D49" s="481">
        <v>2019</v>
      </c>
      <c r="E49" s="481">
        <v>24431</v>
      </c>
      <c r="F49" s="481">
        <v>3387</v>
      </c>
      <c r="G49" s="481"/>
      <c r="H49" s="481">
        <v>5395</v>
      </c>
      <c r="I49" s="467"/>
      <c r="J49" s="467"/>
      <c r="K49" s="1694">
        <f>SUM(C49:J49)</f>
        <v>68788</v>
      </c>
      <c r="L49" s="481">
        <v>70903</v>
      </c>
    </row>
    <row r="50" spans="1:14" x14ac:dyDescent="0.2">
      <c r="A50" s="1526" t="s">
        <v>872</v>
      </c>
      <c r="B50" s="615">
        <v>2320</v>
      </c>
      <c r="C50" s="466">
        <v>200605</v>
      </c>
      <c r="D50" s="466">
        <v>54787</v>
      </c>
      <c r="E50" s="466">
        <v>2473</v>
      </c>
      <c r="F50" s="466">
        <v>2279</v>
      </c>
      <c r="G50" s="466"/>
      <c r="H50" s="466">
        <v>2758</v>
      </c>
      <c r="I50" s="467"/>
      <c r="J50" s="467"/>
      <c r="K50" s="1694">
        <f>SUM(C50:J50)</f>
        <v>262902</v>
      </c>
      <c r="L50" s="466">
        <v>267270</v>
      </c>
    </row>
    <row r="51" spans="1:14" x14ac:dyDescent="0.2">
      <c r="A51" s="1526" t="s">
        <v>44</v>
      </c>
      <c r="B51" s="615">
        <v>2330</v>
      </c>
      <c r="C51" s="466">
        <v>190586</v>
      </c>
      <c r="D51" s="466">
        <v>34460</v>
      </c>
      <c r="E51" s="466">
        <v>8092</v>
      </c>
      <c r="F51" s="466">
        <v>894</v>
      </c>
      <c r="G51" s="466"/>
      <c r="H51" s="466">
        <v>314</v>
      </c>
      <c r="I51" s="467">
        <v>1418</v>
      </c>
      <c r="J51" s="467"/>
      <c r="K51" s="1694">
        <f>SUM(C51:J51)</f>
        <v>235764</v>
      </c>
      <c r="L51" s="466">
        <v>239666</v>
      </c>
    </row>
    <row r="52" spans="1:14" ht="22.5" x14ac:dyDescent="0.2">
      <c r="A52" s="1527" t="s">
        <v>316</v>
      </c>
      <c r="B52" s="628" t="s">
        <v>384</v>
      </c>
      <c r="C52" s="474"/>
      <c r="D52" s="474">
        <v>86164</v>
      </c>
      <c r="E52" s="474">
        <v>132491</v>
      </c>
      <c r="F52" s="474"/>
      <c r="G52" s="474"/>
      <c r="H52" s="474"/>
      <c r="I52" s="474"/>
      <c r="J52" s="474"/>
      <c r="K52" s="1694">
        <f>SUM(C52:J52)</f>
        <v>218655</v>
      </c>
      <c r="L52" s="474">
        <v>211559</v>
      </c>
    </row>
    <row r="53" spans="1:14" ht="12.75" customHeight="1" thickBot="1" x14ac:dyDescent="0.25">
      <c r="A53" s="1690" t="s">
        <v>741</v>
      </c>
      <c r="B53" s="1691" t="s">
        <v>33</v>
      </c>
      <c r="C53" s="1692">
        <f>SUM(C49:C52)</f>
        <v>424747</v>
      </c>
      <c r="D53" s="1692">
        <f t="shared" ref="D53:L53" si="5">SUM(D49:D52)</f>
        <v>177430</v>
      </c>
      <c r="E53" s="1692">
        <f t="shared" si="5"/>
        <v>167487</v>
      </c>
      <c r="F53" s="1692">
        <f t="shared" si="5"/>
        <v>6560</v>
      </c>
      <c r="G53" s="1692">
        <f t="shared" si="5"/>
        <v>0</v>
      </c>
      <c r="H53" s="1692">
        <f t="shared" si="5"/>
        <v>8467</v>
      </c>
      <c r="I53" s="1692">
        <f t="shared" si="5"/>
        <v>1418</v>
      </c>
      <c r="J53" s="1692">
        <f t="shared" si="5"/>
        <v>0</v>
      </c>
      <c r="K53" s="1692">
        <f t="shared" si="5"/>
        <v>786109</v>
      </c>
      <c r="L53" s="1692">
        <f t="shared" si="5"/>
        <v>789398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657518</v>
      </c>
      <c r="D55" s="481">
        <v>183263</v>
      </c>
      <c r="E55" s="481">
        <v>10964</v>
      </c>
      <c r="F55" s="481">
        <v>29536</v>
      </c>
      <c r="G55" s="481"/>
      <c r="H55" s="481">
        <v>2956</v>
      </c>
      <c r="I55" s="467">
        <v>1098</v>
      </c>
      <c r="J55" s="467"/>
      <c r="K55" s="1694">
        <f>SUM(C55:J55)</f>
        <v>885335</v>
      </c>
      <c r="L55" s="481">
        <v>870446</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657518</v>
      </c>
      <c r="D57" s="1696">
        <f t="shared" ref="D57:K57" si="6">SUM(D55:D56)</f>
        <v>183263</v>
      </c>
      <c r="E57" s="1696">
        <f t="shared" si="6"/>
        <v>10964</v>
      </c>
      <c r="F57" s="1696">
        <f t="shared" si="6"/>
        <v>29536</v>
      </c>
      <c r="G57" s="1696">
        <f t="shared" si="6"/>
        <v>0</v>
      </c>
      <c r="H57" s="1696">
        <f t="shared" si="6"/>
        <v>2956</v>
      </c>
      <c r="I57" s="1696">
        <f t="shared" si="6"/>
        <v>1098</v>
      </c>
      <c r="J57" s="1696">
        <f t="shared" si="6"/>
        <v>0</v>
      </c>
      <c r="K57" s="1696">
        <f t="shared" si="6"/>
        <v>885335</v>
      </c>
      <c r="L57" s="1692">
        <f>SUM(L55:L56)</f>
        <v>870446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120334</v>
      </c>
      <c r="D59" s="481">
        <v>33524</v>
      </c>
      <c r="E59" s="481">
        <v>1200</v>
      </c>
      <c r="F59" s="481">
        <v>206</v>
      </c>
      <c r="G59" s="481"/>
      <c r="H59" s="481">
        <v>2340</v>
      </c>
      <c r="I59" s="467"/>
      <c r="J59" s="467"/>
      <c r="K59" s="1694">
        <f t="shared" ref="K59:K64" si="7">SUM(C59:J59)</f>
        <v>157604</v>
      </c>
      <c r="L59" s="481">
        <v>160436</v>
      </c>
      <c r="M59" s="610"/>
      <c r="N59" s="610"/>
    </row>
    <row r="60" spans="1:14" s="343" customFormat="1" x14ac:dyDescent="0.2">
      <c r="A60" s="1526" t="s">
        <v>483</v>
      </c>
      <c r="B60" s="615">
        <v>2520</v>
      </c>
      <c r="C60" s="466">
        <v>117687</v>
      </c>
      <c r="D60" s="466">
        <v>22638</v>
      </c>
      <c r="E60" s="466">
        <v>34021</v>
      </c>
      <c r="F60" s="466">
        <v>10137</v>
      </c>
      <c r="G60" s="466">
        <v>2164</v>
      </c>
      <c r="H60" s="466">
        <v>12097</v>
      </c>
      <c r="I60" s="467"/>
      <c r="J60" s="467"/>
      <c r="K60" s="1694">
        <f t="shared" si="7"/>
        <v>198744</v>
      </c>
      <c r="L60" s="466">
        <v>196311</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70134</v>
      </c>
      <c r="D63" s="466">
        <v>1637</v>
      </c>
      <c r="E63" s="466">
        <v>377423</v>
      </c>
      <c r="F63" s="466">
        <v>2590</v>
      </c>
      <c r="G63" s="466"/>
      <c r="H63" s="466"/>
      <c r="I63" s="467"/>
      <c r="J63" s="467"/>
      <c r="K63" s="1694">
        <f t="shared" si="7"/>
        <v>451784</v>
      </c>
      <c r="L63" s="466">
        <v>498120</v>
      </c>
    </row>
    <row r="64" spans="1:14" s="610" customFormat="1" x14ac:dyDescent="0.2">
      <c r="A64" s="1531" t="s">
        <v>103</v>
      </c>
      <c r="B64" s="631">
        <v>2570</v>
      </c>
      <c r="C64" s="481"/>
      <c r="D64" s="481"/>
      <c r="E64" s="481">
        <v>65743</v>
      </c>
      <c r="F64" s="481"/>
      <c r="G64" s="481"/>
      <c r="H64" s="481"/>
      <c r="I64" s="467"/>
      <c r="J64" s="467"/>
      <c r="K64" s="1694">
        <f t="shared" si="7"/>
        <v>65743</v>
      </c>
      <c r="L64" s="481">
        <v>69244</v>
      </c>
    </row>
    <row r="65" spans="1:14" s="343" customFormat="1" ht="12.75" customHeight="1" thickBot="1" x14ac:dyDescent="0.25">
      <c r="A65" s="1690" t="s">
        <v>743</v>
      </c>
      <c r="B65" s="1691" t="s">
        <v>35</v>
      </c>
      <c r="C65" s="1692">
        <f>SUM(C59:C64)</f>
        <v>308155</v>
      </c>
      <c r="D65" s="1692">
        <f t="shared" ref="D65:L65" si="8">SUM(D59:D64)</f>
        <v>57799</v>
      </c>
      <c r="E65" s="1692">
        <f t="shared" si="8"/>
        <v>478387</v>
      </c>
      <c r="F65" s="1692">
        <f t="shared" si="8"/>
        <v>12933</v>
      </c>
      <c r="G65" s="1692">
        <f t="shared" si="8"/>
        <v>2164</v>
      </c>
      <c r="H65" s="1692">
        <f t="shared" si="8"/>
        <v>14437</v>
      </c>
      <c r="I65" s="1692">
        <f t="shared" si="8"/>
        <v>0</v>
      </c>
      <c r="J65" s="1692">
        <f t="shared" si="8"/>
        <v>0</v>
      </c>
      <c r="K65" s="1692">
        <f t="shared" si="8"/>
        <v>873875</v>
      </c>
      <c r="L65" s="1692">
        <f t="shared" si="8"/>
        <v>924111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v>10240</v>
      </c>
      <c r="D68" s="466">
        <v>173</v>
      </c>
      <c r="E68" s="466"/>
      <c r="F68" s="466"/>
      <c r="G68" s="466"/>
      <c r="H68" s="466"/>
      <c r="I68" s="467"/>
      <c r="J68" s="467"/>
      <c r="K68" s="1694">
        <f>SUM(C68:J68)</f>
        <v>10413</v>
      </c>
      <c r="L68" s="466">
        <v>12046</v>
      </c>
      <c r="M68" s="610"/>
      <c r="N68" s="610"/>
    </row>
    <row r="69" spans="1:14" s="343" customFormat="1" x14ac:dyDescent="0.2">
      <c r="A69" s="1526" t="s">
        <v>1121</v>
      </c>
      <c r="B69" s="615">
        <v>2630</v>
      </c>
      <c r="C69" s="466">
        <v>8210</v>
      </c>
      <c r="D69" s="466">
        <v>1416</v>
      </c>
      <c r="E69" s="466">
        <v>31661</v>
      </c>
      <c r="F69" s="466">
        <v>417</v>
      </c>
      <c r="G69" s="466"/>
      <c r="H69" s="466"/>
      <c r="I69" s="467"/>
      <c r="J69" s="467"/>
      <c r="K69" s="1694">
        <f>SUM(C69:J69)</f>
        <v>41704</v>
      </c>
      <c r="L69" s="466">
        <v>44280</v>
      </c>
      <c r="M69" s="610"/>
      <c r="N69" s="610"/>
    </row>
    <row r="70" spans="1:14" s="343" customFormat="1" x14ac:dyDescent="0.2">
      <c r="A70" s="1526" t="s">
        <v>423</v>
      </c>
      <c r="B70" s="615">
        <v>2640</v>
      </c>
      <c r="C70" s="466">
        <v>33556</v>
      </c>
      <c r="D70" s="466">
        <v>13651</v>
      </c>
      <c r="E70" s="466">
        <v>19463</v>
      </c>
      <c r="F70" s="466">
        <v>7390</v>
      </c>
      <c r="G70" s="466">
        <v>1311</v>
      </c>
      <c r="H70" s="466">
        <v>335</v>
      </c>
      <c r="I70" s="467"/>
      <c r="J70" s="467"/>
      <c r="K70" s="1694">
        <f>SUM(C70:J70)</f>
        <v>75706</v>
      </c>
      <c r="L70" s="466">
        <v>76533</v>
      </c>
      <c r="M70" s="610"/>
      <c r="N70" s="610"/>
    </row>
    <row r="71" spans="1:14" s="343" customFormat="1" x14ac:dyDescent="0.2">
      <c r="A71" s="1526" t="s">
        <v>424</v>
      </c>
      <c r="B71" s="615">
        <v>2660</v>
      </c>
      <c r="C71" s="466">
        <v>90170</v>
      </c>
      <c r="D71" s="466">
        <v>9451</v>
      </c>
      <c r="E71" s="466">
        <v>149197</v>
      </c>
      <c r="F71" s="466">
        <v>32376</v>
      </c>
      <c r="G71" s="466">
        <v>5207</v>
      </c>
      <c r="H71" s="466"/>
      <c r="I71" s="467">
        <v>35507</v>
      </c>
      <c r="J71" s="467"/>
      <c r="K71" s="1694">
        <f>SUM(C71:J71)</f>
        <v>321908</v>
      </c>
      <c r="L71" s="466">
        <v>205384</v>
      </c>
      <c r="M71" s="610"/>
      <c r="N71" s="610"/>
    </row>
    <row r="72" spans="1:14" s="343" customFormat="1" ht="12.75" customHeight="1" thickBot="1" x14ac:dyDescent="0.25">
      <c r="A72" s="1690" t="s">
        <v>37</v>
      </c>
      <c r="B72" s="1697" t="s">
        <v>36</v>
      </c>
      <c r="C72" s="1692">
        <f>SUM(C67:C71)</f>
        <v>142176</v>
      </c>
      <c r="D72" s="1692">
        <f t="shared" ref="D72:K72" si="9">SUM(D67:D71)</f>
        <v>24691</v>
      </c>
      <c r="E72" s="1692">
        <f t="shared" si="9"/>
        <v>200321</v>
      </c>
      <c r="F72" s="1692">
        <f t="shared" si="9"/>
        <v>40183</v>
      </c>
      <c r="G72" s="1692">
        <f t="shared" si="9"/>
        <v>6518</v>
      </c>
      <c r="H72" s="1692">
        <f t="shared" si="9"/>
        <v>335</v>
      </c>
      <c r="I72" s="1692">
        <f t="shared" si="9"/>
        <v>35507</v>
      </c>
      <c r="J72" s="1692">
        <f t="shared" si="9"/>
        <v>0</v>
      </c>
      <c r="K72" s="1692">
        <f t="shared" si="9"/>
        <v>449731</v>
      </c>
      <c r="L72" s="1692">
        <f>SUM(L67:L71)</f>
        <v>338243</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3195762</v>
      </c>
      <c r="D74" s="1699">
        <f t="shared" ref="D74:K74" si="10">SUM(D42,D47,D53,D57,D65,D72,D73)</f>
        <v>763599</v>
      </c>
      <c r="E74" s="1699">
        <f t="shared" si="10"/>
        <v>1133483</v>
      </c>
      <c r="F74" s="1699">
        <f t="shared" si="10"/>
        <v>128794</v>
      </c>
      <c r="G74" s="1699">
        <f t="shared" si="10"/>
        <v>9993</v>
      </c>
      <c r="H74" s="1699">
        <f t="shared" si="10"/>
        <v>28851</v>
      </c>
      <c r="I74" s="1699">
        <f t="shared" si="10"/>
        <v>38023</v>
      </c>
      <c r="J74" s="1699">
        <f t="shared" si="10"/>
        <v>0</v>
      </c>
      <c r="K74" s="1699">
        <f t="shared" si="10"/>
        <v>5298505</v>
      </c>
      <c r="L74" s="1699">
        <f>SUM(L42,L47,L53,L57,L65,L72,L73)</f>
        <v>5392918</v>
      </c>
    </row>
    <row r="75" spans="1:14" s="259" customFormat="1" ht="15.75" customHeight="1" thickTop="1" thickBot="1" x14ac:dyDescent="0.25">
      <c r="A75" s="1632" t="s">
        <v>49</v>
      </c>
      <c r="B75" s="1633" t="s">
        <v>596</v>
      </c>
      <c r="C75" s="573">
        <v>117517</v>
      </c>
      <c r="D75" s="573">
        <v>14718</v>
      </c>
      <c r="E75" s="573">
        <v>540</v>
      </c>
      <c r="F75" s="573">
        <v>2575</v>
      </c>
      <c r="G75" s="573"/>
      <c r="H75" s="573"/>
      <c r="I75" s="531"/>
      <c r="J75" s="531"/>
      <c r="K75" s="1692">
        <f>SUM(C75:J75)</f>
        <v>135350</v>
      </c>
      <c r="L75" s="576">
        <v>203623</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64557</v>
      </c>
      <c r="F78" s="617"/>
      <c r="G78" s="617"/>
      <c r="H78" s="635"/>
      <c r="I78" s="477"/>
      <c r="J78" s="477"/>
      <c r="K78" s="1693">
        <f t="shared" ref="K78:K83" si="11">SUM(C78:J78)</f>
        <v>64557</v>
      </c>
      <c r="L78" s="481"/>
    </row>
    <row r="79" spans="1:14" x14ac:dyDescent="0.2">
      <c r="A79" s="1526" t="s">
        <v>322</v>
      </c>
      <c r="B79" s="615">
        <v>4120</v>
      </c>
      <c r="C79" s="617"/>
      <c r="D79" s="617"/>
      <c r="E79" s="466">
        <v>344891</v>
      </c>
      <c r="F79" s="617"/>
      <c r="G79" s="617"/>
      <c r="H79" s="466"/>
      <c r="I79" s="477"/>
      <c r="J79" s="477"/>
      <c r="K79" s="1693">
        <f t="shared" si="11"/>
        <v>344891</v>
      </c>
      <c r="L79" s="466">
        <v>337284</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409448</v>
      </c>
      <c r="F84" s="617"/>
      <c r="G84" s="617"/>
      <c r="H84" s="1692">
        <f>SUM(H78:H83)</f>
        <v>0</v>
      </c>
      <c r="I84" s="477"/>
      <c r="J84" s="477"/>
      <c r="K84" s="1692">
        <f>SUM(K78:K83)</f>
        <v>409448</v>
      </c>
      <c r="L84" s="1692">
        <f>SUM(L78:L83)</f>
        <v>337284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700317</v>
      </c>
      <c r="I86" s="477"/>
      <c r="J86" s="477"/>
      <c r="K86" s="1699">
        <f t="shared" ref="K86:K98" si="12">H86</f>
        <v>700317</v>
      </c>
      <c r="L86" s="530">
        <v>700000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700317</v>
      </c>
      <c r="I92" s="477"/>
      <c r="J92" s="477"/>
      <c r="K92" s="1699">
        <f t="shared" si="12"/>
        <v>700317</v>
      </c>
      <c r="L92" s="1692">
        <f>SUM(L85:L91)</f>
        <v>700000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409448</v>
      </c>
      <c r="F102" s="617"/>
      <c r="G102" s="617"/>
      <c r="H102" s="1699">
        <f>SUM(H84,H92,H100,H101)</f>
        <v>700317</v>
      </c>
      <c r="I102" s="477"/>
      <c r="J102" s="477"/>
      <c r="K102" s="1699">
        <f>SUM(K84,K92,K100,K101)</f>
        <v>1109765</v>
      </c>
      <c r="L102" s="1699">
        <f>SUM(L84,L92,L100,L101)</f>
        <v>1037284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10693672</v>
      </c>
      <c r="D114" s="1692">
        <f t="shared" ref="D114:K114" si="13">SUM(D33,D74,D75,D102,D112,D113)</f>
        <v>1996459</v>
      </c>
      <c r="E114" s="1692">
        <f t="shared" si="13"/>
        <v>1672168</v>
      </c>
      <c r="F114" s="1692">
        <f t="shared" si="13"/>
        <v>831505</v>
      </c>
      <c r="G114" s="1692">
        <f t="shared" si="13"/>
        <v>14692</v>
      </c>
      <c r="H114" s="1692">
        <f>SUM(H33,H74,H75,H102,H112,H113)</f>
        <v>1050300</v>
      </c>
      <c r="I114" s="1692">
        <f t="shared" si="13"/>
        <v>45603</v>
      </c>
      <c r="J114" s="1692">
        <f t="shared" si="13"/>
        <v>247797</v>
      </c>
      <c r="K114" s="1692">
        <f t="shared" si="13"/>
        <v>16552196</v>
      </c>
      <c r="L114" s="1692">
        <f>SUM(L33,L74,L75,L102,L112,L113)</f>
        <v>17950337</v>
      </c>
    </row>
    <row r="115" spans="1:14" ht="13.5" thickTop="1" x14ac:dyDescent="0.2">
      <c r="A115" s="2174" t="s">
        <v>1053</v>
      </c>
      <c r="B115" s="2175"/>
      <c r="C115" s="619"/>
      <c r="D115" s="619"/>
      <c r="E115" s="619"/>
      <c r="F115" s="619"/>
      <c r="G115" s="619"/>
      <c r="H115" s="619"/>
      <c r="I115" s="619"/>
      <c r="J115" s="619"/>
      <c r="K115" s="1706">
        <f>'Revenues 9-14'!C275-'Expenditures 15-22'!K114</f>
        <v>710430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6541</v>
      </c>
      <c r="F123" s="466"/>
      <c r="G123" s="466"/>
      <c r="H123" s="466"/>
      <c r="I123" s="467"/>
      <c r="J123" s="467"/>
      <c r="K123" s="1692">
        <f>SUM(C123:J123)</f>
        <v>6541</v>
      </c>
      <c r="L123" s="466">
        <v>6541</v>
      </c>
    </row>
    <row r="124" spans="1:14" ht="14.25" thickTop="1" thickBot="1" x14ac:dyDescent="0.25">
      <c r="A124" s="1526" t="s">
        <v>206</v>
      </c>
      <c r="B124" s="615">
        <v>2540</v>
      </c>
      <c r="C124" s="466">
        <v>384589</v>
      </c>
      <c r="D124" s="466">
        <v>94239</v>
      </c>
      <c r="E124" s="466">
        <v>658152</v>
      </c>
      <c r="F124" s="466">
        <v>405543</v>
      </c>
      <c r="G124" s="466">
        <v>179721</v>
      </c>
      <c r="H124" s="466">
        <v>1258</v>
      </c>
      <c r="I124" s="467">
        <v>17985</v>
      </c>
      <c r="J124" s="467"/>
      <c r="K124" s="1692">
        <f>SUM(C124:J124)</f>
        <v>1741487</v>
      </c>
      <c r="L124" s="466">
        <v>1799708</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384589</v>
      </c>
      <c r="D127" s="1692">
        <f t="shared" ref="D127:L127" si="14">SUM(D122:D126)</f>
        <v>94239</v>
      </c>
      <c r="E127" s="1692">
        <f t="shared" si="14"/>
        <v>664693</v>
      </c>
      <c r="F127" s="1692">
        <f t="shared" si="14"/>
        <v>405543</v>
      </c>
      <c r="G127" s="1692">
        <f t="shared" si="14"/>
        <v>179721</v>
      </c>
      <c r="H127" s="1692">
        <f t="shared" si="14"/>
        <v>1258</v>
      </c>
      <c r="I127" s="1692">
        <f t="shared" si="14"/>
        <v>17985</v>
      </c>
      <c r="J127" s="1692">
        <f t="shared" si="14"/>
        <v>0</v>
      </c>
      <c r="K127" s="1692">
        <f t="shared" si="14"/>
        <v>1748028</v>
      </c>
      <c r="L127" s="1692">
        <f t="shared" si="14"/>
        <v>1806249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384589</v>
      </c>
      <c r="D129" s="1699">
        <f t="shared" ref="D129:L129" si="15">SUM(D120,D127,D128)</f>
        <v>94239</v>
      </c>
      <c r="E129" s="1699">
        <f t="shared" si="15"/>
        <v>664693</v>
      </c>
      <c r="F129" s="1699">
        <f t="shared" si="15"/>
        <v>405543</v>
      </c>
      <c r="G129" s="1699">
        <f t="shared" si="15"/>
        <v>179721</v>
      </c>
      <c r="H129" s="1699">
        <f t="shared" si="15"/>
        <v>1258</v>
      </c>
      <c r="I129" s="1699">
        <f t="shared" si="15"/>
        <v>17985</v>
      </c>
      <c r="J129" s="1699">
        <f t="shared" si="15"/>
        <v>0</v>
      </c>
      <c r="K129" s="1699">
        <f t="shared" si="15"/>
        <v>1748028</v>
      </c>
      <c r="L129" s="1699">
        <f t="shared" si="15"/>
        <v>1806249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v>44786</v>
      </c>
      <c r="I136" s="477"/>
      <c r="J136" s="617"/>
      <c r="K136" s="1694">
        <f>SUM(E136,H136)</f>
        <v>44786</v>
      </c>
      <c r="L136" s="466">
        <v>44787</v>
      </c>
    </row>
    <row r="137" spans="1:14" ht="12.75" customHeight="1" thickBot="1" x14ac:dyDescent="0.25">
      <c r="A137" s="1690" t="s">
        <v>501</v>
      </c>
      <c r="B137" s="1700">
        <v>4100</v>
      </c>
      <c r="C137" s="617"/>
      <c r="D137" s="617"/>
      <c r="E137" s="1692">
        <f>SUM(E133:E136)</f>
        <v>0</v>
      </c>
      <c r="F137" s="617"/>
      <c r="G137" s="617"/>
      <c r="H137" s="1692">
        <f>SUM(H133:H136)</f>
        <v>44786</v>
      </c>
      <c r="I137" s="477"/>
      <c r="J137" s="617"/>
      <c r="K137" s="1692">
        <f>SUM(K133:K136)</f>
        <v>44786</v>
      </c>
      <c r="L137" s="1692">
        <f>SUM(L133:L136)</f>
        <v>44787</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44786</v>
      </c>
      <c r="I139" s="477"/>
      <c r="J139" s="617"/>
      <c r="K139" s="1694">
        <f>SUM(K137,K138)</f>
        <v>44786</v>
      </c>
      <c r="L139" s="1701">
        <f>SUM(L137,L138)</f>
        <v>44787</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384589</v>
      </c>
      <c r="D151" s="1692">
        <f t="shared" ref="D151:K151" si="16">SUM(D129,D130,D139,D149,D150)</f>
        <v>94239</v>
      </c>
      <c r="E151" s="1692">
        <f t="shared" si="16"/>
        <v>664693</v>
      </c>
      <c r="F151" s="1692">
        <f t="shared" si="16"/>
        <v>405543</v>
      </c>
      <c r="G151" s="1692">
        <f t="shared" si="16"/>
        <v>179721</v>
      </c>
      <c r="H151" s="1692">
        <f t="shared" si="16"/>
        <v>46044</v>
      </c>
      <c r="I151" s="1692">
        <f t="shared" si="16"/>
        <v>17985</v>
      </c>
      <c r="J151" s="1692">
        <f t="shared" si="16"/>
        <v>0</v>
      </c>
      <c r="K151" s="1692">
        <f t="shared" si="16"/>
        <v>1792814</v>
      </c>
      <c r="L151" s="1692">
        <f>SUM(L129,L130,L139,L149,L150)</f>
        <v>1851036</v>
      </c>
    </row>
    <row r="152" spans="1:14" ht="12.75" customHeight="1" thickTop="1" x14ac:dyDescent="0.2">
      <c r="A152" s="2194" t="s">
        <v>1240</v>
      </c>
      <c r="B152" s="2195"/>
      <c r="C152" s="619"/>
      <c r="D152" s="619"/>
      <c r="E152" s="619"/>
      <c r="F152" s="619"/>
      <c r="G152" s="619"/>
      <c r="H152" s="619"/>
      <c r="I152" s="619"/>
      <c r="J152" s="617"/>
      <c r="K152" s="1706">
        <f>'Revenues 9-14'!D275-'Expenditures 15-22'!K151</f>
        <v>439498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328988</v>
      </c>
      <c r="I169" s="617"/>
      <c r="J169" s="617"/>
      <c r="K169" s="1693">
        <f>SUM(C169:H169)</f>
        <v>328988</v>
      </c>
      <c r="L169" s="657">
        <v>1759929</v>
      </c>
    </row>
    <row r="170" spans="1:14" ht="33.75" customHeight="1" x14ac:dyDescent="0.2">
      <c r="A170" s="670" t="s">
        <v>1769</v>
      </c>
      <c r="B170" s="672" t="s">
        <v>31</v>
      </c>
      <c r="C170" s="617"/>
      <c r="D170" s="617"/>
      <c r="E170" s="617"/>
      <c r="F170" s="617"/>
      <c r="G170" s="617"/>
      <c r="H170" s="569">
        <v>1240110</v>
      </c>
      <c r="I170" s="617"/>
      <c r="J170" s="617"/>
      <c r="K170" s="1693">
        <f>SUM(C170:J170)</f>
        <v>1240110</v>
      </c>
      <c r="L170" s="569">
        <v>1283610</v>
      </c>
    </row>
    <row r="171" spans="1:14" ht="15.75" customHeight="1" x14ac:dyDescent="0.2">
      <c r="A171" s="622" t="s">
        <v>790</v>
      </c>
      <c r="B171" s="673" t="s">
        <v>86</v>
      </c>
      <c r="C171" s="617"/>
      <c r="D171" s="617"/>
      <c r="E171" s="466"/>
      <c r="F171" s="617"/>
      <c r="G171" s="617"/>
      <c r="H171" s="569">
        <v>45524</v>
      </c>
      <c r="I171" s="477"/>
      <c r="J171" s="617"/>
      <c r="K171" s="1693">
        <f>SUM(C171:J171)</f>
        <v>45524</v>
      </c>
      <c r="L171" s="569"/>
    </row>
    <row r="172" spans="1:14" ht="12.75" customHeight="1" thickBot="1" x14ac:dyDescent="0.25">
      <c r="A172" s="1690" t="s">
        <v>659</v>
      </c>
      <c r="B172" s="1691" t="s">
        <v>513</v>
      </c>
      <c r="C172" s="617"/>
      <c r="D172" s="617"/>
      <c r="E172" s="1699">
        <f>SUM(E168,E169,E170,E171)</f>
        <v>0</v>
      </c>
      <c r="F172" s="617"/>
      <c r="G172" s="617"/>
      <c r="H172" s="1699">
        <f>SUM(H168,H169,H170,H171)</f>
        <v>1614622</v>
      </c>
      <c r="I172" s="639"/>
      <c r="J172" s="617"/>
      <c r="K172" s="1699">
        <f>SUM(K168,K169,K170,K171)</f>
        <v>1614622</v>
      </c>
      <c r="L172" s="1699">
        <f>SUM(L168,L169,L170,L171)</f>
        <v>3043539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1614622</v>
      </c>
      <c r="I174" s="639"/>
      <c r="J174" s="617"/>
      <c r="K174" s="1699">
        <f>SUM(K160,K172,K173)</f>
        <v>1614622</v>
      </c>
      <c r="L174" s="1699">
        <f>SUM(L160,L172,L173)</f>
        <v>3043539</v>
      </c>
    </row>
    <row r="175" spans="1:14" ht="13.5" thickTop="1" x14ac:dyDescent="0.2">
      <c r="A175" s="2174" t="s">
        <v>1053</v>
      </c>
      <c r="B175" s="2175"/>
      <c r="C175" s="617"/>
      <c r="D175" s="617"/>
      <c r="E175" s="617"/>
      <c r="F175" s="617"/>
      <c r="G175" s="617"/>
      <c r="H175" s="619"/>
      <c r="I175" s="617"/>
      <c r="J175" s="617"/>
      <c r="K175" s="1706">
        <f>'Revenues 9-14'!E275-'Expenditures 15-22'!K174</f>
        <v>-106147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21821</v>
      </c>
      <c r="D182" s="466">
        <v>307</v>
      </c>
      <c r="E182" s="466">
        <v>825268</v>
      </c>
      <c r="F182" s="466">
        <v>42839</v>
      </c>
      <c r="G182" s="466">
        <v>6249</v>
      </c>
      <c r="H182" s="466"/>
      <c r="I182" s="467"/>
      <c r="J182" s="467"/>
      <c r="K182" s="1693">
        <f>SUM(C182:J182)</f>
        <v>896484</v>
      </c>
      <c r="L182" s="466">
        <v>872608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21821</v>
      </c>
      <c r="D184" s="1699">
        <f t="shared" ref="D184:J184" si="17">SUM(D180,D182,D183)</f>
        <v>307</v>
      </c>
      <c r="E184" s="1699">
        <f t="shared" si="17"/>
        <v>825268</v>
      </c>
      <c r="F184" s="1699">
        <f t="shared" si="17"/>
        <v>42839</v>
      </c>
      <c r="G184" s="1699">
        <f t="shared" si="17"/>
        <v>6249</v>
      </c>
      <c r="H184" s="1699">
        <f t="shared" si="17"/>
        <v>0</v>
      </c>
      <c r="I184" s="1699">
        <f t="shared" si="17"/>
        <v>0</v>
      </c>
      <c r="J184" s="1699">
        <f t="shared" si="17"/>
        <v>0</v>
      </c>
      <c r="K184" s="1699">
        <f>SUM(K180,K182,K183)</f>
        <v>896484</v>
      </c>
      <c r="L184" s="1699">
        <f>SUM(L180, L182:L183)</f>
        <v>872608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22639</v>
      </c>
      <c r="F189" s="617"/>
      <c r="G189" s="617"/>
      <c r="H189" s="466"/>
      <c r="I189" s="477"/>
      <c r="J189" s="617"/>
      <c r="K189" s="1693">
        <f t="shared" si="18"/>
        <v>22639</v>
      </c>
      <c r="L189" s="466">
        <v>20759</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22639</v>
      </c>
      <c r="F194" s="617"/>
      <c r="G194" s="617"/>
      <c r="H194" s="1692">
        <f>SUM(H188:H193)</f>
        <v>0</v>
      </c>
      <c r="I194" s="477"/>
      <c r="J194" s="617"/>
      <c r="K194" s="1692">
        <f>SUM(K188:K193)</f>
        <v>22639</v>
      </c>
      <c r="L194" s="1692">
        <f>SUM(L188:L193)</f>
        <v>20759</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22639</v>
      </c>
      <c r="F196" s="617"/>
      <c r="G196" s="617"/>
      <c r="H196" s="1699">
        <f>SUM(H194,H195)</f>
        <v>0</v>
      </c>
      <c r="I196" s="477"/>
      <c r="J196" s="617"/>
      <c r="K196" s="1699">
        <f>SUM(K194,K195)</f>
        <v>22639</v>
      </c>
      <c r="L196" s="1699">
        <f>SUM(L194,L195)</f>
        <v>20759</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21821</v>
      </c>
      <c r="D210" s="1692">
        <f>SUM(D184,D185)</f>
        <v>307</v>
      </c>
      <c r="E210" s="1692">
        <f>SUM(E184,E185,E196)</f>
        <v>847907</v>
      </c>
      <c r="F210" s="1692">
        <f>SUM(F184,F185)</f>
        <v>42839</v>
      </c>
      <c r="G210" s="1692">
        <f>SUM(G184,G185)</f>
        <v>6249</v>
      </c>
      <c r="H210" s="1692">
        <f>SUM(H184,H185,H196,H208,H209)</f>
        <v>0</v>
      </c>
      <c r="I210" s="1692">
        <f>SUM(I184,I185)</f>
        <v>0</v>
      </c>
      <c r="J210" s="1692">
        <f>SUM(J184,J185)</f>
        <v>0</v>
      </c>
      <c r="K210" s="1693">
        <f>SUM(K184,K185,K196,K208,K209)</f>
        <v>919123</v>
      </c>
      <c r="L210" s="1692">
        <f>SUM(L184,L185,L196,L208,L209)</f>
        <v>893367</v>
      </c>
    </row>
    <row r="211" spans="1:14" ht="13.5" thickTop="1" x14ac:dyDescent="0.2">
      <c r="A211" s="2174" t="s">
        <v>1053</v>
      </c>
      <c r="B211" s="2175"/>
      <c r="C211" s="619"/>
      <c r="D211" s="619"/>
      <c r="E211" s="619"/>
      <c r="F211" s="619"/>
      <c r="G211" s="619"/>
      <c r="H211" s="619"/>
      <c r="I211" s="617"/>
      <c r="J211" s="617"/>
      <c r="K211" s="1706">
        <f>'Revenues 9-14'!F275-'Expenditures 15-22'!K210</f>
        <v>-297996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65212</v>
      </c>
      <c r="E215" s="617"/>
      <c r="F215" s="617"/>
      <c r="G215" s="617"/>
      <c r="H215" s="617"/>
      <c r="I215" s="617"/>
      <c r="J215" s="617"/>
      <c r="K215" s="1693">
        <f>D215</f>
        <v>65212</v>
      </c>
      <c r="L215" s="466">
        <v>67200</v>
      </c>
    </row>
    <row r="216" spans="1:14" x14ac:dyDescent="0.2">
      <c r="A216" s="1526" t="s">
        <v>165</v>
      </c>
      <c r="B216" s="615" t="s">
        <v>1024</v>
      </c>
      <c r="C216" s="617"/>
      <c r="D216" s="467">
        <v>8735</v>
      </c>
      <c r="E216" s="617"/>
      <c r="F216" s="617"/>
      <c r="G216" s="617"/>
      <c r="H216" s="617"/>
      <c r="I216" s="617"/>
      <c r="J216" s="617"/>
      <c r="K216" s="1693">
        <f t="shared" ref="K216:K228" si="19">D216</f>
        <v>8735</v>
      </c>
      <c r="L216" s="466">
        <v>9200</v>
      </c>
    </row>
    <row r="217" spans="1:14" x14ac:dyDescent="0.2">
      <c r="A217" s="1526" t="s">
        <v>166</v>
      </c>
      <c r="B217" s="615">
        <v>1200</v>
      </c>
      <c r="C217" s="617"/>
      <c r="D217" s="466">
        <v>57719</v>
      </c>
      <c r="E217" s="617"/>
      <c r="F217" s="617"/>
      <c r="G217" s="617"/>
      <c r="H217" s="617"/>
      <c r="I217" s="617"/>
      <c r="J217" s="617"/>
      <c r="K217" s="1693">
        <f t="shared" si="19"/>
        <v>57719</v>
      </c>
      <c r="L217" s="466">
        <v>60500</v>
      </c>
    </row>
    <row r="218" spans="1:14" x14ac:dyDescent="0.2">
      <c r="A218" s="1526" t="s">
        <v>296</v>
      </c>
      <c r="B218" s="615" t="s">
        <v>1025</v>
      </c>
      <c r="C218" s="617"/>
      <c r="D218" s="467">
        <v>11282</v>
      </c>
      <c r="E218" s="617"/>
      <c r="F218" s="617"/>
      <c r="G218" s="617"/>
      <c r="H218" s="617"/>
      <c r="I218" s="617"/>
      <c r="J218" s="617"/>
      <c r="K218" s="1693">
        <f t="shared" si="19"/>
        <v>11282</v>
      </c>
      <c r="L218" s="466">
        <v>11900</v>
      </c>
    </row>
    <row r="219" spans="1:14" x14ac:dyDescent="0.2">
      <c r="A219" s="1526" t="s">
        <v>297</v>
      </c>
      <c r="B219" s="615">
        <v>1250</v>
      </c>
      <c r="C219" s="617"/>
      <c r="D219" s="466">
        <v>2147</v>
      </c>
      <c r="E219" s="617"/>
      <c r="F219" s="617"/>
      <c r="G219" s="617"/>
      <c r="H219" s="617"/>
      <c r="I219" s="617"/>
      <c r="J219" s="617"/>
      <c r="K219" s="1693">
        <f t="shared" si="19"/>
        <v>2147</v>
      </c>
      <c r="L219" s="466">
        <v>2500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1307</v>
      </c>
      <c r="E223" s="617"/>
      <c r="F223" s="617"/>
      <c r="G223" s="617"/>
      <c r="H223" s="617"/>
      <c r="I223" s="617"/>
      <c r="J223" s="617"/>
      <c r="K223" s="1693">
        <f t="shared" si="19"/>
        <v>1307</v>
      </c>
      <c r="L223" s="466">
        <v>2000</v>
      </c>
    </row>
    <row r="224" spans="1:14" x14ac:dyDescent="0.2">
      <c r="A224" s="1526" t="s">
        <v>1021</v>
      </c>
      <c r="B224" s="615">
        <v>1600</v>
      </c>
      <c r="C224" s="617"/>
      <c r="D224" s="466">
        <v>92</v>
      </c>
      <c r="E224" s="617"/>
      <c r="F224" s="617"/>
      <c r="G224" s="617"/>
      <c r="H224" s="617"/>
      <c r="I224" s="617"/>
      <c r="J224" s="617"/>
      <c r="K224" s="1693">
        <f t="shared" si="19"/>
        <v>92</v>
      </c>
      <c r="L224" s="466">
        <v>1</v>
      </c>
    </row>
    <row r="225" spans="1:12" x14ac:dyDescent="0.2">
      <c r="A225" s="1526" t="s">
        <v>1044</v>
      </c>
      <c r="B225" s="615">
        <v>1650</v>
      </c>
      <c r="C225" s="617"/>
      <c r="D225" s="466">
        <v>776</v>
      </c>
      <c r="E225" s="617"/>
      <c r="F225" s="617"/>
      <c r="G225" s="617"/>
      <c r="H225" s="617"/>
      <c r="I225" s="617"/>
      <c r="J225" s="617"/>
      <c r="K225" s="1693">
        <f t="shared" si="19"/>
        <v>776</v>
      </c>
      <c r="L225" s="466">
        <v>900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19428</v>
      </c>
      <c r="E227" s="617"/>
      <c r="F227" s="617"/>
      <c r="G227" s="617"/>
      <c r="H227" s="617"/>
      <c r="I227" s="617"/>
      <c r="J227" s="617"/>
      <c r="K227" s="1693">
        <f t="shared" si="19"/>
        <v>19428</v>
      </c>
      <c r="L227" s="466">
        <v>20300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166698</v>
      </c>
      <c r="E229" s="617"/>
      <c r="F229" s="617"/>
      <c r="G229" s="617"/>
      <c r="H229" s="617"/>
      <c r="I229" s="617"/>
      <c r="J229" s="617"/>
      <c r="K229" s="1692">
        <f>SUM(K215:K228)</f>
        <v>166698</v>
      </c>
      <c r="L229" s="1692">
        <f>SUM(L215:L228)</f>
        <v>174501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15014</v>
      </c>
      <c r="E232" s="617"/>
      <c r="F232" s="617"/>
      <c r="G232" s="617"/>
      <c r="H232" s="617"/>
      <c r="I232" s="617"/>
      <c r="J232" s="617"/>
      <c r="K232" s="1693">
        <f t="shared" ref="K232:K237" si="20">D232</f>
        <v>15014</v>
      </c>
      <c r="L232" s="466">
        <v>15400</v>
      </c>
    </row>
    <row r="233" spans="1:12" x14ac:dyDescent="0.2">
      <c r="A233" s="1526" t="s">
        <v>1151</v>
      </c>
      <c r="B233" s="615">
        <v>2120</v>
      </c>
      <c r="C233" s="617"/>
      <c r="D233" s="466">
        <v>724</v>
      </c>
      <c r="E233" s="617"/>
      <c r="F233" s="617"/>
      <c r="G233" s="617"/>
      <c r="H233" s="617"/>
      <c r="I233" s="617"/>
      <c r="J233" s="617"/>
      <c r="K233" s="1693">
        <f t="shared" si="20"/>
        <v>724</v>
      </c>
      <c r="L233" s="466">
        <v>900</v>
      </c>
    </row>
    <row r="234" spans="1:12" x14ac:dyDescent="0.2">
      <c r="A234" s="1526" t="s">
        <v>207</v>
      </c>
      <c r="B234" s="615">
        <v>2130</v>
      </c>
      <c r="C234" s="617"/>
      <c r="D234" s="466">
        <v>16545</v>
      </c>
      <c r="E234" s="617"/>
      <c r="F234" s="617"/>
      <c r="G234" s="617"/>
      <c r="H234" s="617"/>
      <c r="I234" s="617"/>
      <c r="J234" s="617"/>
      <c r="K234" s="1693">
        <f t="shared" si="20"/>
        <v>16545</v>
      </c>
      <c r="L234" s="466">
        <v>15700</v>
      </c>
    </row>
    <row r="235" spans="1:12" x14ac:dyDescent="0.2">
      <c r="A235" s="1526" t="s">
        <v>208</v>
      </c>
      <c r="B235" s="615">
        <v>2140</v>
      </c>
      <c r="C235" s="617"/>
      <c r="D235" s="466">
        <v>2161</v>
      </c>
      <c r="E235" s="617"/>
      <c r="F235" s="617"/>
      <c r="G235" s="617"/>
      <c r="H235" s="617"/>
      <c r="I235" s="617"/>
      <c r="J235" s="617"/>
      <c r="K235" s="1693">
        <f t="shared" si="20"/>
        <v>2161</v>
      </c>
      <c r="L235" s="466">
        <v>2300</v>
      </c>
    </row>
    <row r="236" spans="1:12" x14ac:dyDescent="0.2">
      <c r="A236" s="1526" t="s">
        <v>209</v>
      </c>
      <c r="B236" s="615">
        <v>2150</v>
      </c>
      <c r="C236" s="617"/>
      <c r="D236" s="466">
        <v>4743</v>
      </c>
      <c r="E236" s="617"/>
      <c r="F236" s="617"/>
      <c r="G236" s="617"/>
      <c r="H236" s="617"/>
      <c r="I236" s="617"/>
      <c r="J236" s="617"/>
      <c r="K236" s="1693">
        <f t="shared" si="20"/>
        <v>4743</v>
      </c>
      <c r="L236" s="466">
        <v>5000</v>
      </c>
    </row>
    <row r="237" spans="1:12" x14ac:dyDescent="0.2">
      <c r="A237" s="1526" t="s">
        <v>167</v>
      </c>
      <c r="B237" s="615">
        <v>2190</v>
      </c>
      <c r="C237" s="617"/>
      <c r="D237" s="466">
        <v>18725</v>
      </c>
      <c r="E237" s="617"/>
      <c r="F237" s="617"/>
      <c r="G237" s="617"/>
      <c r="H237" s="617"/>
      <c r="I237" s="617"/>
      <c r="J237" s="617"/>
      <c r="K237" s="1693">
        <f t="shared" si="20"/>
        <v>18725</v>
      </c>
      <c r="L237" s="466">
        <v>16300</v>
      </c>
    </row>
    <row r="238" spans="1:12" ht="12.75" customHeight="1" thickBot="1" x14ac:dyDescent="0.25">
      <c r="A238" s="1690" t="s">
        <v>581</v>
      </c>
      <c r="B238" s="1697" t="s">
        <v>740</v>
      </c>
      <c r="C238" s="617"/>
      <c r="D238" s="1692">
        <f>SUM(D232:D237)</f>
        <v>57912</v>
      </c>
      <c r="E238" s="617"/>
      <c r="F238" s="617"/>
      <c r="G238" s="617"/>
      <c r="H238" s="617"/>
      <c r="I238" s="617"/>
      <c r="J238" s="617"/>
      <c r="K238" s="1692">
        <f>SUM(K232:K237)</f>
        <v>57912</v>
      </c>
      <c r="L238" s="1692">
        <f>SUM(L232:L237)</f>
        <v>55600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3159</v>
      </c>
      <c r="E240" s="617"/>
      <c r="F240" s="617"/>
      <c r="G240" s="617"/>
      <c r="H240" s="617"/>
      <c r="I240" s="617"/>
      <c r="J240" s="617"/>
      <c r="K240" s="1694">
        <f>D240</f>
        <v>3159</v>
      </c>
      <c r="L240" s="481">
        <v>5003</v>
      </c>
    </row>
    <row r="241" spans="1:12" x14ac:dyDescent="0.2">
      <c r="A241" s="1526" t="s">
        <v>869</v>
      </c>
      <c r="B241" s="615">
        <v>2220</v>
      </c>
      <c r="C241" s="617"/>
      <c r="D241" s="466">
        <v>24219</v>
      </c>
      <c r="E241" s="617"/>
      <c r="F241" s="617"/>
      <c r="G241" s="617"/>
      <c r="H241" s="617"/>
      <c r="I241" s="617"/>
      <c r="J241" s="617"/>
      <c r="K241" s="1694">
        <f>D241</f>
        <v>24219</v>
      </c>
      <c r="L241" s="466">
        <v>24800</v>
      </c>
    </row>
    <row r="242" spans="1:12" x14ac:dyDescent="0.2">
      <c r="A242" s="1526" t="s">
        <v>870</v>
      </c>
      <c r="B242" s="615">
        <v>2230</v>
      </c>
      <c r="C242" s="617"/>
      <c r="D242" s="466">
        <v>33</v>
      </c>
      <c r="E242" s="617"/>
      <c r="F242" s="617"/>
      <c r="G242" s="617"/>
      <c r="H242" s="617"/>
      <c r="I242" s="617"/>
      <c r="J242" s="617"/>
      <c r="K242" s="1694">
        <f>D242</f>
        <v>33</v>
      </c>
      <c r="L242" s="466">
        <v>600</v>
      </c>
    </row>
    <row r="243" spans="1:12" ht="12.75" customHeight="1" thickBot="1" x14ac:dyDescent="0.25">
      <c r="A243" s="1716" t="s">
        <v>582</v>
      </c>
      <c r="B243" s="1717">
        <v>2200</v>
      </c>
      <c r="C243" s="617"/>
      <c r="D243" s="1692">
        <f>SUM(D240:D242)</f>
        <v>27411</v>
      </c>
      <c r="E243" s="617"/>
      <c r="F243" s="617"/>
      <c r="G243" s="617"/>
      <c r="H243" s="617"/>
      <c r="I243" s="617"/>
      <c r="J243" s="617"/>
      <c r="K243" s="1692">
        <f>SUM(K240:K242)</f>
        <v>27411</v>
      </c>
      <c r="L243" s="1692">
        <f>SUM(L240:L242)</f>
        <v>30403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7088</v>
      </c>
      <c r="E245" s="617"/>
      <c r="F245" s="617"/>
      <c r="G245" s="617"/>
      <c r="H245" s="617"/>
      <c r="I245" s="617"/>
      <c r="J245" s="617"/>
      <c r="K245" s="1694">
        <f>D245</f>
        <v>7088</v>
      </c>
      <c r="L245" s="481">
        <v>7200</v>
      </c>
    </row>
    <row r="246" spans="1:12" x14ac:dyDescent="0.2">
      <c r="A246" s="1526" t="s">
        <v>872</v>
      </c>
      <c r="B246" s="615">
        <v>2320</v>
      </c>
      <c r="C246" s="617"/>
      <c r="D246" s="466">
        <v>2917</v>
      </c>
      <c r="E246" s="617"/>
      <c r="F246" s="617"/>
      <c r="G246" s="617"/>
      <c r="H246" s="617"/>
      <c r="I246" s="617"/>
      <c r="J246" s="617"/>
      <c r="K246" s="1694">
        <f t="shared" ref="K246:K256" si="21">D246</f>
        <v>2917</v>
      </c>
      <c r="L246" s="466">
        <v>3000</v>
      </c>
    </row>
    <row r="247" spans="1:12" x14ac:dyDescent="0.2">
      <c r="A247" s="1526" t="s">
        <v>873</v>
      </c>
      <c r="B247" s="615">
        <v>2330</v>
      </c>
      <c r="C247" s="617"/>
      <c r="D247" s="466">
        <v>14947</v>
      </c>
      <c r="E247" s="617"/>
      <c r="F247" s="617"/>
      <c r="G247" s="617"/>
      <c r="H247" s="617"/>
      <c r="I247" s="617"/>
      <c r="J247" s="617"/>
      <c r="K247" s="1694">
        <f t="shared" si="21"/>
        <v>14947</v>
      </c>
      <c r="L247" s="466">
        <v>14800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1906</v>
      </c>
      <c r="B249" s="684" t="s">
        <v>300</v>
      </c>
      <c r="C249" s="617"/>
      <c r="D249" s="474"/>
      <c r="E249" s="617"/>
      <c r="F249" s="617"/>
      <c r="G249" s="617"/>
      <c r="H249" s="617"/>
      <c r="I249" s="617"/>
      <c r="J249" s="617"/>
      <c r="K249" s="1694">
        <f t="shared" si="21"/>
        <v>0</v>
      </c>
      <c r="L249" s="466"/>
    </row>
    <row r="250" spans="1:12" x14ac:dyDescent="0.2">
      <c r="A250" s="1527" t="s">
        <v>1907</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24952</v>
      </c>
      <c r="E257" s="617"/>
      <c r="F257" s="617"/>
      <c r="G257" s="617"/>
      <c r="H257" s="617"/>
      <c r="I257" s="617"/>
      <c r="J257" s="617"/>
      <c r="K257" s="1692">
        <f>SUM(K245:K256)</f>
        <v>24952</v>
      </c>
      <c r="L257" s="1692">
        <f>SUM(L245:L256)</f>
        <v>25000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46906</v>
      </c>
      <c r="E259" s="617"/>
      <c r="F259" s="617"/>
      <c r="G259" s="617"/>
      <c r="H259" s="617"/>
      <c r="I259" s="617"/>
      <c r="J259" s="617"/>
      <c r="K259" s="1694">
        <f>D259</f>
        <v>46906</v>
      </c>
      <c r="L259" s="481">
        <v>44000</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46906</v>
      </c>
      <c r="E261" s="617"/>
      <c r="F261" s="617"/>
      <c r="G261" s="617"/>
      <c r="H261" s="617"/>
      <c r="I261" s="617"/>
      <c r="J261" s="617"/>
      <c r="K261" s="1692">
        <f>SUM(K259:K260)</f>
        <v>46906</v>
      </c>
      <c r="L261" s="1692">
        <f>SUM(L259:L260)</f>
        <v>44000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1728</v>
      </c>
      <c r="E263" s="617"/>
      <c r="F263" s="617"/>
      <c r="G263" s="617"/>
      <c r="H263" s="617"/>
      <c r="I263" s="617"/>
      <c r="J263" s="617"/>
      <c r="K263" s="1694">
        <f>D263</f>
        <v>1728</v>
      </c>
      <c r="L263" s="481">
        <v>1800</v>
      </c>
    </row>
    <row r="264" spans="1:14" x14ac:dyDescent="0.2">
      <c r="A264" s="1526" t="s">
        <v>483</v>
      </c>
      <c r="B264" s="686">
        <v>2520</v>
      </c>
      <c r="C264" s="617"/>
      <c r="D264" s="466">
        <v>24640</v>
      </c>
      <c r="E264" s="617"/>
      <c r="F264" s="617"/>
      <c r="G264" s="617"/>
      <c r="H264" s="617"/>
      <c r="I264" s="617"/>
      <c r="J264" s="617"/>
      <c r="K264" s="1694">
        <f t="shared" ref="K264:K269" si="22">D264</f>
        <v>24640</v>
      </c>
      <c r="L264" s="466">
        <v>24700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79408</v>
      </c>
      <c r="E266" s="617"/>
      <c r="F266" s="617"/>
      <c r="G266" s="617"/>
      <c r="H266" s="617"/>
      <c r="I266" s="617"/>
      <c r="J266" s="617"/>
      <c r="K266" s="1694">
        <f t="shared" si="22"/>
        <v>79408</v>
      </c>
      <c r="L266" s="466">
        <v>82602</v>
      </c>
    </row>
    <row r="267" spans="1:14" x14ac:dyDescent="0.2">
      <c r="A267" s="1526" t="s">
        <v>1010</v>
      </c>
      <c r="B267" s="615">
        <v>2550</v>
      </c>
      <c r="C267" s="617"/>
      <c r="D267" s="466">
        <v>492</v>
      </c>
      <c r="E267" s="617"/>
      <c r="F267" s="617"/>
      <c r="G267" s="617"/>
      <c r="H267" s="617"/>
      <c r="I267" s="617"/>
      <c r="J267" s="617"/>
      <c r="K267" s="1694">
        <f t="shared" si="22"/>
        <v>492</v>
      </c>
      <c r="L267" s="466">
        <v>800</v>
      </c>
    </row>
    <row r="268" spans="1:14" x14ac:dyDescent="0.2">
      <c r="A268" s="1526" t="s">
        <v>102</v>
      </c>
      <c r="B268" s="615">
        <v>2560</v>
      </c>
      <c r="C268" s="617"/>
      <c r="D268" s="466">
        <v>4225</v>
      </c>
      <c r="E268" s="617"/>
      <c r="F268" s="617"/>
      <c r="G268" s="617"/>
      <c r="H268" s="617"/>
      <c r="I268" s="617"/>
      <c r="J268" s="617"/>
      <c r="K268" s="1694">
        <f t="shared" si="22"/>
        <v>4225</v>
      </c>
      <c r="L268" s="466">
        <v>4700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110493</v>
      </c>
      <c r="E270" s="617"/>
      <c r="F270" s="617"/>
      <c r="G270" s="617"/>
      <c r="H270" s="617"/>
      <c r="I270" s="617"/>
      <c r="J270" s="617"/>
      <c r="K270" s="1692">
        <f>SUM(K263:K269)</f>
        <v>110493</v>
      </c>
      <c r="L270" s="1692">
        <f>SUM(L263:L269)</f>
        <v>114602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v>172</v>
      </c>
      <c r="E273" s="617"/>
      <c r="F273" s="617"/>
      <c r="G273" s="617"/>
      <c r="H273" s="617"/>
      <c r="I273" s="617"/>
      <c r="J273" s="617"/>
      <c r="K273" s="1694">
        <f>D273</f>
        <v>172</v>
      </c>
      <c r="L273" s="466">
        <v>803</v>
      </c>
    </row>
    <row r="274" spans="1:12" ht="12" customHeight="1" x14ac:dyDescent="0.2">
      <c r="A274" s="1526" t="s">
        <v>1121</v>
      </c>
      <c r="B274" s="615">
        <v>2630</v>
      </c>
      <c r="C274" s="617"/>
      <c r="D274" s="466">
        <v>230</v>
      </c>
      <c r="E274" s="617"/>
      <c r="F274" s="617"/>
      <c r="G274" s="617"/>
      <c r="H274" s="617"/>
      <c r="I274" s="617"/>
      <c r="J274" s="617"/>
      <c r="K274" s="1694">
        <f>D274</f>
        <v>230</v>
      </c>
      <c r="L274" s="466">
        <v>300</v>
      </c>
    </row>
    <row r="275" spans="1:12" x14ac:dyDescent="0.2">
      <c r="A275" s="1526" t="s">
        <v>423</v>
      </c>
      <c r="B275" s="615">
        <v>2640</v>
      </c>
      <c r="C275" s="617"/>
      <c r="D275" s="466">
        <v>7088</v>
      </c>
      <c r="E275" s="617"/>
      <c r="F275" s="617"/>
      <c r="G275" s="617"/>
      <c r="H275" s="617"/>
      <c r="I275" s="617"/>
      <c r="J275" s="617"/>
      <c r="K275" s="1694">
        <f>D275</f>
        <v>7088</v>
      </c>
      <c r="L275" s="466">
        <v>7200</v>
      </c>
    </row>
    <row r="276" spans="1:12" x14ac:dyDescent="0.2">
      <c r="A276" s="1526" t="s">
        <v>424</v>
      </c>
      <c r="B276" s="615">
        <v>2660</v>
      </c>
      <c r="C276" s="617"/>
      <c r="D276" s="466">
        <v>1284</v>
      </c>
      <c r="E276" s="617"/>
      <c r="F276" s="617"/>
      <c r="G276" s="617"/>
      <c r="H276" s="617"/>
      <c r="I276" s="617"/>
      <c r="J276" s="617"/>
      <c r="K276" s="1694">
        <f>D276</f>
        <v>1284</v>
      </c>
      <c r="L276" s="466">
        <v>1200</v>
      </c>
    </row>
    <row r="277" spans="1:12" ht="12.75" customHeight="1" thickBot="1" x14ac:dyDescent="0.25">
      <c r="A277" s="1713" t="s">
        <v>37</v>
      </c>
      <c r="B277" s="1691" t="s">
        <v>36</v>
      </c>
      <c r="C277" s="617"/>
      <c r="D277" s="1692">
        <f>SUM(D272:D276)</f>
        <v>8774</v>
      </c>
      <c r="E277" s="617"/>
      <c r="F277" s="617"/>
      <c r="G277" s="617"/>
      <c r="H277" s="617"/>
      <c r="I277" s="617"/>
      <c r="J277" s="617"/>
      <c r="K277" s="1692">
        <f>SUM(K272:K276)</f>
        <v>8774</v>
      </c>
      <c r="L277" s="1692">
        <f>SUM(L272:L276)</f>
        <v>9503</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276448</v>
      </c>
      <c r="E279" s="617"/>
      <c r="F279" s="617"/>
      <c r="G279" s="617"/>
      <c r="H279" s="617"/>
      <c r="I279" s="617"/>
      <c r="J279" s="617"/>
      <c r="K279" s="1699">
        <f>SUM(K238,K243,K257,K261,K270,K277,K278)</f>
        <v>276448</v>
      </c>
      <c r="L279" s="1699">
        <f>SUM(L238,L243,L257,L261,L270,L277,L278)</f>
        <v>279108</v>
      </c>
    </row>
    <row r="280" spans="1:12" ht="15.75" customHeight="1" thickTop="1" thickBot="1" x14ac:dyDescent="0.25">
      <c r="A280" s="1646" t="s">
        <v>930</v>
      </c>
      <c r="B280" s="1635">
        <v>3000</v>
      </c>
      <c r="C280" s="617"/>
      <c r="D280" s="576">
        <v>4519</v>
      </c>
      <c r="E280" s="617"/>
      <c r="F280" s="617"/>
      <c r="G280" s="617"/>
      <c r="H280" s="617"/>
      <c r="I280" s="617"/>
      <c r="J280" s="617"/>
      <c r="K280" s="1701">
        <f>D280</f>
        <v>4519</v>
      </c>
      <c r="L280" s="576">
        <v>4700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v>24264</v>
      </c>
      <c r="E283" s="617"/>
      <c r="F283" s="617"/>
      <c r="G283" s="617"/>
      <c r="H283" s="617"/>
      <c r="I283" s="617"/>
      <c r="J283" s="617"/>
      <c r="K283" s="1693">
        <f>D283</f>
        <v>24264</v>
      </c>
      <c r="L283" s="466">
        <v>24300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24264</v>
      </c>
      <c r="E285" s="617"/>
      <c r="F285" s="617"/>
      <c r="G285" s="617"/>
      <c r="H285" s="617"/>
      <c r="I285" s="617"/>
      <c r="J285" s="617"/>
      <c r="K285" s="1692">
        <f>SUM(K282:K284)</f>
        <v>24264</v>
      </c>
      <c r="L285" s="1692">
        <f>SUM(L282:L284)</f>
        <v>24300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471929</v>
      </c>
      <c r="E295" s="617"/>
      <c r="F295" s="617"/>
      <c r="G295" s="617"/>
      <c r="H295" s="1692">
        <f>H293</f>
        <v>0</v>
      </c>
      <c r="I295" s="617"/>
      <c r="J295" s="617"/>
      <c r="K295" s="1692">
        <f>SUM(K229,K279,K280,K285,K293,K294)</f>
        <v>471929</v>
      </c>
      <c r="L295" s="1692">
        <f>SUM(L229,L279,L280,L285,L293,L294)</f>
        <v>482609</v>
      </c>
    </row>
    <row r="296" spans="1:14" ht="13.5" thickTop="1" x14ac:dyDescent="0.2">
      <c r="A296" s="2174" t="s">
        <v>1053</v>
      </c>
      <c r="B296" s="2175"/>
      <c r="C296" s="617"/>
      <c r="D296" s="619"/>
      <c r="E296" s="617"/>
      <c r="F296" s="617"/>
      <c r="G296" s="617"/>
      <c r="H296" s="688"/>
      <c r="I296" s="617"/>
      <c r="J296" s="617"/>
      <c r="K296" s="1706">
        <f>'Revenues 9-14'!G275-'Expenditures 15-22'!K295</f>
        <v>-195329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2898</v>
      </c>
      <c r="D301" s="466">
        <v>315</v>
      </c>
      <c r="E301" s="466">
        <v>91473</v>
      </c>
      <c r="F301" s="466">
        <v>6743</v>
      </c>
      <c r="G301" s="466">
        <v>237357</v>
      </c>
      <c r="H301" s="466"/>
      <c r="I301" s="467"/>
      <c r="J301" s="467"/>
      <c r="K301" s="1693">
        <f>SUM(C301:J301)</f>
        <v>338786</v>
      </c>
      <c r="L301" s="467">
        <v>345654</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2898</v>
      </c>
      <c r="D303" s="1699">
        <f t="shared" ref="D303:L303" si="23">SUM(D301:D302)</f>
        <v>315</v>
      </c>
      <c r="E303" s="1699">
        <f t="shared" si="23"/>
        <v>91473</v>
      </c>
      <c r="F303" s="1699">
        <f t="shared" si="23"/>
        <v>6743</v>
      </c>
      <c r="G303" s="1699">
        <f t="shared" si="23"/>
        <v>237357</v>
      </c>
      <c r="H303" s="1699">
        <f t="shared" si="23"/>
        <v>0</v>
      </c>
      <c r="I303" s="1699">
        <f t="shared" si="23"/>
        <v>0</v>
      </c>
      <c r="J303" s="1699">
        <f t="shared" si="23"/>
        <v>0</v>
      </c>
      <c r="K303" s="1699">
        <f t="shared" si="23"/>
        <v>338786</v>
      </c>
      <c r="L303" s="1699">
        <f t="shared" si="23"/>
        <v>345654</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2898</v>
      </c>
      <c r="D312" s="1692">
        <f>SUM(D303)</f>
        <v>315</v>
      </c>
      <c r="E312" s="1692">
        <f>SUM(E303,E310)</f>
        <v>91473</v>
      </c>
      <c r="F312" s="1692">
        <f>SUM(F303)</f>
        <v>6743</v>
      </c>
      <c r="G312" s="1692">
        <f>SUM(G303)</f>
        <v>237357</v>
      </c>
      <c r="H312" s="1692">
        <f>SUM(H303,H310)</f>
        <v>0</v>
      </c>
      <c r="I312" s="1692">
        <f>SUM(I303)</f>
        <v>0</v>
      </c>
      <c r="J312" s="1692">
        <f>SUM(J303)</f>
        <v>0</v>
      </c>
      <c r="K312" s="1692">
        <f>SUM(K303,K310,K311)</f>
        <v>338786</v>
      </c>
      <c r="L312" s="1692">
        <f>SUM(L303,L310,L311)</f>
        <v>345654</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1144313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4d435f69-8686-490b-bd6d-b153bf22ab50"/>
    <ds:schemaRef ds:uri="http://schemas.openxmlformats.org/package/2006/metadata/core-properties"/>
    <ds:schemaRef ds:uri="d21dc803-237d-4c68-8692-8d731fd29118"/>
    <ds:schemaRef ds:uri="http://schemas.microsoft.com/sharepoint/v3"/>
    <ds:schemaRef ds:uri="6ce3111e-7420-4802-b50a-75d4e9a0b980"/>
    <ds:schemaRef ds:uri="http://purl.org/dc/dcmitype/"/>
    <ds:schemaRef ds:uri="http://purl.org/dc/te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DELUKA MORGAN</cp:lastModifiedBy>
  <cp:lastPrinted>2018-12-12T22:16:38Z</cp:lastPrinted>
  <dcterms:created xsi:type="dcterms:W3CDTF">2003-10-29T19:06:34Z</dcterms:created>
  <dcterms:modified xsi:type="dcterms:W3CDTF">2019-01-08T20:33:30Z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150</vt:lpwstr>
  </property>
  <property fmtid="{D5CDD505-2E9C-101B-9397-08002B2CF9AE}" pid="8" name="workpaperIndex">
    <vt:lpwstr>
    </vt:lpwstr>
  </property>
</Properties>
</file>