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81"/>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L5" i="29"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A2"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A2" i="170"/>
  <c r="B2" i="177"/>
  <c r="B2" i="174" l="1"/>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F52" i="34" s="1"/>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s="1"/>
  <c r="D1797" i="106" s="1"/>
  <c r="D1798" i="106"/>
  <c r="F9" i="7"/>
  <c r="B1799" i="106" s="1"/>
  <c r="D1799" i="106" s="1"/>
  <c r="F11" i="7"/>
  <c r="B1800" i="106" s="1"/>
  <c r="D1800" i="106" s="1"/>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c r="B5123" i="106"/>
  <c r="D5123" i="106"/>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54" i="36"/>
  <c r="D69" i="36"/>
  <c r="D71" i="36"/>
  <c r="D72" i="36"/>
  <c r="D79" i="36"/>
  <c r="B64" i="127"/>
  <c r="B65" i="127"/>
  <c r="D26" i="108"/>
  <c r="E26" i="108"/>
  <c r="F26" i="108"/>
  <c r="G26" i="108"/>
  <c r="D27" i="108"/>
  <c r="E27" i="108"/>
  <c r="G27"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E4" i="4"/>
  <c r="B2630" i="106" s="1"/>
  <c r="D2630" i="106" s="1"/>
  <c r="G5" i="4"/>
  <c r="B3409" i="106" s="1"/>
  <c r="D3409" i="106" s="1"/>
  <c r="G14" i="4"/>
  <c r="B2609" i="106" s="1"/>
  <c r="D2609" i="106" s="1"/>
  <c r="D14" i="4"/>
  <c r="B2570" i="106" s="1"/>
  <c r="D2570" i="106" s="1"/>
  <c r="F14" i="4"/>
  <c r="B2597" i="106" s="1"/>
  <c r="D2597" i="106" s="1"/>
  <c r="B2633" i="106"/>
  <c r="D2633" i="106" s="1"/>
  <c r="N22" i="3"/>
  <c r="B283" i="106" s="1"/>
  <c r="D283" i="106" s="1"/>
  <c r="D7" i="118"/>
  <c r="D8" i="118"/>
  <c r="D9" i="118"/>
  <c r="H14" i="118"/>
  <c r="H19" i="118"/>
  <c r="H24" i="118"/>
  <c r="H28" i="118"/>
  <c r="D22" i="37"/>
  <c r="H22" i="37"/>
  <c r="J22" i="37"/>
  <c r="L22" i="37"/>
  <c r="D24" i="37"/>
  <c r="B4270" i="106" s="1"/>
  <c r="D4270" i="106" s="1"/>
  <c r="L5" i="11"/>
  <c r="B2056" i="106" s="1"/>
  <c r="D2056" i="106" s="1"/>
  <c r="D4" i="7"/>
  <c r="B1760" i="106" s="1"/>
  <c r="D1760" i="106" s="1"/>
  <c r="D9" i="7"/>
  <c r="B1767" i="106" s="1"/>
  <c r="D1767" i="106" s="1"/>
  <c r="F136" i="34"/>
  <c r="F131" i="34"/>
  <c r="F130" i="34"/>
  <c r="F127" i="34"/>
  <c r="B5847" i="106"/>
  <c r="D5847" i="106" s="1"/>
  <c r="B5752" i="106"/>
  <c r="D5752" i="106" s="1"/>
  <c r="B5599" i="106"/>
  <c r="D5599" i="106" s="1"/>
  <c r="K274" i="5"/>
  <c r="H173" i="5"/>
  <c r="B5906" i="106" s="1"/>
  <c r="D5906" i="106" s="1"/>
  <c r="H109" i="5"/>
  <c r="B6025" i="106" s="1"/>
  <c r="D6025" i="106" s="1"/>
  <c r="F106" i="34"/>
  <c r="H4" i="4"/>
  <c r="B2655" i="106"/>
  <c r="D2655" i="106" s="1"/>
  <c r="B1746" i="106"/>
  <c r="D1746" i="106" s="1"/>
  <c r="D17" i="7"/>
  <c r="B4104" i="106" s="1"/>
  <c r="D4104" i="106" s="1"/>
  <c r="D12" i="7"/>
  <c r="B1769" i="106" s="1"/>
  <c r="D1769" i="106" s="1"/>
  <c r="D15" i="7"/>
  <c r="B1772" i="106" s="1"/>
  <c r="D1772" i="106" s="1"/>
  <c r="H6" i="4" l="1"/>
  <c r="B2656" i="106" s="1"/>
  <c r="D2656" i="106" s="1"/>
  <c r="D7" i="7"/>
  <c r="B1763" i="106" s="1"/>
  <c r="D1763" i="106" s="1"/>
  <c r="F111" i="34"/>
  <c r="B5770" i="106"/>
  <c r="D5770" i="106" s="1"/>
  <c r="D13" i="7"/>
  <c r="B3726" i="106" s="1"/>
  <c r="D3726" i="106" s="1"/>
  <c r="D5" i="4"/>
  <c r="B3406" i="106" s="1"/>
  <c r="D3406" i="106" s="1"/>
  <c r="I173" i="5"/>
  <c r="B4216" i="106" s="1"/>
  <c r="D4216" i="106" s="1"/>
  <c r="L367" i="29"/>
  <c r="B7235" i="106"/>
  <c r="D7235" i="106" s="1"/>
  <c r="B6191" i="106"/>
  <c r="D6191" i="106" s="1"/>
  <c r="J41" i="3"/>
  <c r="B3649" i="106"/>
  <c r="D3649" i="106" s="1"/>
  <c r="G367" i="29"/>
  <c r="B3621" i="106"/>
  <c r="D3621" i="106" s="1"/>
  <c r="C367" i="29"/>
  <c r="K24" i="12"/>
  <c r="D6103" i="106"/>
  <c r="K350" i="29"/>
  <c r="K76" i="4"/>
  <c r="B3586" i="106" s="1"/>
  <c r="D3586" i="106" s="1"/>
  <c r="D68" i="36"/>
  <c r="F19" i="7"/>
  <c r="B1807" i="106" s="1"/>
  <c r="D1807" i="106" s="1"/>
  <c r="L342" i="29"/>
  <c r="D11" i="7"/>
  <c r="B1768" i="106" s="1"/>
  <c r="D1768" i="106" s="1"/>
  <c r="G15" i="4"/>
  <c r="B6032" i="106" s="1"/>
  <c r="D6032" i="106" s="1"/>
  <c r="B3723" i="106"/>
  <c r="D3723" i="106" s="1"/>
  <c r="B1410" i="106"/>
  <c r="D1410" i="106" s="1"/>
  <c r="G109" i="5"/>
  <c r="B1329" i="106"/>
  <c r="D1329" i="106" s="1"/>
  <c r="F61" i="34"/>
  <c r="B7047" i="106"/>
  <c r="D7047" i="106" s="1"/>
  <c r="F28" i="108"/>
  <c r="C129" i="29"/>
  <c r="B1225" i="106" s="1"/>
  <c r="D1225" i="106" s="1"/>
  <c r="E28" i="108"/>
  <c r="D109" i="5"/>
  <c r="B5356" i="106" s="1"/>
  <c r="D5356" i="106" s="1"/>
  <c r="D5" i="7"/>
  <c r="B1761" i="106" s="1"/>
  <c r="D1761" i="106" s="1"/>
  <c r="C14" i="4"/>
  <c r="B2558" i="106" s="1"/>
  <c r="D2558" i="106" s="1"/>
  <c r="C172" i="5"/>
  <c r="B5214" i="106" s="1"/>
  <c r="D5214" i="106" s="1"/>
  <c r="C109" i="5"/>
  <c r="B5121" i="106" s="1"/>
  <c r="D5121" i="106" s="1"/>
  <c r="H29" i="118"/>
  <c r="K28" i="118" s="1"/>
  <c r="O27" i="118" s="1"/>
  <c r="O29" i="118" s="1"/>
  <c r="D11" i="37"/>
  <c r="B4268" i="106"/>
  <c r="D4268" i="106" s="1"/>
  <c r="H33" i="118"/>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7270" i="106"/>
  <c r="B3670" i="106" l="1"/>
  <c r="D3670" i="106" s="1"/>
  <c r="K352" i="29"/>
  <c r="B7733" i="106"/>
  <c r="D7733" i="106" s="1"/>
  <c r="K26" i="12"/>
  <c r="B7743" i="106" s="1"/>
  <c r="D7743" i="106" s="1"/>
  <c r="D7254" i="106"/>
  <c r="D7256" i="106"/>
  <c r="D7251" i="106"/>
  <c r="D7250" i="106"/>
  <c r="F274" i="5"/>
  <c r="H367" i="29"/>
  <c r="B3660" i="106" s="1"/>
  <c r="D3660" i="106" s="1"/>
  <c r="L16" i="11"/>
  <c r="B2061" i="106" s="1"/>
  <c r="D2061" i="106" s="1"/>
  <c r="B6024" i="106"/>
  <c r="D6024" i="106" s="1"/>
  <c r="G4" i="4"/>
  <c r="B2603" i="106" s="1"/>
  <c r="D2603" i="106" s="1"/>
  <c r="F275" i="5"/>
  <c r="B1317" i="106"/>
  <c r="D1317" i="106" s="1"/>
  <c r="C151" i="29"/>
  <c r="B1226" i="106" s="1"/>
  <c r="D1226" i="106" s="1"/>
  <c r="D4" i="4"/>
  <c r="B2564" i="106" s="1"/>
  <c r="D2564" i="106" s="1"/>
  <c r="D19" i="7"/>
  <c r="B1775" i="106" s="1"/>
  <c r="D1775" i="106" s="1"/>
  <c r="L114" i="29"/>
  <c r="C114" i="29"/>
  <c r="B757" i="106" s="1"/>
  <c r="D757" i="106" s="1"/>
  <c r="C173" i="5"/>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D7" i="4"/>
  <c r="D275" i="5"/>
  <c r="B5507" i="106"/>
  <c r="D5507" i="106" s="1"/>
  <c r="B7298" i="106"/>
  <c r="B7299" i="106"/>
  <c r="K13" i="4" l="1"/>
  <c r="B3572" i="106" s="1"/>
  <c r="D3572" i="106" s="1"/>
  <c r="B3672" i="106"/>
  <c r="D3672" i="106" s="1"/>
  <c r="K367" i="29"/>
  <c r="J8" i="4"/>
  <c r="J20" i="4" s="1"/>
  <c r="F8" i="4"/>
  <c r="D8" i="146" s="1"/>
  <c r="G41" i="108"/>
  <c r="G44" i="108" s="1"/>
  <c r="G45" i="108" s="1"/>
  <c r="E41" i="108"/>
  <c r="E44" i="108" s="1"/>
  <c r="E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D8" i="4"/>
  <c r="B2567" i="106"/>
  <c r="D2567" i="106" s="1"/>
  <c r="J10" i="4" l="1"/>
  <c r="B6225" i="106" s="1"/>
  <c r="D6225" i="106" s="1"/>
  <c r="B2595" i="106"/>
  <c r="D2595" i="106" s="1"/>
  <c r="F10" i="4"/>
  <c r="B4125" i="106" s="1"/>
  <c r="D412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<sst xmlns="http://schemas.openxmlformats.org/spreadsheetml/2006/main" count="5036" uniqueCount="2105">
  <si>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</si>
  <si>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</si>
  <si>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</si>
  <si>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</si>
  <si>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</si>
  <si>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</si>
  <si>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</si>
  <si>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</si>
  <si>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</si>
  <si>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</si>
  <si>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</si>
  <si>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</si>
  <si>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</si>
  <si>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</si>
  <si>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</si>
  <si>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</si>
  <si>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</si>
  <si>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</si>
  <si>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</si>
  <si>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</si>
  <si>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</si>
  <si>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</si>
  <si>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</si>
  <si>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</si>
  <si>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</si>
  <si>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</si>
  <si>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</si>
  <si>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</si>
  <si>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</si>
  <si>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</si>
  <si>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</si>
  <si>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</si>
  <si>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</si>
  <si>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</si>
  <si>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</si>
  <si>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</si>
  <si>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</si>
  <si>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</si>
  <si>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</si>
  <si>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</si>
  <si>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</si>
  <si>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</si>
  <si>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</si>
  <si>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</si>
  <si>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</si>
  <si>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</si>
  <si>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</si>
  <si>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</si>
  <si>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</si>
  <si>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</si>
  <si>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</si>
  <si>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</si>
  <si>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</si>
  <si>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</si>
  <si>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</si>
  <si>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</si>
  <si>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</si>
  <si>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</si>
  <si>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</si>
  <si>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</si>
  <si>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</si>
  <si>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</si>
  <si>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</si>
  <si>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</si>
  <si>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</si>
  <si>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</si>
  <si>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</si>
  <si>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</si>
  <si>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</si>
  <si>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</si>
  <si>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</si>
  <si>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</si>
  <si>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</si>
  <si>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</si>
  <si>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</si>
  <si>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</si>
  <si>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</si>
  <si>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</si>
  <si>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</si>
  <si>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</si>
  <si>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</si>
  <si>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</si>
  <si>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</si>
  <si>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</si>
  <si>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</si>
  <si>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</si>
  <si>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</si>
  <si>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</si>
  <si>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</si>
  <si>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</si>
  <si>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</si>
  <si>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</si>
  <si>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</si>
  <si>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</si>
  <si>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</si>
  <si>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</si>
  <si>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</si>
  <si>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</si>
  <si>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</si>
  <si>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</si>
  <si>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</si>
  <si>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</si>
  <si>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</si>
  <si>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</si>
  <si>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</si>
  <si>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</si>
  <si>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</si>
  <si>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</si>
  <si>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</si>
  <si>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</si>
  <si>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</si>
  <si>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</si>
  <si>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</si>
  <si>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</si>
  <si>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</si>
  <si>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</si>
  <si>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</si>
  <si>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</si>
  <si>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</si>
  <si>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</si>
  <si>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</si>
  <si>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</si>
  <si>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</si>
  <si>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</si>
  <si>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</si>
  <si>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</si>
  <si>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</si>
  <si>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</si>
  <si>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</si>
  <si>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</si>
  <si>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</si>
  <si>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</si>
  <si>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</si>
  <si>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</si>
  <si>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</si>
  <si>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</si>
  <si>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</si>
  <si>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</si>
  <si>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</si>
  <si>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</si>
  <si>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</si>
  <si>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</si>
  <si>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</si>
  <si>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</si>
  <si>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</si>
  <si>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</si>
  <si>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</si>
  <si>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</si>
  <si>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</si>
  <si>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</si>
  <si>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</si>
  <si>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</si>
  <si>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</si>
  <si>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</si>
  <si>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</si>
  <si>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</si>
  <si>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</si>
  <si>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</si>
  <si>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</si>
  <si>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</si>
  <si>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</si>
  <si>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</si>
  <si>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</si>
  <si>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</si>
  <si>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</si>
  <si>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</si>
  <si>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</si>
  <si>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</si>
  <si>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</si>
  <si>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</si>
  <si>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</si>
  <si>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</si>
  <si>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</si>
  <si>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</si>
  <si>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</si>
  <si>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</si>
  <si>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</si>
  <si>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</si>
  <si>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</si>
  <si>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</si>
  <si>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</si>
  <si>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</si>
  <si>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</si>
  <si>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</si>
  <si>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</si>
  <si>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</si>
  <si>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</si>
  <si>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</si>
  <si>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</si>
  <si>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</si>
  <si>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</si>
  <si>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</si>
  <si>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</si>
  <si>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</si>
  <si>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</si>
  <si>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</si>
  <si>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</si>
  <si>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</si>
  <si>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</si>
  <si>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</si>
  <si>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</si>
  <si>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</si>
  <si>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</si>
  <si>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</si>
  <si>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</si>
  <si>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</si>
  <si>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</si>
  <si>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</si>
  <si>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</si>
  <si>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</si>
  <si>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</si>
  <si>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</si>
  <si>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</si>
  <si>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</si>
  <si>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</si>
  <si>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</si>
  <si>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</si>
  <si>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</si>
  <si>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</si>
  <si>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</si>
  <si>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</si>
  <si>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</si>
  <si>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</si>
  <si>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</si>
  <si>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</si>
  <si>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</si>
  <si>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</si>
  <si>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</si>
  <si>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</si>
  <si>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</si>
  <si>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</si>
  <si>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</si>
  <si>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</si>
  <si>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</si>
  <si>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</si>
  <si>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</si>
  <si>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</si>
  <si>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</si>
  <si>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</si>
  <si>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</si>
  <si>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</si>
  <si>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</si>
  <si>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</si>
  <si>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</si>
  <si>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</si>
  <si>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</si>
  <si>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</si>
  <si>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</si>
  <si>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</si>
  <si>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</si>
  <si>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</si>
  <si>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</si>
  <si>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</si>
  <si>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</si>
  <si>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</si>
  <si>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</si>
  <si>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</si>
  <si>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</si>
  <si>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</si>
  <si>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</si>
  <si>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</si>
  <si>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</si>
  <si>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</si>
  <si>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</si>
  <si>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</si>
  <si>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</si>
  <si>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</si>
  <si>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</si>
  <si>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</si>
  <si>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</si>
  <si>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</si>
  <si>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</si>
  <si>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</si>
  <si>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</si>
  <si>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</si>
  <si>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</si>
  <si>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</si>
  <si>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</si>
  <si>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</si>
  <si>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</si>
  <si>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</si>
  <si>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</si>
  <si>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</si>
  <si>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</si>
  <si>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</si>
  <si>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</si>
  <si>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</si>
  <si>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</si>
  <si>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</si>
  <si>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</si>
  <si>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</si>
  <si>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</si>
  <si>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</si>
  <si>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</si>
  <si>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</si>
  <si>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</si>
  <si>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</si>
  <si>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</si>
  <si>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</si>
  <si>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</si>
  <si>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</si>
  <si>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</si>
  <si>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</si>
  <si>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</si>
  <si>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</si>
  <si>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</si>
  <si>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</si>
  <si>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</si>
  <si>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</si>
  <si>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</si>
  <si>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</si>
  <si>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</si>
  <si>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</si>
  <si>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</si>
  <si>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</si>
  <si>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</si>
  <si>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</si>
  <si>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</si>
  <si>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</si>
  <si>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</si>
  <si>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</si>
  <si>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</si>
  <si>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</si>
  <si>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</si>
  <si>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</si>
  <si>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</si>
  <si>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</si>
  <si>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</si>
  <si>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</si>
  <si>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</si>
  <si>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</si>
  <si>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</si>
  <si>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</si>
  <si>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</si>
  <si>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</si>
  <si>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</si>
  <si>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</si>
  <si>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</si>
  <si>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</si>
  <si>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</si>
  <si>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</si>
  <si>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</si>
  <si>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</si>
  <si>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</si>
  <si>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</si>
  <si>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</si>
  <si>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</si>
  <si>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</si>
  <si>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</si>
  <si>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</si>
  <si>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</si>
  <si>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</si>
  <si>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</si>
  <si>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</si>
  <si>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</si>
  <si>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</si>
  <si>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</si>
  <si>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</si>
  <si>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</si>
  <si>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</si>
  <si>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</si>
  <si>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</si>
  <si>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</si>
  <si>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</si>
  <si>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</si>
  <si>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</si>
  <si>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</si>
  <si>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</si>
  <si>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</si>
  <si>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</si>
  <si>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</si>
  <si>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</si>
  <si>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</si>
  <si>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</si>
  <si>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</si>
  <si>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</si>
  <si>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</si>
  <si>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</si>
  <si>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</si>
  <si>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</si>
  <si>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</si>
  <si>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</si>
  <si>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</si>
  <si>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</si>
  <si>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</si>
  <si>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</si>
  <si>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</si>
  <si>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</si>
  <si>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</si>
  <si>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</si>
  <si>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</si>
  <si>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</si>
  <si>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</si>
  <si>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</si>
  <si>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</si>
  <si>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</si>
  <si>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</si>
  <si>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</si>
  <si>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</si>
  <si>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</si>
  <si>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</si>
  <si>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</si>
  <si>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</si>
  <si>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</si>
  <si>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</si>
  <si>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</si>
  <si>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</si>
  <si>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</si>
  <si>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</si>
  <si>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</si>
  <si>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</si>
  <si>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</si>
  <si>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</si>
  <si>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</si>
  <si>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</si>
  <si>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</si>
  <si>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</si>
  <si>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</si>
  <si>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</si>
  <si>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</si>
  <si>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</si>
  <si>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</si>
  <si>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</si>
  <si>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</si>
  <si>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</si>
  <si>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</si>
  <si>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</si>
  <si>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</si>
  <si>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</si>
  <si>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</si>
  <si>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</si>
  <si>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</si>
  <si>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</si>
  <si>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</si>
  <si>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</si>
  <si>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</si>
  <si>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</si>
  <si>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</si>
  <si>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</si>
  <si>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</si>
  <si>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</si>
  <si>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</si>
  <si>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</si>
  <si>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</si>
  <si>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</si>
  <si>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</si>
  <si>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</si>
  <si>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</si>
  <si>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</si>
  <si>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</si>
  <si>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</si>
  <si>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</si>
  <si>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</si>
  <si>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</si>
  <si>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</si>
  <si>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</si>
  <si>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</si>
  <si>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</si>
  <si>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</si>
  <si>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</si>
  <si>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</si>
  <si>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</si>
  <si>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</si>
  <si>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</si>
  <si>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</si>
  <si>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</si>
  <si>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</si>
  <si>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</si>
  <si>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</si>
  <si>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</si>
  <si>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</si>
  <si>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</si>
  <si>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</si>
  <si>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</si>
  <si>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</si>
  <si>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</si>
  <si>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</si>
  <si>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</si>
  <si>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</si>
  <si>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</si>
  <si>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</si>
  <si>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</si>
  <si>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</si>
  <si>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</si>
  <si>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</si>
  <si>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</si>
  <si>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</si>
  <si>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</si>
  <si>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</si>
  <si>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</si>
  <si>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</si>
  <si>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</si>
  <si>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</si>
  <si>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</si>
  <si>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</si>
  <si>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</si>
  <si>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</si>
  <si>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</si>
  <si>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</si>
  <si>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</si>
  <si>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</si>
  <si>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</si>
  <si>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</si>
  <si>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</si>
  <si>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</si>
  <si>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</si>
  <si>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</si>
  <si>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</si>
  <si>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</si>
  <si>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</si>
  <si>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</si>
  <si>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</si>
  <si>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</si>
  <si>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</si>
  <si>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</si>
  <si>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</si>
  <si>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</si>
  <si>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</si>
  <si>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</si>
  <si>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</si>
  <si>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</si>
  <si>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</si>
  <si>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</si>
  <si>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</si>
  <si>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</si>
  <si>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</si>
  <si>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</si>
  <si>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</si>
  <si>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</si>
  <si>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</si>
  <si>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</si>
  <si>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</si>
  <si>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</si>
  <si>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</si>
  <si>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</si>
  <si>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</si>
  <si>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</si>
  <si>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</si>
  <si>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</si>
  <si>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</si>
  <si>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</si>
  <si>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</si>
  <si>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</si>
  <si>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</si>
  <si>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</si>
  <si>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</si>
  <si>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</si>
  <si>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</si>
  <si>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</si>
  <si>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</si>
  <si>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</si>
  <si>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</si>
  <si>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</si>
  <si>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</si>
  <si>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</si>
  <si>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</si>
  <si>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</si>
  <si>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</si>
  <si>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</si>
  <si>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</si>
  <si>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</si>
  <si>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</si>
  <si>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</si>
  <si>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</si>
  <si>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</si>
  <si>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</si>
  <si>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</si>
  <si>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</si>
  <si>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</si>
  <si>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</si>
  <si>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</si>
  <si>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</si>
  <si>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</si>
  <si>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</si>
  <si>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</si>
  <si>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</si>
  <si>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</si>
  <si>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</si>
  <si>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</si>
  <si>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</si>
  <si>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</si>
  <si>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</si>
  <si>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</si>
  <si>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</si>
  <si>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</si>
  <si>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</si>
  <si>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</si>
  <si>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</si>
  <si>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</si>
  <si>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</si>
  <si>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</si>
  <si>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</si>
  <si>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</si>
  <si>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</si>
  <si>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</si>
  <si>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</si>
  <si>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</si>
  <si>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</si>
  <si>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</si>
  <si>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</si>
  <si>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</si>
  <si>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</si>
  <si>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</si>
  <si>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</si>
  <si>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</si>
  <si>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</si>
  <si>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</si>
  <si>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</si>
  <si>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</si>
  <si>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</si>
  <si>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</si>
  <si>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</si>
  <si>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</si>
  <si>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</si>
  <si>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</si>
  <si>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</si>
  <si>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</si>
  <si>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</si>
  <si>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</si>
  <si>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</si>
  <si>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</si>
  <si>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</si>
  <si>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</si>
  <si>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</si>
  <si>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</si>
  <si>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</si>
  <si>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</si>
  <si>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</si>
  <si>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</si>
  <si>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</si>
  <si>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</si>
  <si>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</si>
  <si>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</si>
  <si>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</si>
  <si>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</si>
  <si>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</si>
  <si>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</si>
  <si>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</si>
  <si>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</si>
  <si>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</si>
  <si>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</si>
  <si>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</si>
  <si>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</si>
  <si>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</si>
  <si>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</si>
  <si>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</si>
  <si>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</si>
  <si>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</si>
  <si>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</si>
  <si>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</si>
  <si>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</si>
  <si>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</si>
  <si>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</si>
  <si>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</si>
  <si>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</si>
  <si>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</si>
  <si>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</si>
  <si>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</si>
  <si>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</si>
  <si>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</si>
  <si>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</si>
  <si>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</si>
  <si>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</si>
  <si>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</si>
  <si>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</si>
  <si>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</si>
  <si>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</si>
  <si>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</si>
  <si>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</si>
  <si>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</si>
  <si>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</si>
  <si>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</si>
  <si>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</si>
  <si>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</si>
  <si>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</si>
  <si>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</si>
  <si>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</si>
  <si>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</si>
  <si>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</si>
  <si>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</si>
  <si>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</si>
  <si>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</si>
  <si>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</si>
  <si>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</si>
  <si>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</si>
  <si>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</si>
  <si>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</si>
  <si>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</si>
  <si>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</si>
  <si>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</si>
  <si>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</si>
  <si>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</si>
  <si>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</si>
  <si>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</si>
  <si>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</si>
  <si>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</si>
  <si>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</si>
  <si>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</si>
  <si>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</si>
  <si>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</si>
  <si>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</si>
  <si>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</si>
  <si>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</si>
  <si>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</si>
  <si>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</si>
  <si>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</si>
  <si>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</si>
  <si>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</si>
  <si>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</si>
  <si>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</si>
  <si>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</si>
  <si>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</si>
  <si>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</si>
  <si>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</si>
  <si>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</si>
  <si>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</si>
  <si>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</si>
  <si>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</si>
  <si>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</si>
  <si>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</si>
  <si>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</si>
  <si>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</si>
  <si>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</si>
  <si>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</si>
  <si>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</si>
  <si>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</si>
  <si>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</si>
  <si>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</si>
  <si>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</si>
  <si>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</si>
  <si>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</si>
  <si>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</si>
  <si>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</si>
  <si>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</si>
  <si>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</si>
  <si>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</si>
  <si>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</si>
  <si>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</si>
  <si>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</si>
  <si>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</si>
  <si>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</si>
  <si>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</si>
  <si>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</si>
  <si>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</si>
  <si>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</si>
  <si>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</si>
  <si>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</si>
  <si>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</si>
  <si>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</si>
  <si>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</si>
  <si>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</si>
  <si>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</si>
  <si>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</si>
  <si>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</si>
  <si>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</si>
  <si>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</si>
  <si>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</si>
  <si>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</si>
  <si>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</si>
  <si>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</si>
  <si>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</si>
  <si>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</si>
  <si>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</si>
  <si>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</si>
  <si>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</si>
  <si>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</si>
  <si>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</si>
  <si>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</si>
  <si>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</si>
  <si>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</si>
  <si>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</si>
  <si>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</si>
  <si>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</si>
  <si>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</si>
  <si>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</si>
  <si>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</si>
  <si>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</si>
  <si>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</si>
  <si>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</si>
  <si>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</si>
  <si>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</si>
  <si>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</si>
  <si>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</si>
  <si>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</si>
  <si>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</si>
  <si>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</si>
  <si>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</si>
  <si>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</si>
  <si>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</si>
  <si>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</si>
  <si>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</si>
  <si>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</si>
  <si>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</si>
  <si>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</si>
  <si>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</si>
  <si>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</si>
  <si>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</si>
  <si>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</si>
  <si>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</si>
  <si>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</si>
  <si>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</si>
  <si>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</si>
  <si>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</si>
  <si>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</si>
  <si>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</si>
  <si>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</si>
  <si>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</si>
  <si>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</si>
  <si>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</si>
  <si>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</si>
  <si>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</si>
  <si>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</si>
  <si>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</si>
  <si>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</si>
  <si>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</si>
  <si>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</si>
  <si>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</si>
  <si>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</si>
  <si>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</si>
  <si>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</si>
  <si>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</si>
  <si>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</si>
  <si>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</si>
  <si>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</si>
  <si>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</si>
  <si>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</si>
  <si>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</si>
  <si>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</si>
  <si>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</si>
  <si>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</si>
  <si>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</si>
  <si>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</si>
  <si>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</si>
  <si>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</si>
  <si>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</si>
  <si>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</si>
  <si>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</si>
  <si>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</si>
  <si>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</si>
  <si>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</si>
  <si>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</si>
  <si>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</si>
  <si>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</si>
  <si>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</si>
  <si>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</si>
  <si>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</si>
  <si>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</si>
  <si>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</si>
  <si>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</si>
  <si>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</si>
  <si>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</si>
  <si>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</si>
  <si>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</si>
  <si>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</si>
  <si>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</si>
  <si>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</si>
  <si>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</si>
  <si>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</si>
  <si>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</si>
  <si>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</si>
  <si>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</si>
  <si>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</si>
  <si>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</si>
  <si>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</si>
  <si>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</si>
  <si>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</si>
  <si>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</si>
  <si>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</si>
  <si>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</si>
  <si>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</si>
  <si>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</si>
  <si>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</si>
  <si>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</si>
  <si>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</si>
  <si>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</si>
  <si>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</si>
  <si>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</si>
  <si>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</si>
  <si>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</si>
  <si>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</si>
  <si>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</si>
  <si>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</si>
  <si>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</si>
  <si>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</si>
  <si>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</si>
  <si>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</si>
  <si>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</si>
  <si>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</si>
  <si>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</si>
  <si>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</si>
  <si>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</si>
  <si>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</si>
  <si>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</si>
  <si>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</si>
  <si>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</si>
  <si>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</si>
  <si>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</si>
  <si>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</si>
  <si>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</si>
  <si>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</si>
  <si>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</si>
  <si>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</si>
  <si>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</si>
  <si>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</si>
  <si>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</si>
  <si>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</si>
  <si>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</si>
  <si>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</si>
  <si>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</si>
  <si>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</si>
  <si>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</si>
  <si>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</si>
  <si>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</si>
  <si>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</si>
  <si>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</si>
  <si>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</si>
  <si>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</si>
  <si>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</si>
  <si>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</si>
  <si>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</si>
  <si>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</si>
  <si>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</si>
  <si>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</si>
  <si>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</si>
  <si>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</si>
  <si>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</si>
  <si>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</si>
  <si>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</si>
  <si>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</si>
  <si>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</si>
  <si>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</si>
  <si>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</si>
  <si>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</si>
  <si>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</si>
  <si>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</si>
  <si>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</si>
  <si>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</si>
  <si>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</si>
  <si>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</si>
  <si>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</si>
  <si>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</si>
  <si>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</si>
  <si>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</si>
  <si>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</si>
  <si>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</si>
  <si>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</si>
  <si>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</si>
  <si>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</si>
  <si>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</si>
  <si>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</si>
  <si>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</si>
  <si>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</si>
  <si>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</si>
  <si>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</si>
  <si>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</si>
  <si>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</si>
  <si>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</si>
  <si>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</si>
  <si>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</si>
  <si>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</si>
  <si>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</si>
  <si>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</si>
  <si>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</si>
  <si>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</si>
  <si>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</si>
  <si>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</si>
  <si>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</si>
  <si>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</si>
  <si>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</si>
  <si>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</si>
  <si>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</si>
  <si>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</si>
  <si>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</si>
  <si>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</si>
  <si>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</si>
  <si>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</si>
  <si>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</si>
  <si>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</si>
  <si>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</si>
  <si>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</si>
  <si>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</si>
  <si>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</si>
  <si>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</si>
  <si>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</si>
  <si>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</si>
  <si>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</si>
  <si>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</si>
  <si>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</si>
  <si>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</si>
  <si>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</si>
  <si>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</si>
  <si>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</si>
  <si>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</si>
  <si>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</si>
  <si>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</si>
  <si>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</si>
  <si>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</si>
  <si>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</si>
  <si>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</si>
  <si>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</si>
  <si>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</si>
  <si>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</si>
  <si>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</si>
  <si>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</si>
  <si>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</si>
  <si>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</si>
  <si>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</si>
  <si>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</si>
  <si>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</si>
  <si>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</si>
  <si>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</si>
  <si>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</si>
  <si>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</si>
  <si>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</si>
  <si>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</si>
  <si>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</si>
  <si>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</si>
  <si>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</si>
  <si>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</si>
  <si>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</si>
  <si>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</si>
  <si>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</si>
  <si>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</si>
  <si>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</si>
  <si>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</si>
  <si>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</si>
  <si>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</si>
  <si>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</si>
  <si>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</si>
  <si>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</si>
  <si>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</si>
  <si>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</si>
  <si>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</si>
  <si>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</si>
  <si>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</si>
  <si>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</si>
  <si>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</si>
  <si>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</si>
  <si>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</si>
  <si>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</si>
  <si>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</si>
  <si>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</si>
  <si>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</si>
  <si>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</si>
  <si>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</si>
  <si>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</si>
  <si>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</si>
  <si>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</si>
  <si>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</si>
  <si>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</si>
  <si>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</si>
  <si>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</si>
  <si>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</si>
  <si>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</si>
  <si>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</si>
  <si>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</si>
  <si>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</si>
  <si>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</si>
  <si>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</si>
  <si>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</si>
  <si>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</si>
  <si>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</si>
  <si>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</si>
  <si>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</si>
  <si>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</si>
  <si>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</si>
  <si>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</si>
  <si>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</si>
  <si>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</si>
  <si>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</si>
  <si>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</si>
  <si>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</si>
  <si>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</si>
  <si>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</si>
  <si>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</si>
  <si>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</si>
  <si>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</si>
  <si>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</si>
  <si>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</si>
  <si>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</si>
  <si>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</si>
  <si>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</si>
  <si>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</si>
  <si>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</si>
  <si>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</si>
  <si>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</si>
  <si>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</si>
  <si>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</si>
  <si>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</si>
  <si>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</si>
  <si>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</si>
  <si>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</si>
  <si>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</si>
  <si>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</si>
  <si>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</si>
  <si>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</si>
  <si>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</si>
  <si>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</si>
  <si>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</si>
  <si>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</si>
  <si>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</si>
  <si>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</si>
  <si>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</si>
  <si>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</si>
  <si>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</si>
  <si>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</si>
  <si>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</si>
  <si>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</si>
  <si>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</si>
  <si>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</si>
  <si>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</si>
  <si>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</si>
  <si>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</si>
  <si>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</si>
  <si>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</si>
  <si>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</si>
  <si>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</si>
  <si>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</si>
  <si>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</si>
  <si>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</si>
  <si>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</si>
  <si>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</si>
  <si>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</si>
  <si>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</si>
  <si>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</si>
  <si>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</si>
  <si>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</si>
  <si>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</si>
  <si>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</si>
  <si>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</si>
  <si>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</si>
  <si>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</si>
  <si>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</si>
  <si>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</si>
  <si>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</si>
  <si>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</si>
  <si>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</si>
  <si>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</si>
  <si>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</si>
  <si>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</si>
  <si>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</si>
  <si>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</si>
  <si>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</si>
  <si>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</si>
  <si>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</si>
  <si>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</si>
  <si>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</si>
  <si>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</si>
  <si>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</si>
  <si>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</si>
  <si>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</si>
  <si>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</si>
  <si>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</si>
  <si>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</si>
  <si>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</si>
  <si>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</si>
  <si>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</si>
  <si>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</si>
  <si>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</si>
  <si>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</si>
  <si>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</si>
  <si>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</si>
  <si>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</si>
  <si>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</si>
  <si>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</si>
  <si>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</si>
  <si>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</si>
  <si>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</si>
  <si>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</si>
  <si>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</si>
  <si>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</si>
  <si>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</si>
  <si>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</si>
  <si>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</si>
  <si>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</si>
  <si>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</si>
  <si>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</si>
  <si>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</si>
  <si>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</si>
  <si>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</si>
  <si>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</si>
  <si>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</si>
  <si>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</si>
  <si>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</si>
  <si>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</si>
  <si>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</si>
  <si>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</si>
  <si>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</si>
  <si>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</si>
  <si>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</si>
  <si>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</si>
  <si>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</si>
  <si>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</si>
  <si>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</si>
  <si>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</si>
  <si>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</si>
  <si>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</si>
  <si>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</si>
  <si>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</si>
  <si>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</si>
  <si>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</si>
  <si>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</si>
  <si>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</si>
  <si>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</si>
  <si>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</si>
  <si>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</si>
  <si>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</si>
  <si>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</si>
  <si>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</si>
  <si>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</si>
  <si>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</si>
  <si>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</si>
  <si>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</si>
  <si>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</si>
  <si>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</si>
  <si>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</si>
  <si>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</si>
  <si>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</si>
  <si>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</si>
  <si>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</si>
  <si>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</si>
  <si>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</si>
  <si>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</si>
  <si>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</si>
  <si>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</si>
  <si>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</si>
  <si>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</si>
  <si>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</si>
  <si>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</si>
  <si>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</si>
  <si>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</si>
  <si>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</si>
  <si>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</si>
  <si>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</si>
  <si>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</si>
  <si>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</si>
  <si>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</si>
  <si>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</si>
  <si>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</si>
  <si>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</si>
  <si>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</si>
  <si>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</si>
  <si>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</si>
  <si>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</si>
  <si>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</si>
  <si>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</si>
  <si>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</si>
  <si>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</si>
  <si>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</si>
  <si>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</si>
  <si>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</si>
  <si>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</si>
  <si>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</si>
  <si>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</si>
  <si>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</si>
  <si>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</si>
  <si>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</si>
  <si>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</si>
  <si>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</si>
  <si>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</si>
  <si>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</si>
  <si>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</si>
  <si>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</si>
  <si>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</si>
  <si>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</si>
  <si>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</si>
  <si>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</si>
  <si>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</si>
  <si>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</si>
  <si>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</si>
  <si>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</si>
  <si>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</si>
  <si>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</si>
  <si>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</si>
  <si>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</si>
  <si>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</si>
  <si>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</si>
  <si>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</si>
  <si>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</si>
  <si>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</si>
  <si>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</si>
  <si>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</si>
  <si>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</si>
  <si>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</si>
  <si>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</si>
  <si>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</si>
  <si>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</si>
  <si>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</si>
  <si>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</si>
  <si>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</si>
  <si>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</si>
  <si>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</si>
  <si>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</si>
  <si>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</si>
  <si>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</si>
  <si>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</si>
  <si>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</si>
  <si>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</si>
  <si>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</si>
  <si>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</si>
  <si>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</si>
  <si>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</si>
  <si>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</si>
  <si>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</si>
  <si>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</si>
  <si>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</si>
  <si>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</si>
  <si>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</si>
  <si>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</si>
  <si>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</si>
  <si>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</si>
  <si>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</si>
  <si>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</si>
  <si>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</si>
  <si>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</si>
  <si>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</si>
  <si>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</si>
  <si>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</si>
  <si>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</si>
  <si>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</si>
  <si>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</si>
  <si>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</si>
  <si>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</si>
  <si>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</si>
  <si>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</si>
  <si>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</si>
  <si>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</si>
  <si>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</si>
  <si>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</si>
  <si>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</si>
  <si>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</si>
  <si>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</si>
  <si>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</si>
  <si>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</si>
  <si>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</si>
  <si>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</si>
  <si>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</si>
  <si>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</si>
  <si>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</si>
  <si>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</si>
  <si>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</si>
  <si>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</si>
  <si>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</si>
  <si>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</si>
  <si>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</si>
  <si>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</si>
  <si>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</si>
  <si>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</si>
  <si>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</si>
  <si>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</si>
  <si>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</si>
  <si>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</si>
  <si>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</si>
  <si>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</si>
  <si>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</si>
  <si>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</si>
  <si>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</si>
  <si>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</si>
  <si>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</si>
  <si>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</si>
  <si>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</si>
  <si>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</si>
  <si>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</si>
  <si>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</si>
  <si>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</si>
  <si>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</si>
  <si>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</si>
  <si>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</si>
  <si>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</si>
  <si>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</si>
  <si>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</si>
  <si>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</si>
  <si>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</si>
  <si>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</si>
  <si>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</si>
  <si>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</si>
  <si>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</si>
  <si>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</si>
  <si>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</si>
  <si>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</si>
  <si>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</si>
  <si>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</si>
  <si>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</si>
  <si>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</si>
  <si>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</si>
  <si>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</si>
  <si>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</si>
  <si>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</si>
  <si>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</si>
  <si>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</si>
  <si>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</si>
  <si>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</si>
  <si>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</si>
  <si>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</si>
  <si>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</si>
  <si>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</si>
  <si>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</si>
  <si>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</si>
  <si>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</si>
  <si>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</si>
  <si>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</si>
  <si>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</si>
  <si>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</si>
  <si>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</si>
  <si>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</si>
  <si>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</si>
  <si>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</si>
  <si>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</si>
  <si>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</si>
  <si>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</si>
  <si>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</si>
  <si>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</si>
  <si>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</si>
  <si>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</si>
  <si>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</si>
  <si>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</si>
  <si>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</si>
  <si>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</si>
  <si>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</si>
  <si>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</si>
  <si>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</si>
  <si>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</si>
  <si>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</si>
  <si>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</si>
  <si>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</si>
  <si>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</si>
  <si>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</si>
  <si>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</si>
  <si>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</si>
  <si>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</si>
  <si>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</si>
  <si>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</si>
  <si>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</si>
  <si>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</si>
  <si>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</si>
  <si>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</si>
  <si>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</si>
  <si>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</si>
  <si>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</si>
  <si>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</si>
  <si>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</si>
  <si>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</si>
  <si>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</si>
  <si>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</si>
  <si>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</si>
  <si>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</si>
  <si>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</si>
  <si>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</si>
  <si>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</si>
  <si>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</si>
  <si>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</si>
  <si>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</si>
  <si>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</si>
  <si>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</si>
  <si>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</si>
  <si>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</si>
  <si>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</si>
  <si>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</si>
  <si>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</si>
  <si>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</si>
  <si>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</si>
  <si>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</si>
  <si>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</si>
  <si>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</si>
  <si>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</si>
  <si>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</si>
  <si>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</si>
  <si>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</si>
  <si>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</si>
  <si>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</si>
  <si>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</si>
  <si>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</si>
  <si>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</si>
  <si>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</si>
  <si>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</si>
  <si>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</si>
  <si>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</si>
  <si>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</si>
  <si>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</si>
  <si>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</si>
  <si>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</si>
  <si>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</si>
  <si>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</si>
  <si>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</si>
  <si>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</si>
  <si>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</si>
  <si>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</si>
  <si>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</si>
  <si>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</si>
  <si>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</si>
  <si>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</si>
  <si>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</si>
  <si>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</si>
  <si>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</si>
  <si>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</si>
  <si>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</si>
  <si>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</si>
  <si>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</si>
  <si>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</si>
  <si>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</si>
  <si>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</si>
  <si>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</si>
  <si>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</si>
  <si>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</si>
  <si>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</si>
  <si>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</si>
  <si>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</si>
  <si>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</si>
  <si>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</si>
  <si>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</si>
  <si>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</si>
  <si>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</si>
  <si>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</si>
  <si>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</si>
  <si>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</si>
  <si>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</si>
  <si>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</si>
  <si>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</si>
  <si>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</si>
  <si>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</si>
  <si>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</si>
  <si>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</si>
  <si>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</si>
  <si>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</si>
  <si>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</si>
  <si>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</si>
  <si>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</si>
  <si>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</si>
  <si>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</si>
  <si>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</si>
  <si>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</si>
  <si>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</si>
  <si>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</si>
  <si>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</si>
  <si>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</si>
  <si>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</si>
  <si>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</si>
  <si>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</si>
  <si>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</si>
  <si>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</si>
  <si>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</si>
  <si>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</si>
  <si>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</si>
  <si>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</si>
  <si>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</si>
  <si>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</si>
  <si>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</si>
  <si>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</si>
  <si>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</si>
  <si>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</si>
  <si>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</si>
  <si>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</si>
  <si>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</si>
  <si>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</si>
  <si>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</si>
  <si>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</si>
  <si>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</si>
  <si>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</si>
  <si>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</si>
  <si>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</si>
  <si>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</si>
  <si>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</si>
  <si>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</si>
  <si>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</si>
  <si>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</si>
  <si>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</si>
  <si>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</si>
  <si>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</si>
  <si>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</si>
  <si>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</si>
  <si>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</si>
  <si>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</si>
  <si>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</si>
  <si>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</si>
  <si>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</si>
  <si>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</si>
  <si>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</si>
  <si>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</si>
  <si>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</si>
  <si>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</si>
  <si>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</si>
  <si>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</si>
  <si>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</si>
  <si>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</si>
  <si>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</si>
  <si>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</si>
  <si>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</si>
  <si>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</si>
  <si>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</si>
  <si>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</si>
  <si>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</si>
  <si>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</si>
  <si>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</si>
  <si>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</si>
  <si>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</si>
  <si>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</si>
  <si>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</si>
  <si>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</si>
  <si>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</si>
  <si>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</si>
  <si>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</si>
  <si>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</si>
  <si>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</si>
  <si>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</si>
  <si>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</si>
  <si>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</si>
  <si>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</si>
  <si>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</si>
  <si>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</si>
  <si>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</si>
  <si>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</si>
  <si>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</si>
  <si>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</si>
  <si>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</si>
  <si>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</si>
  <si>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</si>
  <si>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</si>
  <si>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</si>
  <si>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</si>
  <si>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</si>
  <si>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</si>
  <si>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</si>
  <si>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</si>
  <si>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</si>
  <si>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</si>
  <si>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</si>
  <si>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</si>
  <si>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</si>
  <si>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</si>
  <si>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</si>
  <si>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</si>
  <si>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</si>
  <si>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</si>
  <si>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</si>
  <si>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</si>
  <si>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</si>
  <si>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</si>
  <si>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</si>
  <si>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</si>
  <si>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</si>
  <si>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</si>
  <si>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</si>
  <si>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</si>
  <si>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</si>
  <si>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</si>
  <si>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</si>
  <si>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</si>
  <si>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</si>
  <si>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</si>
  <si>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</si>
  <si>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</si>
  <si>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</si>
  <si>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</si>
  <si>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</si>
  <si>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</si>
  <si>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</si>
  <si>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</si>
  <si>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</si>
  <si>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</si>
  <si>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</si>
  <si>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</si>
  <si>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</si>
  <si>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</si>
  <si>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</si>
  <si>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</si>
  <si>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</si>
  <si>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</si>
  <si>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</si>
  <si>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</si>
  <si>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</si>
  <si>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</si>
  <si>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</si>
  <si>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</si>
  <si>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</si>
  <si>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</si>
  <si>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</si>
  <si>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</si>
  <si>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</si>
  <si>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</si>
  <si>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</si>
  <si>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</si>
  <si>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</si>
  <si>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</si>
  <si>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</si>
  <si>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</si>
  <si>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</si>
  <si>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</si>
  <si>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</si>
  <si>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</si>
  <si>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</si>
  <si>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</si>
  <si>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</si>
  <si>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</si>
  <si>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</si>
  <si>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</si>
  <si>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</si>
  <si>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</si>
  <si>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</si>
  <si>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</si>
  <si>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</si>
  <si>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</si>
  <si>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</si>
  <si>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</si>
  <si>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</si>
  <si>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</si>
  <si>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</si>
  <si>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</si>
  <si>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</si>
  <si>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</si>
  <si>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</si>
  <si>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</si>
  <si>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</si>
  <si>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</si>
  <si>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</si>
  <si>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</si>
  <si>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</si>
  <si>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</si>
  <si>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</si>
  <si>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</si>
  <si>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</si>
  <si>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</si>
  <si>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</si>
  <si>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</si>
  <si>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</si>
  <si>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</si>
  <si>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</si>
  <si>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</si>
  <si>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</si>
  <si>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</si>
  <si>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</si>
  <si>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</si>
  <si>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</si>
  <si>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</si>
  <si>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</si>
  <si>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</si>
  <si>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</si>
  <si>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</si>
  <si>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</si>
  <si>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</si>
  <si>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</si>
  <si>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</si>
  <si>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</si>
  <si>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</si>
  <si>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</si>
  <si>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</si>
  <si>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</si>
  <si>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</si>
  <si>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</si>
  <si>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</si>
  <si>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</si>
  <si>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</si>
  <si>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</si>
  <si>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</si>
  <si>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</si>
  <si>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</si>
  <si>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</si>
  <si>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</si>
  <si>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</si>
  <si>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</si>
  <si>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</si>
  <si>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</si>
  <si>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</si>
  <si>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</si>
  <si>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</si>
  <si>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</si>
  <si>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</si>
  <si>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</si>
  <si>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</si>
  <si>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</si>
  <si>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</si>
  <si>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</si>
  <si>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</si>
  <si>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</si>
  <si>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</si>
  <si>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</si>
  <si>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</si>
  <si>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</si>
  <si>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</si>
  <si>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</si>
  <si>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</si>
  <si>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</si>
  <si>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</si>
  <si>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</si>
  <si>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</si>
  <si>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</si>
  <si>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</si>
  <si>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</si>
  <si>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</si>
  <si>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</si>
  <si>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</si>
  <si>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</si>
  <si>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</si>
  <si>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</si>
  <si>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</si>
  <si>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</si>
  <si>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</si>
  <si>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</si>
  <si>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</si>
  <si>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</si>
  <si>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</si>
  <si>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</si>
  <si>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</si>
  <si>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</si>
  <si>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</si>
  <si>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</si>
  <si>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</si>
  <si>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</si>
  <si>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</si>
  <si>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</si>
  <si>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</si>
  <si>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</si>
  <si>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</si>
  <si>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</si>
  <si>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</si>
  <si>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</si>
  <si>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</si>
  <si>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</si>
  <si>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</si>
  <si>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</si>
  <si>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</si>
  <si>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</si>
  <si>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</si>
  <si>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</si>
  <si>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</si>
  <si>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</si>
  <si>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</si>
  <si>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</si>
  <si>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</si>
  <si>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</si>
  <si>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</si>
  <si>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</si>
  <si>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</si>
  <si>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</si>
  <si>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</si>
  <si>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</si>
  <si>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</si>
  <si>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</si>
  <si>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</si>
  <si>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</si>
  <si>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</si>
  <si>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</si>
  <si>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</si>
  <si>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</si>
  <si>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</si>
  <si>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</si>
  <si>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</si>
  <si>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</si>
  <si>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</si>
  <si>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</si>
  <si>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</si>
  <si>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</si>
  <si>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</si>
  <si>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</si>
  <si>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</si>
  <si>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</si>
  <si>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</si>
  <si>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</si>
  <si>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</si>
  <si>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</si>
  <si>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</si>
  <si>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</si>
  <si>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</si>
  <si>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</si>
  <si>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</si>
  <si>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</si>
  <si>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</si>
  <si>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</si>
  <si>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</si>
  <si>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</si>
  <si>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</si>
  <si>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</si>
  <si>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</si>
  <si>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</si>
  <si>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</si>
  <si>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</si>
  <si>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</si>
  <si>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</si>
  <si>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</si>
  <si>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</si>
  <si>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</si>
  <si>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</si>
  <si>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</si>
  <si>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</si>
  <si>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</si>
  <si>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</si>
  <si>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</si>
  <si>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</si>
  <si>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</si>
  <si>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</si>
  <si>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</si>
  <si>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</si>
  <si>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</si>
  <si>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</si>
  <si>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</si>
  <si>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</si>
  <si>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</si>
  <si>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</si>
  <si>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</si>
  <si>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</si>
  <si>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</si>
  <si>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</si>
  <si>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</si>
  <si>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</si>
  <si>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</si>
  <si>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</si>
  <si>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</si>
  <si>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</si>
  <si>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</si>
  <si>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</si>
  <si>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</si>
  <si>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</si>
  <si>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</si>
  <si>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</si>
  <si>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</si>
  <si>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</si>
  <si>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</si>
  <si>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</si>
  <si>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</si>
  <si>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</si>
  <si>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</si>
  <si>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</si>
  <si>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</si>
  <si>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</si>
  <si>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</si>
  <si>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</si>
  <si>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</si>
  <si>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</si>
  <si>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</si>
  <si>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</si>
  <si>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</si>
  <si>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</si>
  <si>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</si>
  <si>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</si>
  <si>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</si>
  <si>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</si>
  <si>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</si>
  <si>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</si>
  <si>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</si>
  <si>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</si>
  <si>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</si>
  <si>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</si>
  <si>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</si>
  <si>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</si>
  <si>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</si>
  <si>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</si>
  <si>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</si>
  <si>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</si>
  <si>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</si>
  <si>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</si>
  <si>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</si>
  <si>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</si>
  <si>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</si>
  <si>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</si>
  <si>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</si>
  <si>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</si>
  <si>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</si>
  <si>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</si>
  <si>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</si>
  <si>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</si>
  <si>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</si>
  <si>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</si>
  <si>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</si>
  <si>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</si>
  <si>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</si>
  <si>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</si>
  <si>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</si>
  <si>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</si>
  <si>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</si>
  <si>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</si>
  <si>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</si>
  <si>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</si>
  <si>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</si>
  <si>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</si>
  <si>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</si>
  <si>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</si>
  <si>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</si>
  <si>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</si>
  <si>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</si>
  <si>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</si>
  <si>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</si>
  <si>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</si>
  <si>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</si>
  <si>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</si>
  <si>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</si>
  <si>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</si>
  <si>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</si>
  <si>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</si>
  <si>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</si>
  <si>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</si>
  <si>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</si>
  <si>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</si>
  <si>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</si>
  <si>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</si>
  <si>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</si>
  <si>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</si>
  <si>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</si>
  <si>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</si>
  <si>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</si>
  <si>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</si>
  <si>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</si>
  <si>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</si>
  <si>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</si>
  <si>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</si>
  <si>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</si>
  <si>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</si>
  <si>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</si>
  <si>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</si>
  <si>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</si>
  <si>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</si>
  <si>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</si>
  <si>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</si>
  <si>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</si>
  <si>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</si>
  <si>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</si>
  <si>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</si>
  <si>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</si>
  <si>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</si>
  <si>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</si>
  <si>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</si>
  <si>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</si>
  <si>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</si>
  <si>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</si>
  <si>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</si>
  <si>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</si>
  <si>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</si>
  <si>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</si>
  <si>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</si>
  <si>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</si>
  <si>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</si>
  <si>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</si>
  <si>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</si>
  <si>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</si>
  <si>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</si>
  <si>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</si>
  <si>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</si>
  <si>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</si>
  <si>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</si>
  <si>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</si>
  <si>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</si>
  <si>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</si>
  <si>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</si>
  <si>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</si>
  <si>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</si>
  <si>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</si>
  <si>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</si>
  <si>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</si>
  <si>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</si>
  <si>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</si>
  <si>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</si>
  <si>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</si>
  <si>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</si>
  <si>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</si>
  <si>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</si>
  <si>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</si>
  <si>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</si>
  <si>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</si>
  <si>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</si>
  <si>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</si>
  <si>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</si>
  <si>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</si>
  <si>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</si>
  <si>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</si>
  <si>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</si>
  <si>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</si>
  <si>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</si>
  <si>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</si>
  <si>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</si>
  <si>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</si>
  <si>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</si>
  <si>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</si>
  <si>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</si>
  <si>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</si>
  <si>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</si>
  <si>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</si>
  <si>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</si>
  <si>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</si>
  <si>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</si>
  <si>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</si>
  <si>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LAKE</t>
  </si>
  <si>
    <t>28593 NORTH BRADLEY ROAD</t>
  </si>
  <si>
    <t>LAKE FOREST</t>
  </si>
  <si>
    <t>JENNY.WOJCIK@RONDOUTSD72.ORG</t>
  </si>
  <si>
    <t>DR. JENNY WOJCIK</t>
  </si>
  <si>
    <t>847-362-2021</t>
  </si>
  <si>
    <t>847-816-2067</t>
  </si>
  <si>
    <t>EVANS, MARSHALL &amp; PEASE, P.C.</t>
  </si>
  <si>
    <t>JEFFERY M. ROLLEFSON, CPA</t>
  </si>
  <si>
    <t>1875 HICKS ROAD</t>
  </si>
  <si>
    <t>ROLLING MEADOWS</t>
  </si>
  <si>
    <t>IL</t>
  </si>
  <si>
    <t>847-221-5700</t>
  </si>
  <si>
    <t>847-221-5701</t>
  </si>
  <si>
    <t>060-003973</t>
  </si>
  <si>
    <t>JEFF@EMPCPA.COM</t>
  </si>
  <si>
    <t>G.O. LIMITED TAX DEBT CERTIFICATES</t>
  </si>
  <si>
    <t>G.O. LIMITED REFUNDING DEBT CERTIFICATES</t>
  </si>
  <si>
    <t>NIHIP, CLIC</t>
  </si>
  <si>
    <t>SEDOL</t>
  </si>
  <si>
    <t>O&amp;M - SUPPORT SERVICES - PURCHASED SERVICES</t>
  </si>
  <si>
    <t>20-2540-300</t>
  </si>
  <si>
    <t>STUCKEY CONSTRUCTION</t>
  </si>
  <si>
    <t>TRANSPORTATION - SUPPORT SERVICES - PURCHASED SERVICES</t>
  </si>
  <si>
    <t>40-2550-300</t>
  </si>
  <si>
    <t>OLSON TRANSPORTATION</t>
  </si>
  <si>
    <t>Rondout SD 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</si>
</sst>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3390900</xdr:colOff>
          <xdr:row>3</xdr:row>
          <xdr:rowOff>28575</xdr:rowOff>
        </xdr:from>
        <xdr:to>
          <xdr:col>2</xdr:col>
          <xdr:colOff>323850</xdr:colOff>
          <xdr:row>7</xdr:row>
          <xdr:rowOff>66675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xdr:row>
          <xdr:rowOff>0</xdr:rowOff>
        </xdr:from>
        <xdr:to>
          <xdr:col>4</xdr:col>
          <xdr:colOff>304800</xdr:colOff>
          <xdr:row>7</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7"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2077</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34049072002</v>
      </c>
      <c r="B13" s="2005"/>
      <c r="C13" s="2005"/>
      <c r="D13" s="2005"/>
      <c r="E13" s="2005"/>
      <c r="F13" s="2005"/>
      <c r="G13" s="2005"/>
      <c r="H13" s="2006"/>
      <c r="I13" s="31"/>
      <c r="J13" s="30"/>
      <c r="K13" s="28"/>
      <c r="L13" s="30"/>
      <c r="M13" s="30"/>
      <c r="N13" s="30"/>
      <c r="O13" s="30"/>
      <c r="P13" s="30"/>
      <c r="Q13" s="30"/>
      <c r="R13" s="30"/>
      <c r="S13" s="30"/>
      <c r="T13" s="2009" t="s">
        <v>2085</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2078</v>
      </c>
      <c r="B15" s="2007"/>
      <c r="C15" s="2007"/>
      <c r="D15" s="2007"/>
      <c r="E15" s="2007"/>
      <c r="F15" s="2007"/>
      <c r="G15" s="2007"/>
      <c r="H15" s="2008"/>
      <c r="T15" s="1970" t="s">
        <v>2086</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2104</v>
      </c>
      <c r="B17" s="2032"/>
      <c r="C17" s="2032"/>
      <c r="D17" s="2032"/>
      <c r="E17" s="2032"/>
      <c r="F17" s="2032"/>
      <c r="G17" s="2032"/>
      <c r="H17" s="2033"/>
      <c r="T17" s="2019" t="s">
        <v>2087</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2079</v>
      </c>
      <c r="B19" s="2003"/>
      <c r="C19" s="2003"/>
      <c r="D19" s="2003"/>
      <c r="E19" s="2003"/>
      <c r="F19" s="2003"/>
      <c r="G19" s="2003"/>
      <c r="H19" s="2001"/>
      <c r="I19" s="30"/>
      <c r="J19" s="99"/>
      <c r="K19" s="40"/>
      <c r="L19" s="38"/>
      <c r="M19" s="112" t="s">
        <v>333</v>
      </c>
      <c r="P19" s="27"/>
      <c r="Q19" s="27"/>
      <c r="R19" s="27"/>
      <c r="S19" s="31"/>
      <c r="T19" s="2002" t="s">
        <v>2088</v>
      </c>
      <c r="U19" s="2000"/>
      <c r="V19" s="2000"/>
      <c r="W19" s="2001"/>
      <c r="X19" s="2017" t="s">
        <v>2089</v>
      </c>
      <c r="Y19" s="2018"/>
      <c r="Z19" s="2015">
        <v>60008</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2080</v>
      </c>
      <c r="B21" s="2000"/>
      <c r="C21" s="2000"/>
      <c r="D21" s="2000"/>
      <c r="E21" s="2000"/>
      <c r="F21" s="2000"/>
      <c r="G21" s="2000"/>
      <c r="H21" s="2001"/>
      <c r="I21" s="2025" t="s">
        <v>699</v>
      </c>
      <c r="J21" s="1988"/>
      <c r="K21" s="1988"/>
      <c r="L21" s="1988"/>
      <c r="M21" s="1988"/>
      <c r="N21" s="1988"/>
      <c r="O21" s="1988"/>
      <c r="P21" s="1988"/>
      <c r="Q21" s="1988"/>
      <c r="R21" s="1988"/>
      <c r="S21" s="1989"/>
      <c r="T21" s="1967" t="s">
        <v>2090</v>
      </c>
      <c r="U21" s="1968"/>
      <c r="V21" s="1968"/>
      <c r="W21" s="1968"/>
      <c r="X21" s="1981" t="s">
        <v>2091</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2081</v>
      </c>
      <c r="B23" s="2023"/>
      <c r="C23" s="2023"/>
      <c r="D23" s="2023"/>
      <c r="E23" s="2023"/>
      <c r="F23" s="2023"/>
      <c r="G23" s="2023"/>
      <c r="H23" s="2024"/>
      <c r="T23" s="1962" t="s">
        <v>2092</v>
      </c>
      <c r="U23" s="1963"/>
      <c r="V23" s="1963"/>
      <c r="W23" s="1963"/>
      <c r="X23" s="1978">
        <v>43466</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60045</v>
      </c>
      <c r="B25" s="2000"/>
      <c r="C25" s="2000"/>
      <c r="D25" s="2000"/>
      <c r="E25" s="2000"/>
      <c r="F25" s="2000"/>
      <c r="G25" s="2000"/>
      <c r="H25" s="2001"/>
      <c r="I25" s="113"/>
      <c r="J25" s="2066"/>
      <c r="K25" s="2066"/>
      <c r="L25" s="2066"/>
      <c r="M25" s="2066"/>
      <c r="N25" s="2066"/>
      <c r="O25" s="2066"/>
      <c r="P25" s="2066"/>
      <c r="Q25" s="2066"/>
      <c r="R25" s="2066"/>
      <c r="S25" s="2067"/>
      <c r="T25" s="1959" t="s">
        <v>2093</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2082</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2081</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2083</v>
      </c>
      <c r="B42" s="2049"/>
      <c r="C42" s="2050"/>
      <c r="D42" s="2063" t="s">
        <v>2084</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T26" sqref="T26"/>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3521830</v>
      </c>
      <c r="C4" s="1546">
        <v>1887776</v>
      </c>
      <c r="D4" s="1774">
        <f>B4-C4</f>
        <v>1634054</v>
      </c>
      <c r="E4" s="1546">
        <v>3565413</v>
      </c>
      <c r="F4" s="1774">
        <f>E4-C4</f>
        <v>1677637</v>
      </c>
    </row>
    <row r="5" spans="1:6" ht="13.7" customHeight="1" x14ac:dyDescent="0.2">
      <c r="A5" s="716" t="s">
        <v>925</v>
      </c>
      <c r="B5" s="1772">
        <f>'Revenues 9-14'!D5</f>
        <v>900000</v>
      </c>
      <c r="C5" s="585">
        <v>492418</v>
      </c>
      <c r="D5" s="1775">
        <f t="shared" ref="D5:D18" si="0">B5-C5</f>
        <v>407582</v>
      </c>
      <c r="E5" s="585">
        <v>929745</v>
      </c>
      <c r="F5" s="1775">
        <f>E5-C5</f>
        <v>437327</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171634</v>
      </c>
      <c r="C7" s="585">
        <v>103667</v>
      </c>
      <c r="D7" s="1775">
        <f t="shared" si="0"/>
        <v>67967</v>
      </c>
      <c r="E7" s="585">
        <v>195737</v>
      </c>
      <c r="F7" s="1775">
        <f t="shared" si="1"/>
        <v>92070</v>
      </c>
    </row>
    <row r="8" spans="1:6" ht="13.7" customHeight="1" x14ac:dyDescent="0.2">
      <c r="A8" s="716" t="s">
        <v>1241</v>
      </c>
      <c r="B8" s="1772">
        <f>'Revenues 9-14'!G5</f>
        <v>33928</v>
      </c>
      <c r="C8" s="585">
        <v>18142</v>
      </c>
      <c r="D8" s="1775">
        <f t="shared" si="0"/>
        <v>15786</v>
      </c>
      <c r="E8" s="585">
        <v>34255</v>
      </c>
      <c r="F8" s="1775">
        <f t="shared" si="1"/>
        <v>16113</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39510</v>
      </c>
      <c r="C10" s="585">
        <v>25917</v>
      </c>
      <c r="D10" s="1775">
        <f t="shared" si="0"/>
        <v>13593</v>
      </c>
      <c r="E10" s="585">
        <v>48934</v>
      </c>
      <c r="F10" s="1775">
        <f t="shared" si="1"/>
        <v>23017</v>
      </c>
    </row>
    <row r="11" spans="1:6" x14ac:dyDescent="0.2">
      <c r="A11" s="716" t="s">
        <v>429</v>
      </c>
      <c r="B11" s="1772">
        <f>'Revenues 9-14'!J5</f>
        <v>60879</v>
      </c>
      <c r="C11" s="585">
        <v>33692</v>
      </c>
      <c r="D11" s="1775">
        <f t="shared" si="0"/>
        <v>27187</v>
      </c>
      <c r="E11" s="585">
        <v>63615</v>
      </c>
      <c r="F11" s="1775">
        <f t="shared" si="1"/>
        <v>29923</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22446</v>
      </c>
      <c r="C14" s="585">
        <v>11922</v>
      </c>
      <c r="D14" s="1775">
        <f t="shared" si="0"/>
        <v>10524</v>
      </c>
      <c r="E14" s="585">
        <v>22719</v>
      </c>
      <c r="F14" s="1775">
        <f t="shared" si="1"/>
        <v>10797</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33928</v>
      </c>
      <c r="C16" s="585">
        <v>18142</v>
      </c>
      <c r="D16" s="1775">
        <f t="shared" si="0"/>
        <v>15786</v>
      </c>
      <c r="E16" s="585">
        <v>34255</v>
      </c>
      <c r="F16" s="1775">
        <f t="shared" si="1"/>
        <v>16113</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4784155</v>
      </c>
      <c r="C19" s="1773">
        <f>SUM(C4:C18)</f>
        <v>2591676</v>
      </c>
      <c r="D19" s="1773">
        <f>SUM(D4:D18)</f>
        <v>2192479</v>
      </c>
      <c r="E19" s="1773">
        <f>SUM(E4:E18)</f>
        <v>4894673</v>
      </c>
      <c r="F19" s="1773">
        <f>SUM(F4:F18)</f>
        <v>2302997</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T26" sqref="T2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9" t="s">
        <v>2036</v>
      </c>
      <c r="D2" s="724" t="s">
        <v>2043</v>
      </c>
      <c r="E2" s="724" t="s">
        <v>2044</v>
      </c>
      <c r="F2" s="1909" t="s">
        <v>2037</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2094</v>
      </c>
      <c r="B31" s="734">
        <v>38718</v>
      </c>
      <c r="C31" s="735">
        <v>1195000</v>
      </c>
      <c r="D31" s="736">
        <v>3</v>
      </c>
      <c r="E31" s="735">
        <v>265000</v>
      </c>
      <c r="F31" s="735"/>
      <c r="G31" s="735"/>
      <c r="H31" s="735">
        <v>265000</v>
      </c>
      <c r="I31" s="1778">
        <f>((E31+F31)-H31)+G31</f>
        <v>0</v>
      </c>
      <c r="J31" s="735"/>
      <c r="K31" s="737"/>
    </row>
    <row r="32" spans="1:11" ht="12" customHeight="1" x14ac:dyDescent="0.2">
      <c r="A32" s="733" t="s">
        <v>2094</v>
      </c>
      <c r="B32" s="734">
        <v>39753</v>
      </c>
      <c r="C32" s="735">
        <v>2555000</v>
      </c>
      <c r="D32" s="736">
        <v>6</v>
      </c>
      <c r="E32" s="735">
        <v>2555000</v>
      </c>
      <c r="F32" s="735"/>
      <c r="G32" s="735">
        <v>-2345000</v>
      </c>
      <c r="H32" s="735"/>
      <c r="I32" s="1778">
        <f>((E32+F32)-H32)+G32</f>
        <v>210000</v>
      </c>
      <c r="J32" s="735">
        <v>210000</v>
      </c>
      <c r="K32" s="737"/>
    </row>
    <row r="33" spans="1:11" ht="12" customHeight="1" x14ac:dyDescent="0.2">
      <c r="A33" s="733" t="s">
        <v>2095</v>
      </c>
      <c r="B33" s="734">
        <v>42836</v>
      </c>
      <c r="C33" s="735">
        <v>2495000</v>
      </c>
      <c r="D33" s="736">
        <v>3</v>
      </c>
      <c r="E33" s="735"/>
      <c r="F33" s="735">
        <v>2495000</v>
      </c>
      <c r="G33" s="735"/>
      <c r="H33" s="735"/>
      <c r="I33" s="1778">
        <f t="shared" ref="I33:I48" si="1">((E33+F33)-H33)+G33</f>
        <v>2495000</v>
      </c>
      <c r="J33" s="735">
        <v>2495000</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6245000</v>
      </c>
      <c r="D49" s="746"/>
      <c r="E49" s="1778">
        <f t="shared" ref="E49:J49" si="2">SUM(E31:E48)</f>
        <v>2820000</v>
      </c>
      <c r="F49" s="1778">
        <f t="shared" si="2"/>
        <v>2495000</v>
      </c>
      <c r="G49" s="1778">
        <f t="shared" si="2"/>
        <v>-2345000</v>
      </c>
      <c r="H49" s="1778">
        <f t="shared" si="2"/>
        <v>265000</v>
      </c>
      <c r="I49" s="1778">
        <f t="shared" si="2"/>
        <v>2705000</v>
      </c>
      <c r="J49" s="1778">
        <f t="shared" si="2"/>
        <v>2705000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9" colorId="8" zoomScale="110" zoomScaleNormal="110" workbookViewId="0">
      <selection activeCell="T26" sqref="T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c r="H3" s="765"/>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22446</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22446</v>
      </c>
      <c r="I12" s="1780">
        <f>SUM(I5:I11)</f>
        <v>0</v>
      </c>
      <c r="J12" s="1780">
        <f>SUM(J5:J11)</f>
        <v>0</v>
      </c>
      <c r="K12" s="1780">
        <f>SUM(K5:K11)</f>
        <v>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c r="I14" s="772"/>
      <c r="J14" s="774"/>
      <c r="K14" s="766"/>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1916</v>
      </c>
      <c r="B19" s="2267"/>
      <c r="C19" s="2267"/>
      <c r="D19" s="2267"/>
      <c r="E19" s="2268"/>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1922</v>
      </c>
      <c r="B22" s="2232"/>
      <c r="C22" s="2232"/>
      <c r="D22" s="2232"/>
      <c r="E22" s="2260"/>
      <c r="F22" s="790" t="s">
        <v>917</v>
      </c>
      <c r="G22" s="783"/>
      <c r="H22" s="765">
        <v>22446</v>
      </c>
      <c r="I22" s="765"/>
      <c r="J22" s="798"/>
      <c r="K22" s="766"/>
    </row>
    <row r="23" spans="1:11" ht="13.5" thickBot="1" x14ac:dyDescent="0.25">
      <c r="A23" s="2253" t="s">
        <v>962</v>
      </c>
      <c r="B23" s="2252"/>
      <c r="C23" s="2252"/>
      <c r="D23" s="2252"/>
      <c r="E23" s="2252"/>
      <c r="F23" s="1783"/>
      <c r="G23" s="1780">
        <f>SUM(G14:G16,G21,G22)</f>
        <v>0</v>
      </c>
      <c r="H23" s="1780">
        <f>SUM(H14:H16,H21,H22)</f>
        <v>22446</v>
      </c>
      <c r="I23" s="1780">
        <f>SUM(I14:I16,I21,I22)</f>
        <v>0</v>
      </c>
      <c r="J23" s="1780">
        <f>SUM(J14:J16,J21,J22)</f>
        <v>0</v>
      </c>
      <c r="K23" s="1780">
        <f>SUM(K14:K16,K21,K22)</f>
        <v>0</v>
      </c>
    </row>
    <row r="24" spans="1:11" ht="14.25" thickTop="1" thickBot="1" x14ac:dyDescent="0.25">
      <c r="A24" s="2253" t="s">
        <v>2024</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T26" sqref="T2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985612</v>
      </c>
      <c r="D5" s="842"/>
      <c r="E5" s="842"/>
      <c r="F5" s="1782">
        <f>(C5+D5)-E5</f>
        <v>985612</v>
      </c>
      <c r="G5" s="838"/>
      <c r="H5" s="843"/>
      <c r="I5" s="843"/>
      <c r="J5" s="843"/>
      <c r="K5" s="794"/>
      <c r="L5" s="1791">
        <f>F5-K5</f>
        <v>985612</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82">
        <f>(C8+D8)-E8</f>
        <v>0</v>
      </c>
      <c r="G8" s="844">
        <v>50</v>
      </c>
      <c r="H8" s="766"/>
      <c r="I8" s="766"/>
      <c r="J8" s="766"/>
      <c r="K8" s="1791">
        <f>(H8+I8)-J8</f>
        <v>0</v>
      </c>
      <c r="L8" s="1791">
        <f>F8-K8</f>
        <v>0</v>
      </c>
    </row>
    <row r="9" spans="1:14" ht="14.25" thickTop="1" thickBot="1" x14ac:dyDescent="0.25">
      <c r="A9" s="779" t="s">
        <v>1181</v>
      </c>
      <c r="B9" s="841">
        <v>232</v>
      </c>
      <c r="C9" s="766">
        <v>5143576</v>
      </c>
      <c r="D9" s="766"/>
      <c r="E9" s="766"/>
      <c r="F9" s="1782">
        <f>(C9+D9)-E9</f>
        <v>5143576</v>
      </c>
      <c r="G9" s="844">
        <v>20</v>
      </c>
      <c r="H9" s="766">
        <v>1782105</v>
      </c>
      <c r="I9" s="766">
        <v>115731</v>
      </c>
      <c r="J9" s="766"/>
      <c r="K9" s="1791">
        <f>(H9+I9)-J9</f>
        <v>1897836</v>
      </c>
      <c r="L9" s="1791">
        <f>F9-K9</f>
        <v>3245740</v>
      </c>
    </row>
    <row r="10" spans="1:14" ht="24" thickTop="1" thickBot="1" x14ac:dyDescent="0.25">
      <c r="A10" s="846" t="s">
        <v>1182</v>
      </c>
      <c r="B10" s="841">
        <v>240</v>
      </c>
      <c r="C10" s="847">
        <v>123969</v>
      </c>
      <c r="D10" s="847"/>
      <c r="E10" s="847"/>
      <c r="F10" s="1786">
        <f>(C10+D10)-E10</f>
        <v>123969</v>
      </c>
      <c r="G10" s="844">
        <v>20</v>
      </c>
      <c r="H10" s="848">
        <v>69508</v>
      </c>
      <c r="I10" s="848">
        <v>6078</v>
      </c>
      <c r="J10" s="848"/>
      <c r="K10" s="1791">
        <f>(H10+I10)-J10</f>
        <v>75586</v>
      </c>
      <c r="L10" s="1791">
        <f>F10-K10</f>
        <v>48383</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427382</v>
      </c>
      <c r="D12" s="845">
        <v>53748</v>
      </c>
      <c r="E12" s="845">
        <v>12383</v>
      </c>
      <c r="F12" s="1782">
        <f>(C12+D12)-E12</f>
        <v>468747</v>
      </c>
      <c r="G12" s="844">
        <v>10</v>
      </c>
      <c r="H12" s="766">
        <v>259153</v>
      </c>
      <c r="I12" s="766">
        <v>40754</v>
      </c>
      <c r="J12" s="766">
        <v>10712</v>
      </c>
      <c r="K12" s="1791">
        <f>(H12+I12)-J12</f>
        <v>289195</v>
      </c>
      <c r="L12" s="1791">
        <f>F12-K12</f>
        <v>179552</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6680539</v>
      </c>
      <c r="D16" s="1782">
        <f>SUM(D3,D5:D6,D8:D10,D12:D15)</f>
        <v>53748</v>
      </c>
      <c r="E16" s="1782">
        <f>SUM(E3,E5:E6,E8:E10,E12:E15)</f>
        <v>12383</v>
      </c>
      <c r="F16" s="1782">
        <f>SUM(F3,F5:F6,F8:F10,F12:F15)</f>
        <v>6721904</v>
      </c>
      <c r="G16" s="844"/>
      <c r="H16" s="1782">
        <f>SUM(H3,H6,H8:H10,H12:H14,)</f>
        <v>2110766</v>
      </c>
      <c r="I16" s="1782">
        <f>SUM(I3,I6,I8:I10,I12:I14,)</f>
        <v>162563</v>
      </c>
      <c r="J16" s="1782">
        <f>SUM(J3,J6,J8:J10,J12:J14,)</f>
        <v>10712</v>
      </c>
      <c r="K16" s="1782">
        <f>(H16+I16)-J16</f>
        <v>2262617</v>
      </c>
      <c r="L16" s="1782">
        <f>F16-K16</f>
        <v>4459287</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162563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4" activePane="bottomLeft" state="frozen"/>
      <selection activeCell="T26" sqref="T26"/>
      <selection pane="bottomLeft" activeCell="T26" sqref="T2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3717767</v>
      </c>
      <c r="G8" s="866"/>
    </row>
    <row r="9" spans="1:7" x14ac:dyDescent="0.2">
      <c r="A9" s="870" t="s">
        <v>480</v>
      </c>
      <c r="B9" s="871" t="s">
        <v>1988</v>
      </c>
      <c r="C9" s="872"/>
      <c r="D9" s="870" t="s">
        <v>522</v>
      </c>
      <c r="E9" s="869"/>
      <c r="F9" s="1935">
        <f>'Expenditures 15-22'!K151</f>
        <v>570238</v>
      </c>
      <c r="G9" s="873"/>
    </row>
    <row r="10" spans="1:7" x14ac:dyDescent="0.2">
      <c r="A10" s="870" t="s">
        <v>520</v>
      </c>
      <c r="B10" s="871" t="s">
        <v>1989</v>
      </c>
      <c r="C10" s="872"/>
      <c r="D10" s="870" t="s">
        <v>522</v>
      </c>
      <c r="E10" s="869"/>
      <c r="F10" s="1935">
        <f>'Expenditures 15-22'!K174</f>
        <v>342906</v>
      </c>
      <c r="G10" s="873"/>
    </row>
    <row r="11" spans="1:7" x14ac:dyDescent="0.2">
      <c r="A11" s="870" t="s">
        <v>481</v>
      </c>
      <c r="B11" s="871" t="s">
        <v>1990</v>
      </c>
      <c r="C11" s="872"/>
      <c r="D11" s="870" t="s">
        <v>522</v>
      </c>
      <c r="E11" s="869"/>
      <c r="F11" s="1935">
        <f>'Expenditures 15-22'!K210</f>
        <v>240462</v>
      </c>
      <c r="G11" s="873"/>
    </row>
    <row r="12" spans="1:7" x14ac:dyDescent="0.2">
      <c r="A12" s="870" t="s">
        <v>482</v>
      </c>
      <c r="B12" s="871" t="s">
        <v>1991</v>
      </c>
      <c r="C12" s="872"/>
      <c r="D12" s="870" t="s">
        <v>522</v>
      </c>
      <c r="E12" s="869"/>
      <c r="F12" s="1935">
        <f>'Expenditures 15-22'!K295</f>
        <v>124179</v>
      </c>
      <c r="G12" s="873"/>
    </row>
    <row r="13" spans="1:7" x14ac:dyDescent="0.2">
      <c r="A13" s="870" t="s">
        <v>108</v>
      </c>
      <c r="B13" s="871" t="s">
        <v>1992</v>
      </c>
      <c r="C13" s="872"/>
      <c r="D13" s="870" t="s">
        <v>522</v>
      </c>
      <c r="E13" s="869"/>
      <c r="F13" s="1935">
        <f>'Expenditures 15-22'!K342</f>
        <v>49364</v>
      </c>
      <c r="G13" s="874"/>
    </row>
    <row r="14" spans="1:7" ht="12" customHeight="1" thickBot="1" x14ac:dyDescent="0.25">
      <c r="A14" s="1792"/>
      <c r="B14" s="1793"/>
      <c r="C14" s="1794"/>
      <c r="D14" s="1795" t="s">
        <v>522</v>
      </c>
      <c r="E14" s="1796" t="s">
        <v>1015</v>
      </c>
      <c r="F14" s="1797">
        <f>SUM(F8:F13)</f>
        <v>5044916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26877</v>
      </c>
      <c r="G52" s="866"/>
    </row>
    <row r="53" spans="1:7" x14ac:dyDescent="0.2">
      <c r="A53" s="870" t="s">
        <v>479</v>
      </c>
      <c r="B53" s="870" t="s">
        <v>1551</v>
      </c>
      <c r="C53" s="890">
        <f>'Expenditures 15-22'!B102</f>
        <v>4000</v>
      </c>
      <c r="D53" s="889" t="str">
        <f>'Expenditures 15-22'!A102</f>
        <v>Total Payments to Other Govt Units</v>
      </c>
      <c r="E53" s="869"/>
      <c r="F53" s="1939">
        <f>'Expenditures 15-22'!K102</f>
        <v>198143</v>
      </c>
      <c r="G53" s="866"/>
    </row>
    <row r="54" spans="1:7" x14ac:dyDescent="0.2">
      <c r="A54" s="870" t="s">
        <v>479</v>
      </c>
      <c r="B54" s="870" t="s">
        <v>1552</v>
      </c>
      <c r="C54" s="890" t="s">
        <v>1039</v>
      </c>
      <c r="D54" s="886" t="s">
        <v>1157</v>
      </c>
      <c r="E54" s="869"/>
      <c r="F54" s="1939">
        <f>'Expenditures 15-22'!G114</f>
        <v>48466</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20553</v>
      </c>
      <c r="G57" s="866"/>
    </row>
    <row r="58" spans="1:7" x14ac:dyDescent="0.2">
      <c r="A58" s="870" t="s">
        <v>480</v>
      </c>
      <c r="B58" s="870" t="s">
        <v>1994</v>
      </c>
      <c r="C58" s="887" t="s">
        <v>1039</v>
      </c>
      <c r="D58" s="886" t="s">
        <v>1157</v>
      </c>
      <c r="E58" s="869"/>
      <c r="F58" s="1941">
        <f>'Expenditures 15-22'!G151</f>
        <v>5282</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265000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3020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23051</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590392</v>
      </c>
      <c r="G76" s="866"/>
    </row>
    <row r="77" spans="1:8" s="894" customFormat="1" ht="12" customHeight="1" thickTop="1" thickBot="1" x14ac:dyDescent="0.25">
      <c r="A77" s="1801"/>
      <c r="B77" s="1798"/>
      <c r="C77" s="1794"/>
      <c r="D77" s="1799" t="s">
        <v>2011</v>
      </c>
      <c r="E77" s="1796"/>
      <c r="F77" s="1802">
        <f>(F14-F76)</f>
        <v>4454524</v>
      </c>
      <c r="G77" s="870"/>
    </row>
    <row r="78" spans="1:8" s="894" customFormat="1" ht="12" customHeight="1" thickTop="1" x14ac:dyDescent="0.2">
      <c r="A78" s="1803"/>
      <c r="B78" s="1798"/>
      <c r="C78" s="1794"/>
      <c r="D78" s="1799" t="s">
        <v>2057</v>
      </c>
      <c r="E78" s="1796"/>
      <c r="F78" s="899">
        <v>119.58</v>
      </c>
      <c r="G78" s="900"/>
      <c r="H78" s="870"/>
    </row>
    <row r="79" spans="1:8" s="894" customFormat="1" ht="12" customHeight="1" thickBot="1" x14ac:dyDescent="0.25">
      <c r="A79" s="1804"/>
      <c r="B79" s="1798"/>
      <c r="C79" s="1794"/>
      <c r="D79" s="1799" t="s">
        <v>2012</v>
      </c>
      <c r="E79" s="1796" t="s">
        <v>1015</v>
      </c>
      <c r="F79" s="1805">
        <f>IF(F78&gt;0,F77/F78," Complete Line 78")</f>
        <v>37251.413279812681</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1810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39257</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8698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940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33582</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66816</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6499</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1649</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34600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33190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227041</v>
      </c>
    </row>
    <row r="179" spans="1:7" ht="12" customHeight="1" x14ac:dyDescent="0.2">
      <c r="A179" s="1792"/>
      <c r="B179" s="1806"/>
      <c r="C179" s="1807"/>
      <c r="D179" s="1808" t="s">
        <v>2014</v>
      </c>
      <c r="E179" s="1809"/>
      <c r="F179" s="1811">
        <f>'PCTC-OEPP 27-28'!F77-F178</f>
        <v>4227483</v>
      </c>
    </row>
    <row r="180" spans="1:7" ht="12" customHeight="1" x14ac:dyDescent="0.2">
      <c r="A180" s="1792"/>
      <c r="B180" s="1806"/>
      <c r="C180" s="1807"/>
      <c r="D180" s="1808" t="s">
        <v>1924</v>
      </c>
      <c r="E180" s="1809"/>
      <c r="F180" s="1811">
        <f>'Cap Outlay Deprec 26'!I18</f>
        <v>162563</v>
      </c>
    </row>
    <row r="181" spans="1:7" ht="12" customHeight="1" x14ac:dyDescent="0.2">
      <c r="A181" s="1792"/>
      <c r="B181" s="1806"/>
      <c r="C181" s="1807"/>
      <c r="D181" s="1808" t="s">
        <v>2015</v>
      </c>
      <c r="E181" s="1809"/>
      <c r="F181" s="1811">
        <f>F179+F180</f>
        <v>4390046</v>
      </c>
    </row>
    <row r="182" spans="1:7" ht="12" customHeight="1" x14ac:dyDescent="0.2">
      <c r="A182" s="1792"/>
      <c r="B182" s="1812"/>
      <c r="C182" s="1807"/>
      <c r="D182" s="1808" t="str">
        <f>D78</f>
        <v>9 Month ADA from District Average Daily Attendance/Prior General State Aid Inquiry 2017-2018</v>
      </c>
      <c r="E182" s="1809"/>
      <c r="F182" s="1813">
        <f>'PCTC-OEPP 27-28'!F78</f>
        <v>119.58</v>
      </c>
      <c r="G182" s="931"/>
    </row>
    <row r="183" spans="1:7" ht="12" customHeight="1" thickBot="1" x14ac:dyDescent="0.25">
      <c r="A183" s="1792"/>
      <c r="B183" s="1812"/>
      <c r="C183" s="1807"/>
      <c r="D183" s="1808" t="s">
        <v>2016</v>
      </c>
      <c r="E183" s="1809" t="s">
        <v>1626</v>
      </c>
      <c r="F183" s="1814">
        <f>F181/F182</f>
        <v>36712.209399565145</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23" activePane="bottomLeft" state="frozen"/>
      <selection activeCell="T26" sqref="T26"/>
      <selection pane="bottomLeft" activeCell="T26" sqref="T26"/>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2098</v>
      </c>
      <c r="B17" s="1957" t="s">
        <v>2099</v>
      </c>
      <c r="C17" s="1958" t="s">
        <v>2100</v>
      </c>
      <c r="D17" s="1867">
        <v>46528</v>
      </c>
      <c r="E17" s="1562">
        <f t="shared" ref="E17:E141" si="1">IF(D17&lt;=25000,D17,IF(D17&gt;25000,25000,0))</f>
        <v>25000</v>
      </c>
      <c r="F17" s="1815">
        <f t="shared" si="0"/>
        <v>25000</v>
      </c>
      <c r="G17" s="1816">
        <f>IF(F17=0,0,D17-F17)</f>
        <v>21528</v>
      </c>
      <c r="H17" s="1669"/>
    </row>
    <row r="18" spans="1:8" ht="30" x14ac:dyDescent="0.25">
      <c r="A18" s="1956" t="s">
        <v>2101</v>
      </c>
      <c r="B18" s="1957" t="s">
        <v>2102</v>
      </c>
      <c r="C18" s="1958" t="s">
        <v>2103</v>
      </c>
      <c r="D18" s="1867">
        <v>117638</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92638</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164166</v>
      </c>
      <c r="E141" s="1563">
        <f t="shared" si="1"/>
        <v>25000</v>
      </c>
      <c r="F141" s="1817">
        <f>SUM(F17:F140)</f>
        <v>50000</v>
      </c>
      <c r="G141" s="1818">
        <f>SUM(G17:G140)</f>
        <v>114166</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workbookViewId="0">
      <selection activeCell="T26" sqref="T2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5" t="s">
        <v>1944</v>
      </c>
      <c r="B11" s="2306"/>
      <c r="C11" s="2306"/>
      <c r="D11" s="2307"/>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2464849</v>
      </c>
      <c r="F19" s="1822"/>
      <c r="G19" s="1824">
        <f>'Expenditures 15-22'!K33-SUM('Expenditures 15-22'!G33,'Expenditures 15-22'!I33)+'Expenditures 15-22'!D229</f>
        <v>2464849</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340338</v>
      </c>
      <c r="F21" s="1825"/>
      <c r="G21" s="1828">
        <f>'Expenditures 15-22'!K42-SUM('Expenditures 15-22'!G42,'Expenditures 15-22'!I42)+'Expenditures 15-22'!K120-SUM('Expenditures 15-22'!G120,'Expenditures 15-22'!I120)+'Expenditures 15-22'!K180-SUM('Expenditures 15-22'!G180,'Expenditures 15-22'!I180)+'Expenditures 15-22'!D238</f>
        <v>340338</v>
      </c>
      <c r="H21" s="988"/>
      <c r="I21" s="162"/>
    </row>
    <row r="22" spans="1:9" s="669" customFormat="1" ht="12" customHeight="1" x14ac:dyDescent="0.2">
      <c r="A22" s="995" t="s">
        <v>585</v>
      </c>
      <c r="B22" s="996"/>
      <c r="C22" s="994">
        <v>2200</v>
      </c>
      <c r="D22" s="1825"/>
      <c r="E22" s="1827">
        <f>'Expenditures 15-22'!K47-SUM('Expenditures 15-22'!G47,'Expenditures 15-22'!I47)+'Expenditures 15-22'!D243</f>
        <v>24042</v>
      </c>
      <c r="F22" s="1825"/>
      <c r="G22" s="1828">
        <f>'Expenditures 15-22'!K47-SUM('Expenditures 15-22'!G47,'Expenditures 15-22'!I47)+'Expenditures 15-22'!D243</f>
        <v>24042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306415</v>
      </c>
      <c r="F23" s="1825"/>
      <c r="G23" s="1827">
        <f>'Expenditures 15-22'!K53-SUM('Expenditures 15-22'!G53,'Expenditures 15-22'!I53)+'Expenditures 15-22'!D257+'Expenditures 15-22'!K330-SUM('Expenditures 15-22'!G330,'Expenditures 15-22'!I330)</f>
        <v>306415</v>
      </c>
      <c r="H23" s="988"/>
      <c r="I23" s="162"/>
    </row>
    <row r="24" spans="1:9" s="669" customFormat="1" ht="12" customHeight="1" x14ac:dyDescent="0.2">
      <c r="A24" s="995" t="s">
        <v>587</v>
      </c>
      <c r="B24" s="996"/>
      <c r="C24" s="994">
        <v>2400</v>
      </c>
      <c r="D24" s="1825"/>
      <c r="E24" s="1827">
        <f>'Expenditures 15-22'!K57-SUM('Expenditures 15-22'!G57,'Expenditures 15-22'!I57)+'Expenditures 15-22'!D261</f>
        <v>253930</v>
      </c>
      <c r="F24" s="1825"/>
      <c r="G24" s="1828">
        <f>'Expenditures 15-22'!K57-SUM('Expenditures 15-22'!G57,'Expenditures 15-22'!I57)+'Expenditures 15-22'!D261</f>
        <v>253930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110245</v>
      </c>
      <c r="E27" s="1827">
        <f>E8</f>
        <v>0</v>
      </c>
      <c r="F27" s="1827">
        <f>'Expenditures 15-22'!K60-SUM('Expenditures 15-22'!G60,'Expenditures 15-22'!I60)+'Expenditures 15-22'!D264-E8</f>
        <v>110245</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561536</v>
      </c>
      <c r="F28" s="1829">
        <f>'Expenditures 15-22'!K61-SUM('Expenditures 15-22'!G61,'Expenditures 15-22'!I61)+'Expenditures 15-22'!K124-SUM('Expenditures 15-22'!G124,'Expenditures 15-22'!I124)+'Expenditures 15-22'!D266-E9</f>
        <v>561536</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241525</v>
      </c>
      <c r="F29" s="1825"/>
      <c r="G29" s="1828">
        <f>'Expenditures 15-22'!K62-SUM('Expenditures 15-22'!G62,'Expenditures 15-22'!I62)+'Expenditures 15-22'!K125-SUM('Expenditures 15-22'!G125,'Expenditures 15-22'!I125)+'Expenditures 15-22'!K182-SUM('Expenditures 15-22'!G182,'Expenditures 15-22'!I182)+'Expenditures 15-22'!D267</f>
        <v>241525</v>
      </c>
      <c r="H29" s="986"/>
    </row>
    <row r="30" spans="1:9" ht="12" customHeight="1" x14ac:dyDescent="0.2">
      <c r="A30" s="995" t="s">
        <v>102</v>
      </c>
      <c r="B30" s="998"/>
      <c r="C30" s="994">
        <v>2560</v>
      </c>
      <c r="D30" s="1825"/>
      <c r="E30" s="1827">
        <f>'Expenditures 15-22'!K63-SUM('Expenditures 15-22'!G63,'Expenditures 15-22'!I63)+'Expenditures 15-22'!D268-E10</f>
        <v>73738</v>
      </c>
      <c r="F30" s="1825"/>
      <c r="G30" s="1827">
        <f>'Expenditures 15-22'!K63-SUM('Expenditures 15-22'!G63,'Expenditures 15-22'!I63)+'Expenditures 15-22'!D268-E10</f>
        <v>73738</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29897</v>
      </c>
      <c r="F39" s="1825"/>
      <c r="G39" s="1827">
        <f>'Expenditures 15-22'!K75-SUM('Expenditures 15-22'!G75,'Expenditures 15-22'!I75)+'Expenditures 15-22'!K130-SUM('Expenditures 15-22'!G130,'Expenditures 15-22'!I130)+'Expenditures 15-22'!K185-SUM('Expenditures 15-22'!G185,'Expenditures 15-22'!I185)+'Expenditures 15-22'!D280</f>
        <v>29897</v>
      </c>
    </row>
    <row r="40" spans="1:7" ht="12" customHeight="1" x14ac:dyDescent="0.2">
      <c r="A40" s="991" t="s">
        <v>1930</v>
      </c>
      <c r="B40" s="992"/>
      <c r="C40" s="994"/>
      <c r="D40" s="1825"/>
      <c r="E40" s="1829">
        <f>-'Contracts Paid in CY 29'!G141</f>
        <v>-114166</v>
      </c>
      <c r="F40" s="1825"/>
      <c r="G40" s="1829">
        <f>-'Contracts Paid in CY 29'!G141</f>
        <v>-114166</v>
      </c>
    </row>
    <row r="41" spans="1:7" ht="12" customHeight="1" x14ac:dyDescent="0.2">
      <c r="A41" s="999" t="s">
        <v>158</v>
      </c>
      <c r="B41" s="1000"/>
      <c r="C41" s="1001"/>
      <c r="D41" s="1829">
        <f>SUM(D19:D39)</f>
        <v>110245</v>
      </c>
      <c r="E41" s="1829">
        <f>SUM(E19:E40)</f>
        <v>4182104</v>
      </c>
      <c r="F41" s="1829">
        <f>SUM(F19:F39)</f>
        <v>671781</v>
      </c>
      <c r="G41" s="1829">
        <f>SUM(G19:G40)</f>
        <v>3620568</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110245</v>
      </c>
      <c r="F43" s="1830" t="s">
        <v>495</v>
      </c>
      <c r="G43" s="1831">
        <f>F41</f>
        <v>671781</v>
      </c>
    </row>
    <row r="44" spans="1:7" ht="12" customHeight="1" x14ac:dyDescent="0.2">
      <c r="A44" s="988"/>
      <c r="B44" s="162"/>
      <c r="C44" s="1002"/>
      <c r="D44" s="1830" t="s">
        <v>494</v>
      </c>
      <c r="E44" s="1831">
        <f>E41</f>
        <v>4182104</v>
      </c>
      <c r="F44" s="1830" t="s">
        <v>494</v>
      </c>
      <c r="G44" s="1831">
        <f>G41</f>
        <v>3620568</v>
      </c>
    </row>
    <row r="45" spans="1:7" ht="12" customHeight="1" x14ac:dyDescent="0.2">
      <c r="A45" s="988"/>
      <c r="B45" s="162"/>
      <c r="C45" s="162"/>
      <c r="D45" s="1832" t="s">
        <v>1063</v>
      </c>
      <c r="E45" s="1833">
        <f>(E43/E44)</f>
        <v>2.6361133056471097E-2</v>
      </c>
      <c r="F45" s="1832" t="s">
        <v>1063</v>
      </c>
      <c r="G45" s="1833">
        <f>(G43/G44)</f>
        <v>0.18554574862286802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T26" sqref="T26"/>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Rondout SD 72</v>
      </c>
      <c r="D6" s="2315"/>
      <c r="E6" s="2315"/>
      <c r="F6" s="1877"/>
    </row>
    <row r="7" spans="1:10" ht="11.25" customHeight="1" thickBot="1" x14ac:dyDescent="0.3">
      <c r="A7" s="1875"/>
      <c r="B7" s="1876"/>
      <c r="C7" s="2316">
        <f>COVER!A13</f>
        <v>34049072002</v>
      </c>
      <c r="D7" s="2316"/>
      <c r="E7" s="2316"/>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2077</v>
      </c>
      <c r="D19" s="1890" t="s">
        <v>2077</v>
      </c>
      <c r="E19" s="1893" t="s">
        <v>2077</v>
      </c>
      <c r="F19" s="1892" t="s">
        <v>2096</v>
      </c>
      <c r="H19" s="1903">
        <f t="shared" si="0"/>
        <v>5</v>
      </c>
      <c r="I19" s="1903">
        <f t="shared" si="1"/>
        <v>5</v>
      </c>
      <c r="J19" s="1903">
        <f t="shared" si="2"/>
        <v>5</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2097</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10</v>
      </c>
      <c r="K34" s="1903">
        <f>SUM(H34:J34)</f>
        <v>30</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T26" sqref="T2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Rondout SD 72</v>
      </c>
      <c r="J6" s="2336"/>
      <c r="Q6" s="1686"/>
    </row>
    <row r="7" spans="1:17" x14ac:dyDescent="0.2">
      <c r="A7" s="2337" t="s">
        <v>924</v>
      </c>
      <c r="B7" s="2338"/>
      <c r="C7" s="2338"/>
      <c r="D7" s="2338"/>
      <c r="E7" s="2339"/>
      <c r="F7" s="1018"/>
      <c r="G7" s="1010"/>
      <c r="H7" s="1017" t="s">
        <v>390</v>
      </c>
      <c r="I7" s="2340">
        <f>COVER!A13</f>
        <v>34049072002</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219978</v>
      </c>
      <c r="F12" s="1040"/>
      <c r="G12" s="1834">
        <f t="shared" ref="G12:G18" si="0">SUM(E12:F12)</f>
        <v>219978</v>
      </c>
      <c r="H12" s="1041">
        <v>220231</v>
      </c>
      <c r="I12" s="1040"/>
      <c r="J12" s="1834">
        <f t="shared" ref="J12:J18" si="1">SUM(H12:I12)</f>
        <v>220231</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219978</v>
      </c>
      <c r="F19" s="1836">
        <f t="shared" si="2"/>
        <v>0</v>
      </c>
      <c r="G19" s="1836">
        <f t="shared" si="2"/>
        <v>219978</v>
      </c>
      <c r="H19" s="1836">
        <f t="shared" si="2"/>
        <v>220231</v>
      </c>
      <c r="I19" s="1836">
        <f t="shared" si="2"/>
        <v>0</v>
      </c>
      <c r="J19" s="1836">
        <f t="shared" si="2"/>
        <v>220231</v>
      </c>
    </row>
    <row r="20" spans="1:10" ht="13.5" thickTop="1" x14ac:dyDescent="0.2">
      <c r="A20" s="1036">
        <v>9</v>
      </c>
      <c r="B20" s="2347" t="s">
        <v>1703</v>
      </c>
      <c r="C20" s="2347"/>
      <c r="D20" s="2348"/>
      <c r="E20" s="1047"/>
      <c r="F20" s="1047"/>
      <c r="G20" s="1047"/>
      <c r="H20" s="1047"/>
      <c r="I20" s="1047"/>
      <c r="J20" s="1837">
        <f>IF(AND(G19&gt;0,J19&gt;0),(((J19-G19)/G19)),"Enter Budget Data")</f>
        <v>1.15011501150115E-3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Rondout SD 72</v>
      </c>
    </row>
    <row r="65" spans="2:2" x14ac:dyDescent="0.2">
      <c r="B65" s="1071">
        <f>COVER!A13</f>
        <v>34049072002</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T26" sqref="T2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D15" sqref="D1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3390900</xdr:colOff>
                <xdr:row>3</xdr:row>
                <xdr:rowOff>28575</xdr:rowOff>
              </from>
              <to>
                <xdr:col>2</xdr:col>
                <xdr:colOff>323850</xdr:colOff>
                <xdr:row>7</xdr:row>
                <xdr:rowOff>66675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3</xdr:col>
                <xdr:colOff>0</xdr:colOff>
                <xdr:row>3</xdr:row>
                <xdr:rowOff>0</xdr:rowOff>
              </from>
              <to>
                <xdr:col>4</xdr:col>
                <xdr:colOff>304800</xdr:colOff>
                <xdr:row>7</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3864454</v>
      </c>
      <c r="C8" s="1838">
        <f>'Acct Summary 7-8'!D8</f>
        <v>918189</v>
      </c>
      <c r="D8" s="1838">
        <f>'Acct Summary 7-8'!F8</f>
        <v>240954</v>
      </c>
      <c r="E8" s="1838">
        <f>'Acct Summary 7-8'!I8</f>
        <v>44499</v>
      </c>
      <c r="F8" s="1838">
        <f>SUM(B8:E8)</f>
        <v>5068096</v>
      </c>
    </row>
    <row r="9" spans="1:8" s="1080" customFormat="1" ht="14.25" customHeight="1" thickBot="1" x14ac:dyDescent="0.25">
      <c r="A9" s="1079" t="s">
        <v>1436</v>
      </c>
      <c r="B9" s="1839">
        <f>'Acct Summary 7-8'!C17</f>
        <v>3717767</v>
      </c>
      <c r="C9" s="1839">
        <f>'Acct Summary 7-8'!D17</f>
        <v>570238</v>
      </c>
      <c r="D9" s="1839">
        <f>'Acct Summary 7-8'!F17</f>
        <v>240462</v>
      </c>
      <c r="E9" s="1838"/>
      <c r="F9" s="1838">
        <f>SUM(B9:E9)</f>
        <v>4528467</v>
      </c>
    </row>
    <row r="10" spans="1:8" s="1080" customFormat="1" ht="14.25" thickTop="1" thickBot="1" x14ac:dyDescent="0.25">
      <c r="A10" s="1081" t="s">
        <v>1437</v>
      </c>
      <c r="B10" s="1840">
        <f>(B8-B9)</f>
        <v>146687</v>
      </c>
      <c r="C10" s="1840">
        <f>(C8-C9)</f>
        <v>347951</v>
      </c>
      <c r="D10" s="1840">
        <f>(D8-D9)</f>
        <v>492</v>
      </c>
      <c r="E10" s="1839">
        <f>(E8-E9)</f>
        <v>44499</v>
      </c>
      <c r="F10" s="1841">
        <f>SUM(F8-F9)</f>
        <v>539629</v>
      </c>
    </row>
    <row r="11" spans="1:8" s="1080" customFormat="1" ht="14.25" thickTop="1" thickBot="1" x14ac:dyDescent="0.25">
      <c r="A11" s="1082" t="s">
        <v>1785</v>
      </c>
      <c r="B11" s="1842">
        <f>'Acct Summary 7-8'!C81</f>
        <v>2104191</v>
      </c>
      <c r="C11" s="1842">
        <f>'Acct Summary 7-8'!D81</f>
        <v>558690</v>
      </c>
      <c r="D11" s="1842">
        <f>'Acct Summary 7-8'!F81</f>
        <v>89498</v>
      </c>
      <c r="E11" s="1842">
        <f>'Acct Summary 7-8'!I81</f>
        <v>381110</v>
      </c>
      <c r="F11" s="1843">
        <f>SUM(B11:E11)</f>
        <v>3133489</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34049072002</v>
      </c>
    </row>
    <row r="3" spans="1:2" x14ac:dyDescent="0.2">
      <c r="A3" t="s">
        <v>1013</v>
      </c>
      <c r="B3" s="138" t="str">
        <f>COVER!A15</f>
        <v>LAKE</v>
      </c>
    </row>
    <row r="4" spans="1:2" x14ac:dyDescent="0.2">
      <c r="A4" t="s">
        <v>1064</v>
      </c>
      <c r="B4" s="138" t="str">
        <f>COVER!A17</f>
        <v>Rondout SD 72</v>
      </c>
    </row>
    <row r="5" spans="1:2" x14ac:dyDescent="0.2">
      <c r="A5" t="s">
        <v>728</v>
      </c>
      <c r="B5" s="138" t="str">
        <f>COVER!A38</f>
        <v>DR. JENNY WOJCIK</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060-003973</v>
      </c>
    </row>
    <row r="16" spans="1:2" x14ac:dyDescent="0.2">
      <c r="A16" t="s">
        <v>442</v>
      </c>
      <c r="B16" s="138" t="str">
        <f>COVER!T13</f>
        <v>EVANS, MARSHALL &amp; PEASE, P.C.</v>
      </c>
    </row>
    <row r="17" spans="1:2" x14ac:dyDescent="0.2">
      <c r="A17" t="s">
        <v>939</v>
      </c>
      <c r="B17" s="138" t="str">
        <f>COVER!T15</f>
        <v>JEFFERY M. ROLLEFSON, CPA</v>
      </c>
    </row>
    <row r="18" spans="1:2" x14ac:dyDescent="0.2">
      <c r="A18" t="s">
        <v>1212</v>
      </c>
      <c r="B18" s="138" t="str">
        <f>COVER!T17</f>
        <v>1875 HICKS ROAD</v>
      </c>
    </row>
    <row r="19" spans="1:2" x14ac:dyDescent="0.2">
      <c r="A19" t="s">
        <v>941</v>
      </c>
      <c r="B19" s="138" t="str">
        <f>COVER!T25</f>
        <v>JEFF@EMPCPA.COM</v>
      </c>
    </row>
    <row r="20" spans="1:2" x14ac:dyDescent="0.2">
      <c r="A20" t="s">
        <v>942</v>
      </c>
      <c r="B20" s="138" t="str">
        <f>COVER!T19</f>
        <v>ROLLING MEADOWS</v>
      </c>
    </row>
    <row r="21" spans="1:2" x14ac:dyDescent="0.2">
      <c r="A21" t="s">
        <v>500</v>
      </c>
      <c r="B21" s="138" t="str">
        <f>COVER!X19</f>
        <v>IL</v>
      </c>
    </row>
    <row r="22" spans="1:2" x14ac:dyDescent="0.2">
      <c r="A22" t="s">
        <v>943</v>
      </c>
      <c r="B22" s="138">
        <f>COVER!Z19</f>
        <v>60008</v>
      </c>
    </row>
    <row r="23" spans="1:2" x14ac:dyDescent="0.2">
      <c r="A23" t="s">
        <v>1214</v>
      </c>
      <c r="B23" s="138" t="str">
        <f>COVER!T21</f>
        <v>847-221-5700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33512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2104191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2104191</v>
      </c>
      <c r="D92" s="2" t="str">
        <f t="shared" si="0"/>
        <v>Error?</v>
      </c>
    </row>
    <row r="93" spans="1:4" x14ac:dyDescent="0.2">
      <c r="A93" s="5">
        <v>32</v>
      </c>
      <c r="B93" s="138">
        <f>'Assets-Liab 5-6'!C41</f>
        <v>2104191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558690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558690</v>
      </c>
      <c r="D123" s="2" t="str">
        <f t="shared" si="0"/>
        <v>Error?</v>
      </c>
    </row>
    <row r="124" spans="1:4" x14ac:dyDescent="0.2">
      <c r="A124" s="5">
        <v>63</v>
      </c>
      <c r="B124" s="138">
        <f>'Assets-Liab 5-6'!D41</f>
        <v>558690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89498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89498</v>
      </c>
      <c r="D170" s="2" t="str">
        <f t="shared" si="1"/>
        <v>Error?</v>
      </c>
    </row>
    <row r="171" spans="1:4" x14ac:dyDescent="0.2">
      <c r="A171" s="5">
        <v>110</v>
      </c>
      <c r="B171" s="138">
        <f>'Assets-Liab 5-6'!F41</f>
        <v>89498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83180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83180</v>
      </c>
      <c r="D189" s="2" t="str">
        <f t="shared" si="1"/>
        <v>Error?</v>
      </c>
    </row>
    <row r="190" spans="1:4" x14ac:dyDescent="0.2">
      <c r="A190" s="5">
        <v>129</v>
      </c>
      <c r="B190" s="138">
        <f>'Assets-Liab 5-6'!G41</f>
        <v>83180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985612</v>
      </c>
      <c r="D273" s="2" t="str">
        <f t="shared" si="3"/>
        <v>Error?</v>
      </c>
    </row>
    <row r="274" spans="1:4" x14ac:dyDescent="0.2">
      <c r="A274" s="5">
        <v>213</v>
      </c>
      <c r="B274" s="138">
        <f>'Assets-Liab 5-6'!M17</f>
        <v>5143576</v>
      </c>
      <c r="D274" s="2" t="str">
        <f t="shared" si="3"/>
        <v>Error?</v>
      </c>
    </row>
    <row r="275" spans="1:4" x14ac:dyDescent="0.2">
      <c r="A275" s="5">
        <v>214</v>
      </c>
      <c r="B275" s="138">
        <f>'Assets-Liab 5-6'!M18</f>
        <v>123969</v>
      </c>
      <c r="D275" s="2" t="str">
        <f t="shared" si="3"/>
        <v>Error?</v>
      </c>
    </row>
    <row r="276" spans="1:4" x14ac:dyDescent="0.2">
      <c r="A276" s="5">
        <v>215</v>
      </c>
      <c r="B276" s="138">
        <f>'Assets-Liab 5-6'!M19</f>
        <v>468747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6721904</v>
      </c>
      <c r="C279" s="2" t="s">
        <v>594</v>
      </c>
      <c r="D279" s="2" t="str">
        <f t="shared" si="3"/>
        <v>Error?</v>
      </c>
    </row>
    <row r="280" spans="1:4" x14ac:dyDescent="0.2">
      <c r="A280" s="5">
        <v>219</v>
      </c>
      <c r="B280" s="138">
        <f>'Assets-Liab 5-6'!M40</f>
        <v>6721904</v>
      </c>
      <c r="D280" s="2" t="str">
        <f t="shared" si="3"/>
        <v>Error?</v>
      </c>
    </row>
    <row r="281" spans="1:4" x14ac:dyDescent="0.2">
      <c r="A281" s="5">
        <v>220</v>
      </c>
      <c r="B281" s="138">
        <f>'Assets-Liab 5-6'!M41</f>
        <v>6721904</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2705000</v>
      </c>
      <c r="D283" s="2" t="str">
        <f t="shared" si="3"/>
        <v>Error?</v>
      </c>
    </row>
    <row r="284" spans="1:4" x14ac:dyDescent="0.2">
      <c r="A284" s="5">
        <v>223</v>
      </c>
      <c r="B284" s="138">
        <f>'Assets-Liab 5-6'!N23</f>
        <v>2705000</v>
      </c>
      <c r="C284" s="2" t="s">
        <v>594</v>
      </c>
      <c r="D284" s="2" t="str">
        <f t="shared" si="3"/>
        <v>Error?</v>
      </c>
    </row>
    <row r="285" spans="1:4" x14ac:dyDescent="0.2">
      <c r="A285" s="5">
        <v>224</v>
      </c>
      <c r="B285" s="138">
        <f>'Assets-Liab 5-6'!N36</f>
        <v>2705000</v>
      </c>
      <c r="D285" s="2" t="str">
        <f t="shared" si="3"/>
        <v>Error?</v>
      </c>
    </row>
    <row r="286" spans="1:4" x14ac:dyDescent="0.2">
      <c r="A286" s="10">
        <v>225</v>
      </c>
      <c r="D286" s="2" t="str">
        <f t="shared" si="3"/>
        <v>OK</v>
      </c>
    </row>
    <row r="287" spans="1:4" x14ac:dyDescent="0.2">
      <c r="A287" s="5">
        <v>226</v>
      </c>
      <c r="B287" s="138">
        <f>'Assets-Liab 5-6'!N37</f>
        <v>2705000</v>
      </c>
      <c r="C287" s="2" t="s">
        <v>594</v>
      </c>
      <c r="D287" s="2" t="str">
        <f t="shared" si="3"/>
        <v>Error?</v>
      </c>
    </row>
    <row r="288" spans="1:4" x14ac:dyDescent="0.2">
      <c r="A288" s="5">
        <v>227</v>
      </c>
      <c r="B288" s="138">
        <f>'Assets-Liab 5-6'!N41</f>
        <v>2705000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1730126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1943599</v>
      </c>
      <c r="C720" s="2" t="s">
        <v>594</v>
      </c>
      <c r="D720" s="2" t="str">
        <f t="shared" si="10"/>
        <v>Error?</v>
      </c>
    </row>
    <row r="721" spans="1:4" x14ac:dyDescent="0.2">
      <c r="A721" s="5">
        <v>660</v>
      </c>
      <c r="B721" s="138">
        <f>'Expenditures 15-22'!C36</f>
        <v>86339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56676</v>
      </c>
      <c r="D723" s="2" t="str">
        <f t="shared" si="10"/>
        <v>Error?</v>
      </c>
    </row>
    <row r="724" spans="1:4" x14ac:dyDescent="0.2">
      <c r="A724" s="5">
        <v>663</v>
      </c>
      <c r="B724" s="138">
        <f>'Expenditures 15-22'!C39</f>
        <v>45444</v>
      </c>
      <c r="D724" s="2" t="str">
        <f t="shared" si="10"/>
        <v>Error?</v>
      </c>
    </row>
    <row r="725" spans="1:4" x14ac:dyDescent="0.2">
      <c r="A725" s="5">
        <v>664</v>
      </c>
      <c r="B725" s="138">
        <f>'Expenditures 15-22'!C40</f>
        <v>62755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251214</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159139</v>
      </c>
      <c r="D733" s="2" t="str">
        <f t="shared" si="10"/>
        <v>Error?</v>
      </c>
    </row>
    <row r="734" spans="1:4" x14ac:dyDescent="0.2">
      <c r="A734" s="5">
        <v>673</v>
      </c>
      <c r="B734" s="138">
        <f>'Expenditures 15-22'!C53</f>
        <v>159139</v>
      </c>
      <c r="C734" s="2" t="s">
        <v>594</v>
      </c>
      <c r="D734" s="2" t="str">
        <f t="shared" si="10"/>
        <v>Error?</v>
      </c>
    </row>
    <row r="735" spans="1:4" x14ac:dyDescent="0.2">
      <c r="A735" s="5">
        <v>674</v>
      </c>
      <c r="B735" s="138">
        <f>'Expenditures 15-22'!C55</f>
        <v>215291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215291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75613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34295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109908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735552</v>
      </c>
      <c r="C755" s="2" t="s">
        <v>594</v>
      </c>
      <c r="D755" s="2" t="str">
        <f t="shared" si="10"/>
        <v>Error?</v>
      </c>
    </row>
    <row r="756" spans="1:4" x14ac:dyDescent="0.2">
      <c r="A756" s="5">
        <v>695</v>
      </c>
      <c r="B756" s="138">
        <f>'Expenditures 15-22'!C75</f>
        <v>21554</v>
      </c>
      <c r="D756" s="2" t="str">
        <f t="shared" si="10"/>
        <v>Error?</v>
      </c>
    </row>
    <row r="757" spans="1:4" x14ac:dyDescent="0.2">
      <c r="A757" s="5">
        <v>696</v>
      </c>
      <c r="B757" s="138">
        <f>'Expenditures 15-22'!C114</f>
        <v>2700705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320582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369327</v>
      </c>
      <c r="C778" s="2" t="s">
        <v>594</v>
      </c>
      <c r="D778" s="2" t="str">
        <f t="shared" si="11"/>
        <v>Error?</v>
      </c>
    </row>
    <row r="779" spans="1:4" x14ac:dyDescent="0.2">
      <c r="A779" s="5">
        <v>718</v>
      </c>
      <c r="B779" s="138">
        <f>'Expenditures 15-22'!D36</f>
        <v>11411</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21106</v>
      </c>
      <c r="D781" s="2" t="str">
        <f t="shared" si="11"/>
        <v>Error?</v>
      </c>
    </row>
    <row r="782" spans="1:4" x14ac:dyDescent="0.2">
      <c r="A782" s="5">
        <v>721</v>
      </c>
      <c r="B782" s="138">
        <f>'Expenditures 15-22'!D39</f>
        <v>1636</v>
      </c>
      <c r="D782" s="2" t="str">
        <f t="shared" si="11"/>
        <v>Error?</v>
      </c>
    </row>
    <row r="783" spans="1:4" x14ac:dyDescent="0.2">
      <c r="A783" s="5">
        <v>722</v>
      </c>
      <c r="B783" s="138">
        <f>'Expenditures 15-22'!D40</f>
        <v>1930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36083</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29941</v>
      </c>
      <c r="D791" s="2" t="str">
        <f t="shared" si="11"/>
        <v>Error?</v>
      </c>
    </row>
    <row r="792" spans="1:4" x14ac:dyDescent="0.2">
      <c r="A792" s="5">
        <v>731</v>
      </c>
      <c r="B792" s="138">
        <f>'Expenditures 15-22'!D53</f>
        <v>29941</v>
      </c>
      <c r="C792" s="2" t="s">
        <v>594</v>
      </c>
      <c r="D792" s="2" t="str">
        <f t="shared" si="11"/>
        <v>Error?</v>
      </c>
    </row>
    <row r="793" spans="1:4" x14ac:dyDescent="0.2">
      <c r="A793" s="5">
        <v>732</v>
      </c>
      <c r="B793" s="138">
        <f>'Expenditures 15-22'!D55</f>
        <v>15573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15573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5051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5093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86690</v>
      </c>
      <c r="C813" s="2" t="s">
        <v>594</v>
      </c>
      <c r="D813" s="2" t="str">
        <f t="shared" si="11"/>
        <v>Error?</v>
      </c>
    </row>
    <row r="814" spans="1:4" x14ac:dyDescent="0.2">
      <c r="A814" s="5">
        <v>753</v>
      </c>
      <c r="B814" s="138">
        <f>'Expenditures 15-22'!D75</f>
        <v>5634</v>
      </c>
      <c r="D814" s="2" t="str">
        <f t="shared" si="11"/>
        <v>Error?</v>
      </c>
    </row>
    <row r="815" spans="1:4" x14ac:dyDescent="0.2">
      <c r="A815" s="5">
        <v>754</v>
      </c>
      <c r="B815" s="138">
        <f>'Expenditures 15-22'!D114</f>
        <v>461651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4960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6230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45032</v>
      </c>
      <c r="D839" s="2" t="str">
        <f t="shared" si="12"/>
        <v>Error?</v>
      </c>
    </row>
    <row r="840" spans="1:4" x14ac:dyDescent="0.2">
      <c r="A840" s="5">
        <v>779</v>
      </c>
      <c r="B840" s="138">
        <f>'Expenditures 15-22'!E39</f>
        <v>1500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46532</v>
      </c>
      <c r="C843" s="2" t="s">
        <v>594</v>
      </c>
      <c r="D843" s="2" t="str">
        <f t="shared" si="12"/>
        <v>Error?</v>
      </c>
    </row>
    <row r="844" spans="1:4" x14ac:dyDescent="0.2">
      <c r="A844" s="5">
        <v>783</v>
      </c>
      <c r="B844" s="138">
        <f>'Expenditures 15-22'!E44</f>
        <v>8179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8196</v>
      </c>
      <c r="D846" s="2" t="str">
        <f t="shared" si="12"/>
        <v>Error?</v>
      </c>
    </row>
    <row r="847" spans="1:4" x14ac:dyDescent="0.2">
      <c r="A847" s="5">
        <v>786</v>
      </c>
      <c r="B847" s="138">
        <f>'Expenditures 15-22'!E47</f>
        <v>16375</v>
      </c>
      <c r="C847" s="2" t="s">
        <v>594</v>
      </c>
      <c r="D847" s="2" t="str">
        <f t="shared" si="12"/>
        <v>Error?</v>
      </c>
    </row>
    <row r="848" spans="1:4" x14ac:dyDescent="0.2">
      <c r="A848" s="5">
        <v>787</v>
      </c>
      <c r="B848" s="138">
        <f>'Expenditures 15-22'!E49</f>
        <v>23185</v>
      </c>
      <c r="D848" s="2" t="str">
        <f t="shared" si="12"/>
        <v>Error?</v>
      </c>
    </row>
    <row r="849" spans="1:4" x14ac:dyDescent="0.2">
      <c r="A849" s="5">
        <v>788</v>
      </c>
      <c r="B849" s="138">
        <f>'Expenditures 15-22'!E50</f>
        <v>4409</v>
      </c>
      <c r="D849" s="2" t="str">
        <f t="shared" si="12"/>
        <v>Error?</v>
      </c>
    </row>
    <row r="850" spans="1:4" x14ac:dyDescent="0.2">
      <c r="A850" s="5">
        <v>789</v>
      </c>
      <c r="B850" s="138">
        <f>'Expenditures 15-22'!E53</f>
        <v>27594</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14555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14555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105056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111286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100757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105103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744</v>
      </c>
      <c r="D897" s="2" t="str">
        <f t="shared" si="13"/>
        <v>Error?</v>
      </c>
    </row>
    <row r="898" spans="1:4" x14ac:dyDescent="0.2">
      <c r="A898" s="5">
        <v>837</v>
      </c>
      <c r="B898" s="138">
        <f>'Expenditures 15-22'!F39</f>
        <v>1686</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2430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3779</v>
      </c>
      <c r="D903" s="2" t="str">
        <f t="shared" si="13"/>
        <v>Error?</v>
      </c>
    </row>
    <row r="904" spans="1:4" x14ac:dyDescent="0.2">
      <c r="A904" s="5">
        <v>843</v>
      </c>
      <c r="B904" s="138">
        <f>'Expenditures 15-22'!F46</f>
        <v>2413</v>
      </c>
      <c r="D904" s="2" t="str">
        <f t="shared" si="13"/>
        <v>Error?</v>
      </c>
    </row>
    <row r="905" spans="1:4" x14ac:dyDescent="0.2">
      <c r="A905" s="5">
        <v>844</v>
      </c>
      <c r="B905" s="138">
        <f>'Expenditures 15-22'!F47</f>
        <v>6192</v>
      </c>
      <c r="C905" s="2" t="s">
        <v>594</v>
      </c>
      <c r="D905" s="2" t="str">
        <f t="shared" si="13"/>
        <v>Error?</v>
      </c>
    </row>
    <row r="906" spans="1:4" x14ac:dyDescent="0.2">
      <c r="A906" s="5">
        <v>845</v>
      </c>
      <c r="B906" s="138">
        <f>'Expenditures 15-22'!F49</f>
        <v>179</v>
      </c>
      <c r="D906" s="2" t="str">
        <f t="shared" si="13"/>
        <v>Error?</v>
      </c>
    </row>
    <row r="907" spans="1:4" x14ac:dyDescent="0.2">
      <c r="A907" s="5">
        <v>846</v>
      </c>
      <c r="B907" s="138">
        <f>'Expenditures 15-22'!F50</f>
        <v>244</v>
      </c>
      <c r="D907" s="2" t="str">
        <f t="shared" si="13"/>
        <v>Error?</v>
      </c>
    </row>
    <row r="908" spans="1:4" x14ac:dyDescent="0.2">
      <c r="A908" s="5">
        <v>847</v>
      </c>
      <c r="B908" s="138">
        <f>'Expenditures 15-22'!F53</f>
        <v>423</v>
      </c>
      <c r="C908" s="2" t="s">
        <v>594</v>
      </c>
      <c r="D908" s="2" t="str">
        <f t="shared" si="13"/>
        <v>Error?</v>
      </c>
    </row>
    <row r="909" spans="1:4" x14ac:dyDescent="0.2">
      <c r="A909" s="5">
        <v>848</v>
      </c>
      <c r="B909" s="138">
        <f>'Expenditures 15-22'!F55</f>
        <v>1817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1817</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444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27380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27824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38686</v>
      </c>
      <c r="C929" s="2" t="s">
        <v>594</v>
      </c>
      <c r="D929" s="2" t="str">
        <f t="shared" si="13"/>
        <v>Error?</v>
      </c>
    </row>
    <row r="930" spans="1:4" x14ac:dyDescent="0.2">
      <c r="A930" s="5">
        <v>869</v>
      </c>
      <c r="B930" s="138">
        <f>'Expenditures 15-22'!F75</f>
        <v>-311</v>
      </c>
      <c r="D930" s="2" t="str">
        <f t="shared" si="13"/>
        <v>Error?</v>
      </c>
    </row>
    <row r="931" spans="1:4" x14ac:dyDescent="0.2">
      <c r="A931" s="5">
        <v>870</v>
      </c>
      <c r="B931" s="138">
        <f>'Expenditures 15-22'!F114</f>
        <v>143478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48466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48466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48466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7008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7008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221</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333</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554</v>
      </c>
      <c r="C1017" s="2" t="s">
        <v>594</v>
      </c>
      <c r="D1017" s="2" t="str">
        <f t="shared" si="14"/>
        <v>Error?</v>
      </c>
    </row>
    <row r="1018" spans="1:4" x14ac:dyDescent="0.2">
      <c r="A1018" s="5">
        <v>957</v>
      </c>
      <c r="B1018" s="138">
        <f>'Expenditures 15-22'!H44</f>
        <v>65</v>
      </c>
      <c r="D1018" s="2" t="str">
        <f t="shared" si="14"/>
        <v>Error?</v>
      </c>
    </row>
    <row r="1019" spans="1:4" x14ac:dyDescent="0.2">
      <c r="A1019" s="5">
        <v>958</v>
      </c>
      <c r="B1019" s="138">
        <f>'Expenditures 15-22'!H45</f>
        <v>1410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1475</v>
      </c>
      <c r="C1021" s="2" t="s">
        <v>594</v>
      </c>
      <c r="D1021" s="2" t="str">
        <f t="shared" si="14"/>
        <v>Error?</v>
      </c>
    </row>
    <row r="1022" spans="1:4" x14ac:dyDescent="0.2">
      <c r="A1022" s="5">
        <v>961</v>
      </c>
      <c r="B1022" s="138">
        <f>'Expenditures 15-22'!H49</f>
        <v>11448</v>
      </c>
      <c r="D1022" s="2" t="str">
        <f t="shared" si="14"/>
        <v>Error?</v>
      </c>
    </row>
    <row r="1023" spans="1:4" x14ac:dyDescent="0.2">
      <c r="A1023" s="5">
        <v>962</v>
      </c>
      <c r="B1023" s="138">
        <f>'Expenditures 15-22'!H50</f>
        <v>26245</v>
      </c>
      <c r="D1023" s="2" t="str">
        <f t="shared" ref="D1023:D1086" si="15">IF(ISBLANK(B1023),"OK",IF(A1023-B1023=0,"OK","Error?"))</f>
        <v>Error?</v>
      </c>
    </row>
    <row r="1024" spans="1:4" x14ac:dyDescent="0.2">
      <c r="A1024" s="5">
        <v>963</v>
      </c>
      <c r="B1024" s="138">
        <f>'Expenditures 15-22'!H53</f>
        <v>37693</v>
      </c>
      <c r="C1024" s="2" t="s">
        <v>594</v>
      </c>
      <c r="D1024" s="2" t="str">
        <f t="shared" si="15"/>
        <v>Error?</v>
      </c>
    </row>
    <row r="1025" spans="1:4" x14ac:dyDescent="0.2">
      <c r="A1025" s="5">
        <v>964</v>
      </c>
      <c r="B1025" s="138">
        <f>'Expenditures 15-22'!H55</f>
        <v>920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920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5682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706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6388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47030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198143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252181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2211899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2479733</v>
      </c>
      <c r="C1108" s="2" t="s">
        <v>594</v>
      </c>
      <c r="D1108" s="2" t="str">
        <f t="shared" si="16"/>
        <v>Error?</v>
      </c>
    </row>
    <row r="1109" spans="1:4" x14ac:dyDescent="0.2">
      <c r="A1109" s="5">
        <v>1048</v>
      </c>
      <c r="B1109" s="138">
        <f>'Expenditures 15-22'!K36</f>
        <v>97750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123779</v>
      </c>
      <c r="C1111" s="2" t="s">
        <v>594</v>
      </c>
      <c r="D1111" s="2" t="str">
        <f t="shared" si="16"/>
        <v>Error?</v>
      </c>
    </row>
    <row r="1112" spans="1:4" x14ac:dyDescent="0.2">
      <c r="A1112" s="5">
        <v>1051</v>
      </c>
      <c r="B1112" s="138">
        <f>'Expenditures 15-22'!K39</f>
        <v>50266</v>
      </c>
      <c r="C1112" s="2" t="s">
        <v>594</v>
      </c>
      <c r="D1112" s="2" t="str">
        <f t="shared" si="16"/>
        <v>Error?</v>
      </c>
    </row>
    <row r="1113" spans="1:4" x14ac:dyDescent="0.2">
      <c r="A1113" s="5">
        <v>1052</v>
      </c>
      <c r="B1113" s="138">
        <f>'Expenditures 15-22'!K40</f>
        <v>65018</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336813</v>
      </c>
      <c r="C1115" s="2" t="s">
        <v>594</v>
      </c>
      <c r="D1115" s="2" t="str">
        <f t="shared" si="16"/>
        <v>Error?</v>
      </c>
    </row>
    <row r="1116" spans="1:4" x14ac:dyDescent="0.2">
      <c r="A1116" s="5">
        <v>1055</v>
      </c>
      <c r="B1116" s="138">
        <f>'Expenditures 15-22'!K44</f>
        <v>8244</v>
      </c>
      <c r="C1116" s="2" t="s">
        <v>594</v>
      </c>
      <c r="D1116" s="2" t="str">
        <f t="shared" si="16"/>
        <v>Error?</v>
      </c>
    </row>
    <row r="1117" spans="1:4" x14ac:dyDescent="0.2">
      <c r="A1117" s="5">
        <v>1056</v>
      </c>
      <c r="B1117" s="138">
        <f>'Expenditures 15-22'!K45</f>
        <v>5189</v>
      </c>
      <c r="C1117" s="2" t="s">
        <v>594</v>
      </c>
      <c r="D1117" s="2" t="str">
        <f t="shared" si="16"/>
        <v>Error?</v>
      </c>
    </row>
    <row r="1118" spans="1:4" x14ac:dyDescent="0.2">
      <c r="A1118" s="5">
        <v>1057</v>
      </c>
      <c r="B1118" s="138">
        <f>'Expenditures 15-22'!K46</f>
        <v>10609</v>
      </c>
      <c r="C1118" s="2" t="s">
        <v>594</v>
      </c>
      <c r="D1118" s="2" t="str">
        <f t="shared" si="16"/>
        <v>Error?</v>
      </c>
    </row>
    <row r="1119" spans="1:4" x14ac:dyDescent="0.2">
      <c r="A1119" s="5">
        <v>1058</v>
      </c>
      <c r="B1119" s="138">
        <f>'Expenditures 15-22'!K47</f>
        <v>24042</v>
      </c>
      <c r="C1119" s="2" t="s">
        <v>594</v>
      </c>
      <c r="D1119" s="2" t="str">
        <f t="shared" si="16"/>
        <v>Error?</v>
      </c>
    </row>
    <row r="1120" spans="1:4" x14ac:dyDescent="0.2">
      <c r="A1120" s="5">
        <v>1059</v>
      </c>
      <c r="B1120" s="138">
        <f>'Expenditures 15-22'!K49</f>
        <v>34812</v>
      </c>
      <c r="C1120" s="2" t="s">
        <v>594</v>
      </c>
      <c r="D1120" s="2" t="str">
        <f t="shared" si="16"/>
        <v>Error?</v>
      </c>
    </row>
    <row r="1121" spans="1:4" x14ac:dyDescent="0.2">
      <c r="A1121" s="5">
        <v>1060</v>
      </c>
      <c r="B1121" s="138">
        <f>'Expenditures 15-22'!K50</f>
        <v>219978</v>
      </c>
      <c r="C1121" s="2" t="s">
        <v>594</v>
      </c>
      <c r="D1121" s="2" t="str">
        <f t="shared" si="16"/>
        <v>Error?</v>
      </c>
    </row>
    <row r="1122" spans="1:4" x14ac:dyDescent="0.2">
      <c r="A1122" s="5">
        <v>1061</v>
      </c>
      <c r="B1122" s="138">
        <f>'Expenditures 15-22'!K53</f>
        <v>254790</v>
      </c>
      <c r="C1122" s="2" t="s">
        <v>594</v>
      </c>
      <c r="D1122" s="2" t="str">
        <f t="shared" si="16"/>
        <v>Error?</v>
      </c>
    </row>
    <row r="1123" spans="1:4" x14ac:dyDescent="0.2">
      <c r="A1123" s="5">
        <v>1062</v>
      </c>
      <c r="B1123" s="138">
        <f>'Expenditures 15-22'!K55</f>
        <v>233601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233601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96336</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67432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163768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1013014</v>
      </c>
      <c r="C1143" s="2" t="s">
        <v>594</v>
      </c>
      <c r="D1143" s="2" t="str">
        <f t="shared" si="16"/>
        <v>Error?</v>
      </c>
    </row>
    <row r="1144" spans="1:4" x14ac:dyDescent="0.2">
      <c r="A1144" s="5">
        <v>1083</v>
      </c>
      <c r="B1144" s="138">
        <f>'Expenditures 15-22'!K75</f>
        <v>26877</v>
      </c>
      <c r="C1144" s="2" t="s">
        <v>594</v>
      </c>
      <c r="D1144" s="2" t="str">
        <f t="shared" si="16"/>
        <v>Error?</v>
      </c>
    </row>
    <row r="1145" spans="1:4" x14ac:dyDescent="0.2">
      <c r="A1145" s="5">
        <v>1084</v>
      </c>
      <c r="B1145" s="138">
        <f>'Expenditures 15-22'!K102</f>
        <v>198143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3717767</v>
      </c>
      <c r="C1152" s="2" t="s">
        <v>594</v>
      </c>
      <c r="D1152" s="2" t="str">
        <f t="shared" si="17"/>
        <v>Error?</v>
      </c>
    </row>
    <row r="1153" spans="1:4" x14ac:dyDescent="0.2">
      <c r="A1153" s="5">
        <v>1092</v>
      </c>
      <c r="B1153" s="138">
        <f>'Expenditures 15-22'!K115</f>
        <v>146687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167661</v>
      </c>
      <c r="D1221" s="2" t="str">
        <f t="shared" si="18"/>
        <v>Error?</v>
      </c>
    </row>
    <row r="1222" spans="1:4" x14ac:dyDescent="0.2">
      <c r="A1222" s="10">
        <v>1161</v>
      </c>
      <c r="D1222" s="2" t="str">
        <f t="shared" si="18"/>
        <v>OK</v>
      </c>
    </row>
    <row r="1223" spans="1:4" x14ac:dyDescent="0.2">
      <c r="A1223" s="5">
        <v>1162</v>
      </c>
      <c r="B1223" s="138">
        <f>'Expenditures 15-22'!C127</f>
        <v>167661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167661</v>
      </c>
      <c r="C1225" s="2" t="s">
        <v>594</v>
      </c>
      <c r="D1225" s="2" t="str">
        <f t="shared" si="18"/>
        <v>Error?</v>
      </c>
    </row>
    <row r="1226" spans="1:4" x14ac:dyDescent="0.2">
      <c r="A1226" s="5">
        <v>1165</v>
      </c>
      <c r="B1226" s="138">
        <f>'Expenditures 15-22'!C151</f>
        <v>167661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24027</v>
      </c>
      <c r="D1229" s="2" t="str">
        <f t="shared" si="18"/>
        <v>Error?</v>
      </c>
    </row>
    <row r="1230" spans="1:4" x14ac:dyDescent="0.2">
      <c r="A1230" s="10">
        <v>1169</v>
      </c>
      <c r="D1230" s="2" t="str">
        <f t="shared" si="18"/>
        <v>OK</v>
      </c>
    </row>
    <row r="1231" spans="1:4" x14ac:dyDescent="0.2">
      <c r="A1231" s="5">
        <v>1170</v>
      </c>
      <c r="B1231" s="138">
        <f>'Expenditures 15-22'!D127</f>
        <v>24027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24027</v>
      </c>
      <c r="C1233" s="2" t="s">
        <v>594</v>
      </c>
      <c r="D1233" s="2" t="str">
        <f t="shared" si="18"/>
        <v>Error?</v>
      </c>
    </row>
    <row r="1234" spans="1:4" x14ac:dyDescent="0.2">
      <c r="A1234" s="5">
        <v>1173</v>
      </c>
      <c r="B1234" s="138">
        <f>'Expenditures 15-22'!D151</f>
        <v>24027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266969</v>
      </c>
      <c r="D1237" s="2" t="str">
        <f t="shared" si="18"/>
        <v>Error?</v>
      </c>
    </row>
    <row r="1238" spans="1:4" x14ac:dyDescent="0.2">
      <c r="A1238" s="10">
        <v>1177</v>
      </c>
      <c r="D1238" s="2" t="str">
        <f t="shared" si="18"/>
        <v>OK</v>
      </c>
    </row>
    <row r="1239" spans="1:4" x14ac:dyDescent="0.2">
      <c r="A1239" s="5">
        <v>1178</v>
      </c>
      <c r="B1239" s="138">
        <f>'Expenditures 15-22'!E127</f>
        <v>266969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266969</v>
      </c>
      <c r="C1241" s="2" t="s">
        <v>594</v>
      </c>
      <c r="D1241" s="2" t="str">
        <f t="shared" si="18"/>
        <v>Error?</v>
      </c>
    </row>
    <row r="1242" spans="1:4" x14ac:dyDescent="0.2">
      <c r="A1242" s="5">
        <v>1181</v>
      </c>
      <c r="B1242" s="138">
        <f>'Expenditures 15-22'!E151</f>
        <v>266969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85746</v>
      </c>
      <c r="D1245" s="2" t="str">
        <f t="shared" si="18"/>
        <v>Error?</v>
      </c>
    </row>
    <row r="1246" spans="1:4" x14ac:dyDescent="0.2">
      <c r="A1246" s="10">
        <v>1185</v>
      </c>
      <c r="D1246" s="2" t="str">
        <f t="shared" si="18"/>
        <v>OK</v>
      </c>
    </row>
    <row r="1247" spans="1:4" x14ac:dyDescent="0.2">
      <c r="A1247" s="5">
        <v>1186</v>
      </c>
      <c r="B1247" s="138">
        <f>'Expenditures 15-22'!F127</f>
        <v>85746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85746</v>
      </c>
      <c r="C1249" s="2" t="s">
        <v>594</v>
      </c>
      <c r="D1249" s="2" t="str">
        <f t="shared" si="18"/>
        <v>Error?</v>
      </c>
    </row>
    <row r="1250" spans="1:4" x14ac:dyDescent="0.2">
      <c r="A1250" s="5">
        <v>1189</v>
      </c>
      <c r="B1250" s="138">
        <f>'Expenditures 15-22'!F151</f>
        <v>85746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5282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5282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5282</v>
      </c>
      <c r="C1258" s="2" t="s">
        <v>594</v>
      </c>
      <c r="D1258" s="2" t="str">
        <f t="shared" si="18"/>
        <v>Error?</v>
      </c>
    </row>
    <row r="1259" spans="1:4" x14ac:dyDescent="0.2">
      <c r="A1259" s="5">
        <v>1198</v>
      </c>
      <c r="B1259" s="138">
        <f>'Expenditures 15-22'!G151</f>
        <v>5282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20553</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20553</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549685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549685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549685</v>
      </c>
      <c r="C1281" s="2" t="s">
        <v>594</v>
      </c>
      <c r="D1281" s="2" t="str">
        <f t="shared" si="19"/>
        <v>Error?</v>
      </c>
    </row>
    <row r="1282" spans="1:4" x14ac:dyDescent="0.2">
      <c r="A1282" s="5">
        <v>1221</v>
      </c>
      <c r="B1282" s="138">
        <f>'Expenditures 15-22'!K139</f>
        <v>20553</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570238</v>
      </c>
      <c r="C1288" s="2" t="s">
        <v>594</v>
      </c>
      <c r="D1288" s="2" t="str">
        <f t="shared" si="19"/>
        <v>Error?</v>
      </c>
    </row>
    <row r="1289" spans="1:4" x14ac:dyDescent="0.2">
      <c r="A1289" s="5">
        <v>1228</v>
      </c>
      <c r="B1289" s="138">
        <f>'Expenditures 15-22'!K152</f>
        <v>347951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84648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265000</v>
      </c>
      <c r="D1315" s="2" t="str">
        <f t="shared" si="19"/>
        <v>Error?</v>
      </c>
    </row>
    <row r="1316" spans="1:4" x14ac:dyDescent="0.2">
      <c r="A1316" s="5">
        <v>1255</v>
      </c>
      <c r="B1316" s="138">
        <f>'Expenditures 15-22'!H171</f>
        <v>-6742</v>
      </c>
      <c r="D1316" s="2" t="str">
        <f t="shared" si="19"/>
        <v>Error?</v>
      </c>
    </row>
    <row r="1317" spans="1:4" x14ac:dyDescent="0.2">
      <c r="A1317" s="5">
        <v>1256</v>
      </c>
      <c r="B1317" s="138">
        <f>'Expenditures 15-22'!H172</f>
        <v>342906</v>
      </c>
      <c r="C1317" s="2" t="s">
        <v>594</v>
      </c>
      <c r="D1317" s="2" t="str">
        <f t="shared" si="19"/>
        <v>Error?</v>
      </c>
    </row>
    <row r="1318" spans="1:4" x14ac:dyDescent="0.2">
      <c r="A1318" s="5">
        <v>1257</v>
      </c>
      <c r="B1318" s="138">
        <f>'Expenditures 15-22'!H174</f>
        <v>342906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84648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265000</v>
      </c>
      <c r="C1329" s="2" t="s">
        <v>594</v>
      </c>
      <c r="D1329" s="2" t="str">
        <f t="shared" si="19"/>
        <v>Error?</v>
      </c>
    </row>
    <row r="1330" spans="1:4" x14ac:dyDescent="0.2">
      <c r="A1330" s="5">
        <v>1269</v>
      </c>
      <c r="B1330" s="138">
        <f>'Expenditures 15-22'!K171</f>
        <v>-6742</v>
      </c>
      <c r="C1330" s="2" t="s">
        <v>594</v>
      </c>
      <c r="D1330" s="2" t="str">
        <f t="shared" si="19"/>
        <v>Error?</v>
      </c>
    </row>
    <row r="1331" spans="1:4" x14ac:dyDescent="0.2">
      <c r="A1331" s="5">
        <v>1270</v>
      </c>
      <c r="B1331" s="138">
        <f>'Expenditures 15-22'!K172</f>
        <v>342906</v>
      </c>
      <c r="C1331" s="2" t="s">
        <v>594</v>
      </c>
      <c r="D1331" s="2" t="str">
        <f t="shared" si="19"/>
        <v>Error?</v>
      </c>
    </row>
    <row r="1332" spans="1:4" x14ac:dyDescent="0.2">
      <c r="A1332" s="5">
        <v>1271</v>
      </c>
      <c r="B1332" s="138">
        <f>'Expenditures 15-22'!K174</f>
        <v>342906</v>
      </c>
      <c r="C1332" s="2" t="s">
        <v>594</v>
      </c>
      <c r="D1332" s="2" t="str">
        <f t="shared" si="19"/>
        <v>Error?</v>
      </c>
    </row>
    <row r="1333" spans="1:4" x14ac:dyDescent="0.2">
      <c r="A1333" s="5">
        <v>1272</v>
      </c>
      <c r="B1333" s="138">
        <f>'Expenditures 15-22'!K175</f>
        <v>-342906</v>
      </c>
      <c r="C1333" s="2" t="s">
        <v>594</v>
      </c>
      <c r="D1333" s="2" t="str">
        <f t="shared" si="19"/>
        <v>Error?</v>
      </c>
    </row>
    <row r="1334" spans="1:4" x14ac:dyDescent="0.2">
      <c r="A1334" s="10">
        <v>1273</v>
      </c>
      <c r="D1334" s="2" t="str">
        <f t="shared" si="19"/>
        <v>OK</v>
      </c>
    </row>
    <row r="1335" spans="1:4" x14ac:dyDescent="0.2">
      <c r="A1335" s="5">
        <v>1274</v>
      </c>
      <c r="B1335" s="138">
        <f>'Expenditures 15-22'!C182</f>
        <v>5918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5918</v>
      </c>
      <c r="C1339" s="2" t="s">
        <v>594</v>
      </c>
      <c r="D1339" s="2" t="str">
        <f t="shared" si="19"/>
        <v>Error?</v>
      </c>
    </row>
    <row r="1340" spans="1:4" x14ac:dyDescent="0.2">
      <c r="A1340" s="5">
        <v>1279</v>
      </c>
      <c r="B1340" s="138">
        <f>'Expenditures 15-22'!C210</f>
        <v>5918</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234544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234544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234544</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240462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240462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240462</v>
      </c>
      <c r="C1388" s="2" t="s">
        <v>594</v>
      </c>
      <c r="D1388" s="2" t="str">
        <f t="shared" si="20"/>
        <v>Error?</v>
      </c>
    </row>
    <row r="1389" spans="1:4" x14ac:dyDescent="0.2">
      <c r="A1389" s="5">
        <v>1328</v>
      </c>
      <c r="B1389" s="138">
        <f>'Expenditures 15-22'!K211</f>
        <v>492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33582</v>
      </c>
      <c r="C1410" s="2" t="s">
        <v>594</v>
      </c>
      <c r="D1410" s="2" t="str">
        <f t="shared" si="21"/>
        <v>Error?</v>
      </c>
    </row>
    <row r="1411" spans="1:4" x14ac:dyDescent="0.2">
      <c r="A1411" s="5">
        <v>1350</v>
      </c>
      <c r="B1411" s="138">
        <f>'Expenditures 15-22'!D232</f>
        <v>1222</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672</v>
      </c>
      <c r="D1413" s="2" t="str">
        <f t="shared" si="21"/>
        <v>Error?</v>
      </c>
    </row>
    <row r="1414" spans="1:4" x14ac:dyDescent="0.2">
      <c r="A1414" s="5">
        <v>1353</v>
      </c>
      <c r="B1414" s="138">
        <f>'Expenditures 15-22'!D235</f>
        <v>666</v>
      </c>
      <c r="D1414" s="2" t="str">
        <f t="shared" si="21"/>
        <v>Error?</v>
      </c>
    </row>
    <row r="1415" spans="1:4" x14ac:dyDescent="0.2">
      <c r="A1415" s="5">
        <v>1354</v>
      </c>
      <c r="B1415" s="138">
        <f>'Expenditures 15-22'!D236</f>
        <v>965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3525</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2261</v>
      </c>
      <c r="D1423" s="2" t="str">
        <f t="shared" si="21"/>
        <v>Error?</v>
      </c>
    </row>
    <row r="1424" spans="1:4" x14ac:dyDescent="0.2">
      <c r="A1424" s="5">
        <v>1363</v>
      </c>
      <c r="B1424" s="138">
        <f>'Expenditures 15-22'!D257</f>
        <v>2261</v>
      </c>
      <c r="C1424" s="2" t="s">
        <v>594</v>
      </c>
      <c r="D1424" s="2" t="str">
        <f t="shared" si="21"/>
        <v>Error?</v>
      </c>
    </row>
    <row r="1425" spans="1:4" x14ac:dyDescent="0.2">
      <c r="A1425" s="5">
        <v>1364</v>
      </c>
      <c r="B1425" s="138">
        <f>'Expenditures 15-22'!D259</f>
        <v>20329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20329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13909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17133</v>
      </c>
      <c r="D1431" s="2" t="str">
        <f t="shared" si="21"/>
        <v>Error?</v>
      </c>
    </row>
    <row r="1432" spans="1:4" x14ac:dyDescent="0.2">
      <c r="A1432" s="5">
        <v>1371</v>
      </c>
      <c r="B1432" s="138">
        <f>'Expenditures 15-22'!D267</f>
        <v>1063</v>
      </c>
      <c r="D1432" s="2" t="str">
        <f t="shared" si="21"/>
        <v>Error?</v>
      </c>
    </row>
    <row r="1433" spans="1:4" x14ac:dyDescent="0.2">
      <c r="A1433" s="5">
        <v>1372</v>
      </c>
      <c r="B1433" s="138">
        <f>'Expenditures 15-22'!D268</f>
        <v>6306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38411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64526</v>
      </c>
      <c r="C1446" s="2" t="s">
        <v>594</v>
      </c>
      <c r="D1446" s="2" t="str">
        <f t="shared" si="21"/>
        <v>Error?</v>
      </c>
    </row>
    <row r="1447" spans="1:4" x14ac:dyDescent="0.2">
      <c r="A1447" s="5">
        <v>1386</v>
      </c>
      <c r="B1447" s="138">
        <f>'Expenditures 15-22'!D280</f>
        <v>3020</v>
      </c>
      <c r="D1447" s="2" t="str">
        <f t="shared" si="21"/>
        <v>Error?</v>
      </c>
    </row>
    <row r="1448" spans="1:4" x14ac:dyDescent="0.2">
      <c r="A1448" s="5">
        <v>1387</v>
      </c>
      <c r="B1448" s="138">
        <f>'Expenditures 15-22'!D295</f>
        <v>124179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33582</v>
      </c>
      <c r="C1474" s="2" t="s">
        <v>594</v>
      </c>
      <c r="D1474" s="2" t="str">
        <f t="shared" si="22"/>
        <v>Error?</v>
      </c>
    </row>
    <row r="1475" spans="1:4" x14ac:dyDescent="0.2">
      <c r="A1475" s="5">
        <v>1414</v>
      </c>
      <c r="B1475" s="138">
        <f>'Expenditures 15-22'!K232</f>
        <v>1222</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672</v>
      </c>
      <c r="C1477" s="2" t="s">
        <v>594</v>
      </c>
      <c r="D1477" s="2" t="str">
        <f t="shared" si="22"/>
        <v>Error?</v>
      </c>
    </row>
    <row r="1478" spans="1:4" x14ac:dyDescent="0.2">
      <c r="A1478" s="5">
        <v>1417</v>
      </c>
      <c r="B1478" s="138">
        <f>'Expenditures 15-22'!K235</f>
        <v>666</v>
      </c>
      <c r="C1478" s="2" t="s">
        <v>594</v>
      </c>
      <c r="D1478" s="2" t="str">
        <f t="shared" si="22"/>
        <v>Error?</v>
      </c>
    </row>
    <row r="1479" spans="1:4" x14ac:dyDescent="0.2">
      <c r="A1479" s="5">
        <v>1418</v>
      </c>
      <c r="B1479" s="138">
        <f>'Expenditures 15-22'!K236</f>
        <v>965</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3525</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2261</v>
      </c>
      <c r="C1487" s="2" t="s">
        <v>594</v>
      </c>
      <c r="D1487" s="2" t="str">
        <f t="shared" si="22"/>
        <v>Error?</v>
      </c>
    </row>
    <row r="1488" spans="1:4" x14ac:dyDescent="0.2">
      <c r="A1488" s="5">
        <v>1427</v>
      </c>
      <c r="B1488" s="138">
        <f>'Expenditures 15-22'!K257</f>
        <v>2261</v>
      </c>
      <c r="C1488" s="2" t="s">
        <v>594</v>
      </c>
      <c r="D1488" s="2" t="str">
        <f t="shared" si="22"/>
        <v>Error?</v>
      </c>
    </row>
    <row r="1489" spans="1:4" x14ac:dyDescent="0.2">
      <c r="A1489" s="5">
        <v>1428</v>
      </c>
      <c r="B1489" s="138">
        <f>'Expenditures 15-22'!K259</f>
        <v>20329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20329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13909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17133</v>
      </c>
      <c r="C1495" s="2" t="s">
        <v>594</v>
      </c>
      <c r="D1495" s="2" t="str">
        <f t="shared" si="22"/>
        <v>Error?</v>
      </c>
    </row>
    <row r="1496" spans="1:4" x14ac:dyDescent="0.2">
      <c r="A1496" s="5">
        <v>1435</v>
      </c>
      <c r="B1496" s="138">
        <f>'Expenditures 15-22'!K267</f>
        <v>1063</v>
      </c>
      <c r="C1496" s="2" t="s">
        <v>594</v>
      </c>
      <c r="D1496" s="2" t="str">
        <f t="shared" si="22"/>
        <v>Error?</v>
      </c>
    </row>
    <row r="1497" spans="1:4" x14ac:dyDescent="0.2">
      <c r="A1497" s="5">
        <v>1436</v>
      </c>
      <c r="B1497" s="138">
        <f>'Expenditures 15-22'!K268</f>
        <v>6306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38411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64526</v>
      </c>
      <c r="C1510" s="2" t="s">
        <v>594</v>
      </c>
      <c r="D1510" s="2" t="str">
        <f t="shared" si="22"/>
        <v>Error?</v>
      </c>
    </row>
    <row r="1511" spans="1:4" x14ac:dyDescent="0.2">
      <c r="A1511" s="5">
        <v>1450</v>
      </c>
      <c r="B1511" s="138">
        <f>'Expenditures 15-22'!K280</f>
        <v>3020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124179</v>
      </c>
      <c r="C1517" s="2" t="s">
        <v>594</v>
      </c>
      <c r="D1517" s="2" t="str">
        <f t="shared" si="22"/>
        <v>Error?</v>
      </c>
    </row>
    <row r="1518" spans="1:4" x14ac:dyDescent="0.2">
      <c r="A1518" s="5">
        <v>1457</v>
      </c>
      <c r="B1518" s="138">
        <f>'Expenditures 15-22'!K296</f>
        <v>-29922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1957504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2104191</v>
      </c>
      <c r="C1630" s="2" t="s">
        <v>594</v>
      </c>
      <c r="D1630" s="2" t="str">
        <f t="shared" si="24"/>
        <v>Error?</v>
      </c>
    </row>
    <row r="1631" spans="1:4" x14ac:dyDescent="0.2">
      <c r="A1631" s="5">
        <v>1570</v>
      </c>
      <c r="B1631" s="138">
        <f>'Acct Summary 7-8'!D79</f>
        <v>561937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558690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89006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89498</v>
      </c>
      <c r="C1672" s="2" t="s">
        <v>594</v>
      </c>
      <c r="D1672" s="2" t="str">
        <f t="shared" si="25"/>
        <v>Error?</v>
      </c>
    </row>
    <row r="1673" spans="1:4" x14ac:dyDescent="0.2">
      <c r="A1673" s="5">
        <v>1612</v>
      </c>
      <c r="B1673" s="138">
        <f>'Acct Summary 7-8'!G79</f>
        <v>113102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83180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3521830</v>
      </c>
      <c r="C1744" s="2" t="s">
        <v>594</v>
      </c>
      <c r="D1744" s="2" t="str">
        <f t="shared" si="26"/>
        <v>Error?</v>
      </c>
    </row>
    <row r="1745" spans="1:5" x14ac:dyDescent="0.2">
      <c r="A1745" s="5">
        <v>1684</v>
      </c>
      <c r="B1745" s="138">
        <f>'Tax Sched 23'!B5</f>
        <v>900000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171634</v>
      </c>
      <c r="C1747" s="2" t="s">
        <v>594</v>
      </c>
      <c r="D1747" s="2" t="str">
        <f t="shared" si="26"/>
        <v>Error?</v>
      </c>
    </row>
    <row r="1748" spans="1:5" x14ac:dyDescent="0.2">
      <c r="A1748" s="5">
        <v>1687</v>
      </c>
      <c r="B1748" s="138">
        <f>'Tax Sched 23'!B8</f>
        <v>33928</v>
      </c>
      <c r="C1748" s="2" t="s">
        <v>594</v>
      </c>
      <c r="D1748" s="2" t="str">
        <f t="shared" si="26"/>
        <v>Error?</v>
      </c>
    </row>
    <row r="1749" spans="1:5" x14ac:dyDescent="0.2">
      <c r="A1749" s="5">
        <v>1688</v>
      </c>
      <c r="B1749" s="138">
        <f>'Tax Sched 23'!B10</f>
        <v>39510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60879</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22446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4784155</v>
      </c>
      <c r="C1759" s="2" t="s">
        <v>594</v>
      </c>
      <c r="D1759" s="2" t="str">
        <f t="shared" si="26"/>
        <v>Error?</v>
      </c>
    </row>
    <row r="1760" spans="1:5" x14ac:dyDescent="0.2">
      <c r="A1760" s="5">
        <v>1699</v>
      </c>
      <c r="B1760" s="138">
        <f>'Tax Sched 23'!D4</f>
        <v>1634054</v>
      </c>
      <c r="C1760" s="2" t="s">
        <v>594</v>
      </c>
      <c r="D1760" s="2" t="str">
        <f t="shared" si="26"/>
        <v>Error?</v>
      </c>
    </row>
    <row r="1761" spans="1:5" x14ac:dyDescent="0.2">
      <c r="A1761" s="5">
        <v>1700</v>
      </c>
      <c r="B1761" s="138">
        <f>'Tax Sched 23'!D5</f>
        <v>407582</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67967</v>
      </c>
      <c r="C1763" s="2" t="s">
        <v>594</v>
      </c>
      <c r="D1763" s="2" t="str">
        <f t="shared" si="26"/>
        <v>Error?</v>
      </c>
    </row>
    <row r="1764" spans="1:5" x14ac:dyDescent="0.2">
      <c r="A1764" s="5">
        <v>1703</v>
      </c>
      <c r="B1764" s="138">
        <f>'Tax Sched 23'!D8</f>
        <v>15786</v>
      </c>
      <c r="C1764" s="2" t="s">
        <v>594</v>
      </c>
      <c r="D1764" s="2" t="str">
        <f t="shared" si="26"/>
        <v>Error?</v>
      </c>
    </row>
    <row r="1765" spans="1:5" x14ac:dyDescent="0.2">
      <c r="A1765" s="5">
        <v>1704</v>
      </c>
      <c r="B1765" s="138">
        <f>'Tax Sched 23'!D10</f>
        <v>13593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27187</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10524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2192479</v>
      </c>
      <c r="C1775" s="2" t="s">
        <v>594</v>
      </c>
      <c r="D1775" s="2" t="str">
        <f t="shared" si="26"/>
        <v>Error?</v>
      </c>
    </row>
    <row r="1776" spans="1:5" x14ac:dyDescent="0.2">
      <c r="A1776" s="5">
        <v>1715</v>
      </c>
      <c r="B1776" s="138">
        <f>'Tax Sched 23'!C4</f>
        <v>1887776</v>
      </c>
      <c r="D1776" s="2" t="str">
        <f t="shared" si="26"/>
        <v>Error?</v>
      </c>
    </row>
    <row r="1777" spans="1:4" x14ac:dyDescent="0.2">
      <c r="A1777" s="5">
        <v>1716</v>
      </c>
      <c r="B1777" s="138">
        <f>'Tax Sched 23'!C5</f>
        <v>492418</v>
      </c>
      <c r="D1777" s="2" t="str">
        <f t="shared" si="26"/>
        <v>Error?</v>
      </c>
    </row>
    <row r="1778" spans="1:4" x14ac:dyDescent="0.2">
      <c r="A1778" s="5">
        <v>1717</v>
      </c>
      <c r="B1778" s="138">
        <f>'Tax Sched 23'!C6</f>
        <v>0</v>
      </c>
      <c r="D1778" s="2" t="str">
        <f t="shared" si="26"/>
        <v>Error?</v>
      </c>
    </row>
    <row r="1779" spans="1:4" x14ac:dyDescent="0.2">
      <c r="A1779" s="5">
        <v>1718</v>
      </c>
      <c r="B1779" s="138">
        <f>'Tax Sched 23'!C7</f>
        <v>103667</v>
      </c>
      <c r="D1779" s="2" t="str">
        <f t="shared" si="26"/>
        <v>Error?</v>
      </c>
    </row>
    <row r="1780" spans="1:4" x14ac:dyDescent="0.2">
      <c r="A1780" s="5">
        <v>1719</v>
      </c>
      <c r="B1780" s="138">
        <f>'Tax Sched 23'!C8</f>
        <v>18142</v>
      </c>
      <c r="D1780" s="2" t="str">
        <f t="shared" si="26"/>
        <v>Error?</v>
      </c>
    </row>
    <row r="1781" spans="1:4" x14ac:dyDescent="0.2">
      <c r="A1781" s="5">
        <v>1720</v>
      </c>
      <c r="B1781" s="138">
        <f>'Tax Sched 23'!C10</f>
        <v>25917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33692</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11922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2591676</v>
      </c>
      <c r="C1791" s="2" t="s">
        <v>594</v>
      </c>
      <c r="D1791" s="2" t="str">
        <f t="shared" ref="D1791:D1854" si="27">IF(ISBLANK(B1791),"OK",IF(A1791-B1791=0,"OK","Error?"))</f>
        <v>Error?</v>
      </c>
    </row>
    <row r="1792" spans="1:4" x14ac:dyDescent="0.2">
      <c r="A1792" s="5">
        <v>1731</v>
      </c>
      <c r="B1792" s="138">
        <f>'Tax Sched 23'!F4</f>
        <v>1677637</v>
      </c>
      <c r="C1792" s="2" t="s">
        <v>594</v>
      </c>
      <c r="D1792" s="2" t="str">
        <f t="shared" si="27"/>
        <v>Error?</v>
      </c>
    </row>
    <row r="1793" spans="1:4" x14ac:dyDescent="0.2">
      <c r="A1793" s="5">
        <v>1732</v>
      </c>
      <c r="B1793" s="138">
        <f>'Tax Sched 23'!F5</f>
        <v>437327</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92070</v>
      </c>
      <c r="C1795" s="2" t="s">
        <v>594</v>
      </c>
      <c r="D1795" s="2" t="str">
        <f t="shared" si="27"/>
        <v>Error?</v>
      </c>
    </row>
    <row r="1796" spans="1:4" x14ac:dyDescent="0.2">
      <c r="A1796" s="5">
        <v>1735</v>
      </c>
      <c r="B1796" s="138">
        <f>'Tax Sched 23'!F8</f>
        <v>16113</v>
      </c>
      <c r="C1796" s="2" t="s">
        <v>594</v>
      </c>
      <c r="D1796" s="2" t="str">
        <f t="shared" si="27"/>
        <v>Error?</v>
      </c>
    </row>
    <row r="1797" spans="1:4" x14ac:dyDescent="0.2">
      <c r="A1797" s="5">
        <v>1736</v>
      </c>
      <c r="B1797" s="138">
        <f>'Tax Sched 23'!F10</f>
        <v>23017</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29923</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10797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2302997</v>
      </c>
      <c r="C1807" s="2" t="s">
        <v>594</v>
      </c>
      <c r="D1807" s="2" t="str">
        <f t="shared" si="27"/>
        <v>Error?</v>
      </c>
    </row>
    <row r="1808" spans="1:4" x14ac:dyDescent="0.2">
      <c r="A1808" s="5">
        <v>1747</v>
      </c>
      <c r="B1808" s="138">
        <f>'Tax Sched 23'!E4</f>
        <v>3565413</v>
      </c>
      <c r="D1808" s="2" t="str">
        <f t="shared" si="27"/>
        <v>Error?</v>
      </c>
    </row>
    <row r="1809" spans="1:4" x14ac:dyDescent="0.2">
      <c r="A1809" s="5">
        <v>1748</v>
      </c>
      <c r="B1809" s="138">
        <f>'Tax Sched 23'!E5</f>
        <v>929745</v>
      </c>
      <c r="D1809" s="2" t="str">
        <f t="shared" si="27"/>
        <v>Error?</v>
      </c>
    </row>
    <row r="1810" spans="1:4" x14ac:dyDescent="0.2">
      <c r="A1810" s="5">
        <v>1749</v>
      </c>
      <c r="B1810" s="138">
        <f>'Tax Sched 23'!E6</f>
        <v>0</v>
      </c>
      <c r="D1810" s="2" t="str">
        <f t="shared" si="27"/>
        <v>Error?</v>
      </c>
    </row>
    <row r="1811" spans="1:4" x14ac:dyDescent="0.2">
      <c r="A1811" s="5">
        <v>1750</v>
      </c>
      <c r="B1811" s="138">
        <f>'Tax Sched 23'!E7</f>
        <v>195737</v>
      </c>
      <c r="D1811" s="2" t="str">
        <f t="shared" si="27"/>
        <v>Error?</v>
      </c>
    </row>
    <row r="1812" spans="1:4" x14ac:dyDescent="0.2">
      <c r="A1812" s="5">
        <v>1751</v>
      </c>
      <c r="B1812" s="138">
        <f>'Tax Sched 23'!E8</f>
        <v>34255</v>
      </c>
      <c r="D1812" s="2" t="str">
        <f t="shared" si="27"/>
        <v>Error?</v>
      </c>
    </row>
    <row r="1813" spans="1:4" x14ac:dyDescent="0.2">
      <c r="A1813" s="5">
        <v>1752</v>
      </c>
      <c r="B1813" s="138">
        <f>'Tax Sched 23'!E10</f>
        <v>48934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63615</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22719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4894673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2820000</v>
      </c>
      <c r="C1939" s="2" t="s">
        <v>594</v>
      </c>
      <c r="D1939" s="2" t="str">
        <f t="shared" si="29"/>
        <v>Error?</v>
      </c>
    </row>
    <row r="1940" spans="1:5" x14ac:dyDescent="0.2">
      <c r="A1940" s="5">
        <v>1879</v>
      </c>
      <c r="B1940" s="138">
        <f>'Short-Term Long-Term Debt 24'!F49</f>
        <v>2495000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22446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22446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22446</v>
      </c>
      <c r="D1980" s="2" t="str">
        <f t="shared" si="29"/>
        <v>Error?</v>
      </c>
    </row>
    <row r="1981" spans="1:5" x14ac:dyDescent="0.2">
      <c r="A1981" s="10">
        <v>1920</v>
      </c>
      <c r="D1981" s="2" t="str">
        <f t="shared" si="29"/>
        <v>OK</v>
      </c>
      <c r="E1981" s="2" t="s">
        <v>137</v>
      </c>
    </row>
    <row r="1982" spans="1:5" x14ac:dyDescent="0.2">
      <c r="A1982" s="5">
        <v>1921</v>
      </c>
      <c r="B1982" s="138">
        <f>'Rest Tax Levies-Tort Im 25'!H23</f>
        <v>22446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985612</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123969</v>
      </c>
      <c r="D2010" s="2" t="str">
        <f t="shared" si="30"/>
        <v>Error?</v>
      </c>
    </row>
    <row r="2011" spans="1:4" x14ac:dyDescent="0.2">
      <c r="A2011" s="5">
        <v>1950</v>
      </c>
      <c r="B2011" s="138">
        <f>'Cap Outlay Deprec 26'!C12</f>
        <v>427382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6680539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53748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53748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12383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12383</v>
      </c>
      <c r="C2025" s="2" t="s">
        <v>594</v>
      </c>
      <c r="D2025" s="2" t="str">
        <f t="shared" si="30"/>
        <v>Error?</v>
      </c>
    </row>
    <row r="2026" spans="1:4" x14ac:dyDescent="0.2">
      <c r="A2026" s="5">
        <v>1965</v>
      </c>
      <c r="B2026" s="138">
        <f>'Cap Outlay Deprec 26'!F5</f>
        <v>985612</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123969</v>
      </c>
      <c r="C2028" s="2" t="s">
        <v>594</v>
      </c>
      <c r="D2028" s="2" t="str">
        <f t="shared" si="30"/>
        <v>Error?</v>
      </c>
    </row>
    <row r="2029" spans="1:4" x14ac:dyDescent="0.2">
      <c r="A2029" s="5">
        <v>1968</v>
      </c>
      <c r="B2029" s="138">
        <f>'Cap Outlay Deprec 26'!F12</f>
        <v>468747</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6721904</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69508</v>
      </c>
      <c r="D2034" s="2" t="str">
        <f t="shared" si="30"/>
        <v>Error?</v>
      </c>
    </row>
    <row r="2035" spans="1:4" x14ac:dyDescent="0.2">
      <c r="A2035" s="5">
        <v>1974</v>
      </c>
      <c r="B2035" s="138">
        <f>'Cap Outlay Deprec 26'!H12</f>
        <v>259153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2110766</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6078</v>
      </c>
      <c r="D2040" s="2" t="str">
        <f t="shared" si="30"/>
        <v>Error?</v>
      </c>
    </row>
    <row r="2041" spans="1:4" x14ac:dyDescent="0.2">
      <c r="A2041" s="5">
        <v>1980</v>
      </c>
      <c r="B2041" s="138">
        <f>'Cap Outlay Deprec 26'!I12</f>
        <v>40754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162563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10712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10712</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75586</v>
      </c>
      <c r="C2052" s="2" t="s">
        <v>594</v>
      </c>
      <c r="D2052" s="2" t="str">
        <f t="shared" si="31"/>
        <v>Error?</v>
      </c>
    </row>
    <row r="2053" spans="1:4" x14ac:dyDescent="0.2">
      <c r="A2053" s="5">
        <v>1992</v>
      </c>
      <c r="B2053" s="138">
        <f>'Cap Outlay Deprec 26'!K12</f>
        <v>289195</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2262617</v>
      </c>
      <c r="C2055" s="2" t="s">
        <v>594</v>
      </c>
      <c r="D2055" s="2" t="str">
        <f t="shared" si="31"/>
        <v>Error?</v>
      </c>
    </row>
    <row r="2056" spans="1:4" x14ac:dyDescent="0.2">
      <c r="A2056" s="5">
        <v>1995</v>
      </c>
      <c r="B2056" s="138">
        <f>'Cap Outlay Deprec 26'!L5</f>
        <v>985612</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48383</v>
      </c>
      <c r="C2058" s="2" t="s">
        <v>594</v>
      </c>
      <c r="D2058" s="2" t="str">
        <f t="shared" si="31"/>
        <v>Error?</v>
      </c>
    </row>
    <row r="2059" spans="1:4" x14ac:dyDescent="0.2">
      <c r="A2059" s="5">
        <v>1998</v>
      </c>
      <c r="B2059" s="138">
        <f>'Cap Outlay Deprec 26'!L12</f>
        <v>179552</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4459287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198143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198143</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20553</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20553</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3651624</v>
      </c>
      <c r="C2551" s="2" t="s">
        <v>594</v>
      </c>
      <c r="D2551" s="2" t="str">
        <f t="shared" si="38"/>
        <v>Error?</v>
      </c>
    </row>
    <row r="2552" spans="1:4" x14ac:dyDescent="0.2">
      <c r="A2552" s="10">
        <v>2491</v>
      </c>
      <c r="D2552" s="2" t="str">
        <f t="shared" si="38"/>
        <v>OK</v>
      </c>
    </row>
    <row r="2553" spans="1:4" x14ac:dyDescent="0.2">
      <c r="A2553" s="5">
        <v>2492</v>
      </c>
      <c r="B2553" s="138">
        <f>'Acct Summary 7-8'!C6</f>
        <v>143391</v>
      </c>
      <c r="C2553" s="2" t="s">
        <v>594</v>
      </c>
      <c r="D2553" s="2" t="str">
        <f t="shared" si="38"/>
        <v>Error?</v>
      </c>
    </row>
    <row r="2554" spans="1:4" x14ac:dyDescent="0.2">
      <c r="A2554" s="5">
        <v>2493</v>
      </c>
      <c r="B2554" s="138">
        <f>'Acct Summary 7-8'!C7</f>
        <v>69439</v>
      </c>
      <c r="C2554" s="2" t="s">
        <v>594</v>
      </c>
      <c r="D2554" s="2" t="str">
        <f t="shared" si="38"/>
        <v>Error?</v>
      </c>
    </row>
    <row r="2555" spans="1:4" x14ac:dyDescent="0.2">
      <c r="A2555" s="5">
        <v>2494</v>
      </c>
      <c r="B2555" s="138">
        <f>'Acct Summary 7-8'!C8</f>
        <v>3864454</v>
      </c>
      <c r="C2555" s="2" t="s">
        <v>594</v>
      </c>
      <c r="D2555" s="2" t="str">
        <f t="shared" si="38"/>
        <v>Error?</v>
      </c>
    </row>
    <row r="2556" spans="1:4" x14ac:dyDescent="0.2">
      <c r="A2556" s="5">
        <v>2495</v>
      </c>
      <c r="B2556" s="138">
        <f>'Acct Summary 7-8'!C12</f>
        <v>2479733</v>
      </c>
      <c r="C2556" s="2" t="s">
        <v>594</v>
      </c>
      <c r="D2556" s="2" t="str">
        <f t="shared" si="38"/>
        <v>Error?</v>
      </c>
    </row>
    <row r="2557" spans="1:4" x14ac:dyDescent="0.2">
      <c r="A2557" s="5">
        <v>2496</v>
      </c>
      <c r="B2557" s="138">
        <f>'Acct Summary 7-8'!C13</f>
        <v>1013014</v>
      </c>
      <c r="C2557" s="2" t="s">
        <v>594</v>
      </c>
      <c r="D2557" s="2" t="str">
        <f t="shared" si="38"/>
        <v>Error?</v>
      </c>
    </row>
    <row r="2558" spans="1:4" x14ac:dyDescent="0.2">
      <c r="A2558" s="5">
        <v>2497</v>
      </c>
      <c r="B2558" s="138">
        <f>'Acct Summary 7-8'!C14</f>
        <v>26877</v>
      </c>
      <c r="C2558" s="2" t="s">
        <v>594</v>
      </c>
      <c r="D2558" s="2" t="str">
        <f t="shared" si="38"/>
        <v>Error?</v>
      </c>
    </row>
    <row r="2559" spans="1:4" x14ac:dyDescent="0.2">
      <c r="A2559" s="5">
        <v>2498</v>
      </c>
      <c r="B2559" s="138">
        <f>'Acct Summary 7-8'!C15</f>
        <v>198143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3717767</v>
      </c>
      <c r="C2561" s="2" t="s">
        <v>594</v>
      </c>
      <c r="D2561" s="2" t="str">
        <f t="shared" si="39"/>
        <v>Error?</v>
      </c>
    </row>
    <row r="2562" spans="1:4" x14ac:dyDescent="0.2">
      <c r="A2562" s="5">
        <v>2501</v>
      </c>
      <c r="B2562" s="138">
        <f>'Acct Summary 7-8'!C20</f>
        <v>146687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918189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918189</v>
      </c>
      <c r="C2568" s="2" t="s">
        <v>594</v>
      </c>
      <c r="D2568" s="2" t="str">
        <f t="shared" si="39"/>
        <v>Error?</v>
      </c>
    </row>
    <row r="2569" spans="1:4" x14ac:dyDescent="0.2">
      <c r="A2569" s="5">
        <v>2508</v>
      </c>
      <c r="B2569" s="138">
        <f>'Acct Summary 7-8'!D13</f>
        <v>549685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20553</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570238</v>
      </c>
      <c r="C2573" s="2" t="s">
        <v>594</v>
      </c>
      <c r="D2573" s="2" t="str">
        <f t="shared" si="39"/>
        <v>Error?</v>
      </c>
    </row>
    <row r="2574" spans="1:4" x14ac:dyDescent="0.2">
      <c r="A2574" s="5">
        <v>2513</v>
      </c>
      <c r="B2574" s="138">
        <f>'Acct Summary 7-8'!D20</f>
        <v>347951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174138</v>
      </c>
      <c r="C2591" s="2" t="s">
        <v>594</v>
      </c>
      <c r="D2591" s="2" t="str">
        <f t="shared" si="39"/>
        <v>Error?</v>
      </c>
    </row>
    <row r="2592" spans="1:4" x14ac:dyDescent="0.2">
      <c r="A2592" s="10">
        <v>2531</v>
      </c>
      <c r="D2592" s="2" t="str">
        <f t="shared" si="39"/>
        <v>OK</v>
      </c>
    </row>
    <row r="2593" spans="1:4" x14ac:dyDescent="0.2">
      <c r="A2593" s="5">
        <v>2532</v>
      </c>
      <c r="B2593" s="138">
        <f>'Acct Summary 7-8'!F6</f>
        <v>66816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240954</v>
      </c>
      <c r="C2595" s="2" t="s">
        <v>594</v>
      </c>
      <c r="D2595" s="2" t="str">
        <f t="shared" si="39"/>
        <v>Error?</v>
      </c>
    </row>
    <row r="2596" spans="1:4" x14ac:dyDescent="0.2">
      <c r="A2596" s="5">
        <v>2535</v>
      </c>
      <c r="B2596" s="138">
        <f>'Acct Summary 7-8'!F13</f>
        <v>240462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240462</v>
      </c>
      <c r="C2600" s="2" t="s">
        <v>594</v>
      </c>
      <c r="D2600" s="2" t="str">
        <f t="shared" si="39"/>
        <v>Error?</v>
      </c>
    </row>
    <row r="2601" spans="1:4" x14ac:dyDescent="0.2">
      <c r="A2601" s="5">
        <v>2540</v>
      </c>
      <c r="B2601" s="138">
        <f>'Acct Summary 7-8'!F20</f>
        <v>492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94257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94257</v>
      </c>
      <c r="C2606" s="2" t="s">
        <v>594</v>
      </c>
      <c r="D2606" s="2" t="str">
        <f t="shared" si="39"/>
        <v>Error?</v>
      </c>
    </row>
    <row r="2607" spans="1:4" x14ac:dyDescent="0.2">
      <c r="A2607" s="5">
        <v>2546</v>
      </c>
      <c r="B2607" s="138">
        <f>'Acct Summary 7-8'!G12</f>
        <v>33582</v>
      </c>
      <c r="C2607" s="2" t="s">
        <v>594</v>
      </c>
      <c r="D2607" s="2" t="str">
        <f t="shared" si="39"/>
        <v>Error?</v>
      </c>
    </row>
    <row r="2608" spans="1:4" x14ac:dyDescent="0.2">
      <c r="A2608" s="5">
        <v>2547</v>
      </c>
      <c r="B2608" s="138">
        <f>'Acct Summary 7-8'!G13</f>
        <v>64526</v>
      </c>
      <c r="C2608" s="2" t="s">
        <v>594</v>
      </c>
      <c r="D2608" s="2" t="str">
        <f t="shared" si="39"/>
        <v>Error?</v>
      </c>
    </row>
    <row r="2609" spans="1:4" x14ac:dyDescent="0.2">
      <c r="A2609" s="5">
        <v>2548</v>
      </c>
      <c r="B2609" s="138">
        <f>'Acct Summary 7-8'!G14</f>
        <v>3020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124179</v>
      </c>
      <c r="C2612" s="2" t="s">
        <v>594</v>
      </c>
      <c r="D2612" s="2" t="str">
        <f t="shared" si="39"/>
        <v>Error?</v>
      </c>
    </row>
    <row r="2613" spans="1:4" x14ac:dyDescent="0.2">
      <c r="A2613" s="5">
        <v>2552</v>
      </c>
      <c r="B2613" s="138">
        <f>'Acct Summary 7-8'!G20</f>
        <v>-29922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342906</v>
      </c>
      <c r="C2634" s="2" t="s">
        <v>594</v>
      </c>
      <c r="D2634" s="2" t="str">
        <f t="shared" si="40"/>
        <v>Error?</v>
      </c>
    </row>
    <row r="2635" spans="1:4" x14ac:dyDescent="0.2">
      <c r="A2635" s="5">
        <v>2574</v>
      </c>
      <c r="B2635" s="138">
        <f>'Acct Summary 7-8'!E17</f>
        <v>342906</v>
      </c>
      <c r="C2635" s="2" t="s">
        <v>594</v>
      </c>
      <c r="D2635" s="2" t="str">
        <f t="shared" si="40"/>
        <v>Error?</v>
      </c>
    </row>
    <row r="2636" spans="1:4" x14ac:dyDescent="0.2">
      <c r="A2636" s="5">
        <v>2575</v>
      </c>
      <c r="B2636" s="138">
        <f>'Acct Summary 7-8'!E20</f>
        <v>-342906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381110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15826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381110</v>
      </c>
      <c r="D2912" s="2" t="str">
        <f t="shared" si="44"/>
        <v>Error?</v>
      </c>
    </row>
    <row r="2913" spans="1:4" x14ac:dyDescent="0.2">
      <c r="A2913" s="5">
        <v>2852</v>
      </c>
      <c r="B2913" s="138">
        <f>'Assets-Liab 5-6'!I41</f>
        <v>381110</v>
      </c>
      <c r="C2913" s="2" t="s">
        <v>594</v>
      </c>
      <c r="D2913" s="2" t="str">
        <f t="shared" si="44"/>
        <v>Error?</v>
      </c>
    </row>
    <row r="2914" spans="1:4" x14ac:dyDescent="0.2">
      <c r="A2914" s="5">
        <v>2853</v>
      </c>
      <c r="B2914" s="138">
        <f>'Assets-Liab 5-6'!L33</f>
        <v>15826</v>
      </c>
      <c r="D2914" s="2" t="str">
        <f t="shared" si="44"/>
        <v>Error?</v>
      </c>
    </row>
    <row r="2915" spans="1:4" x14ac:dyDescent="0.2">
      <c r="A2915" s="10">
        <v>2854</v>
      </c>
      <c r="D2915" s="2" t="str">
        <f t="shared" si="44"/>
        <v>OK</v>
      </c>
    </row>
    <row r="2916" spans="1:4" x14ac:dyDescent="0.2">
      <c r="A2916" s="5">
        <v>2855</v>
      </c>
      <c r="B2916" s="138">
        <f>'Assets-Liab 5-6'!L34</f>
        <v>15826</v>
      </c>
      <c r="C2916" s="2" t="s">
        <v>594</v>
      </c>
      <c r="D2916" s="2" t="str">
        <f t="shared" si="44"/>
        <v>Error?</v>
      </c>
    </row>
    <row r="2917" spans="1:4" x14ac:dyDescent="0.2">
      <c r="A2917" s="5">
        <v>2856</v>
      </c>
      <c r="B2917" s="138">
        <f>'Assets-Liab 5-6'!L41</f>
        <v>15826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198143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198143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20553</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20553</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2495000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44499</v>
      </c>
      <c r="C3225" s="2" t="s">
        <v>594</v>
      </c>
      <c r="D3225" s="2" t="str">
        <f t="shared" si="49"/>
        <v>Error?</v>
      </c>
    </row>
    <row r="3226" spans="1:4" x14ac:dyDescent="0.2">
      <c r="A3226" s="5">
        <v>3165</v>
      </c>
      <c r="B3226" s="138">
        <f>'Acct Summary 7-8'!I8</f>
        <v>44499</v>
      </c>
      <c r="C3226" s="2" t="s">
        <v>594</v>
      </c>
      <c r="D3226" s="2" t="str">
        <f t="shared" si="49"/>
        <v>Error?</v>
      </c>
    </row>
    <row r="3227" spans="1:4" x14ac:dyDescent="0.2">
      <c r="A3227" s="5">
        <v>3166</v>
      </c>
      <c r="B3227" s="138">
        <f>'Acct Summary 7-8'!I20</f>
        <v>44499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146687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1550</v>
      </c>
      <c r="D3236" s="2" t="str">
        <f t="shared" si="49"/>
        <v>Error?</v>
      </c>
    </row>
    <row r="3237" spans="1:4" x14ac:dyDescent="0.2">
      <c r="A3237" s="5">
        <v>3176</v>
      </c>
      <c r="B3237" s="138">
        <f>'Acct Summary 7-8'!D76</f>
        <v>351198</v>
      </c>
      <c r="C3237" s="2" t="s">
        <v>594</v>
      </c>
      <c r="D3237" s="2" t="str">
        <f t="shared" si="49"/>
        <v>Error?</v>
      </c>
    </row>
    <row r="3238" spans="1:4" x14ac:dyDescent="0.2">
      <c r="A3238" s="5">
        <v>3177</v>
      </c>
      <c r="B3238" s="138">
        <f>'Acct Summary 7-8'!D77</f>
        <v>-351198</v>
      </c>
      <c r="C3238" s="2" t="s">
        <v>594</v>
      </c>
      <c r="D3238" s="2" t="str">
        <f t="shared" si="49"/>
        <v>Error?</v>
      </c>
    </row>
    <row r="3239" spans="1:4" x14ac:dyDescent="0.2">
      <c r="A3239" s="5">
        <v>3178</v>
      </c>
      <c r="B3239" s="138">
        <f>'Acct Summary 7-8'!D78</f>
        <v>-3247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492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-29922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1550</v>
      </c>
      <c r="D3273" s="2" t="str">
        <f t="shared" si="50"/>
        <v>Error?</v>
      </c>
    </row>
    <row r="3274" spans="1:4" x14ac:dyDescent="0.2">
      <c r="A3274" s="5">
        <v>3213</v>
      </c>
      <c r="B3274" s="138">
        <f>'Acct Summary 7-8'!E44</f>
        <v>2846198</v>
      </c>
      <c r="C3274" s="2" t="s">
        <v>594</v>
      </c>
      <c r="D3274" s="2" t="str">
        <f t="shared" si="50"/>
        <v>Error?</v>
      </c>
    </row>
    <row r="3275" spans="1:4" x14ac:dyDescent="0.2">
      <c r="A3275" s="5">
        <v>3214</v>
      </c>
      <c r="B3275" s="138">
        <f>'Acct Summary 7-8'!E75</f>
        <v>2503292</v>
      </c>
      <c r="D3275" s="2" t="str">
        <f t="shared" si="50"/>
        <v>Error?</v>
      </c>
    </row>
    <row r="3276" spans="1:4" x14ac:dyDescent="0.2">
      <c r="A3276" s="5">
        <v>3215</v>
      </c>
      <c r="B3276" s="138">
        <f>'Acct Summary 7-8'!E76</f>
        <v>2503292</v>
      </c>
      <c r="C3276" s="2" t="s">
        <v>594</v>
      </c>
      <c r="D3276" s="2" t="str">
        <f t="shared" si="50"/>
        <v>Error?</v>
      </c>
    </row>
    <row r="3277" spans="1:4" x14ac:dyDescent="0.2">
      <c r="A3277" s="5">
        <v>3216</v>
      </c>
      <c r="B3277" s="138">
        <f>'Acct Summary 7-8'!E77</f>
        <v>342906</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44499</v>
      </c>
      <c r="C3320" s="2" t="s">
        <v>594</v>
      </c>
      <c r="D3320" s="2" t="str">
        <f t="shared" si="50"/>
        <v>Error?</v>
      </c>
    </row>
    <row r="3321" spans="1:4" x14ac:dyDescent="0.2">
      <c r="A3321" s="5">
        <v>3260</v>
      </c>
      <c r="B3321" s="138">
        <f>'Acct Summary 7-8'!I79</f>
        <v>336611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381110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213473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48745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1270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4346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267834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30712</v>
      </c>
      <c r="D3387" s="2" t="str">
        <f t="shared" si="51"/>
        <v>Error?</v>
      </c>
    </row>
    <row r="3388" spans="1:4" x14ac:dyDescent="0.2">
      <c r="A3388" s="5">
        <v>3327</v>
      </c>
      <c r="B3388" s="138">
        <f>'Expenditures 15-22'!D217</f>
        <v>2870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30712</v>
      </c>
      <c r="C3390" s="2" t="s">
        <v>594</v>
      </c>
      <c r="D3390" s="2" t="str">
        <f t="shared" si="51"/>
        <v>Error?</v>
      </c>
    </row>
    <row r="3391" spans="1:4" x14ac:dyDescent="0.2">
      <c r="A3391" s="5">
        <v>3330</v>
      </c>
      <c r="B3391" s="138">
        <f>'Expenditures 15-22'!K217</f>
        <v>2870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2104191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558690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89498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83180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381110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15826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33928</v>
      </c>
      <c r="C3446" s="2" t="s">
        <v>594</v>
      </c>
      <c r="D3446" s="2" t="str">
        <f t="shared" si="52"/>
        <v>Error?</v>
      </c>
    </row>
    <row r="3447" spans="1:4" x14ac:dyDescent="0.2">
      <c r="A3447" s="5">
        <v>3386</v>
      </c>
      <c r="B3447" s="138">
        <f>'Tax Sched 23'!D16</f>
        <v>15786</v>
      </c>
      <c r="C3447" s="2" t="s">
        <v>594</v>
      </c>
      <c r="D3447" s="2" t="str">
        <f t="shared" si="52"/>
        <v>Error?</v>
      </c>
    </row>
    <row r="3448" spans="1:4" x14ac:dyDescent="0.2">
      <c r="A3448" s="5">
        <v>3387</v>
      </c>
      <c r="B3448" s="138">
        <f>'Tax Sched 23'!C16</f>
        <v>18142</v>
      </c>
      <c r="D3448" s="2" t="str">
        <f t="shared" si="52"/>
        <v>Error?</v>
      </c>
    </row>
    <row r="3449" spans="1:4" x14ac:dyDescent="0.2">
      <c r="A3449" s="5">
        <v>3388</v>
      </c>
      <c r="B3449" s="138">
        <f>'Tax Sched 23'!F16</f>
        <v>16113</v>
      </c>
      <c r="C3449" s="2" t="s">
        <v>594</v>
      </c>
      <c r="D3449" s="2" t="str">
        <f t="shared" si="52"/>
        <v>Error?</v>
      </c>
    </row>
    <row r="3450" spans="1:4" x14ac:dyDescent="0.2">
      <c r="A3450" s="5">
        <v>3389</v>
      </c>
      <c r="B3450" s="138">
        <f>'Tax Sched 23'!E16</f>
        <v>34255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23051</v>
      </c>
      <c r="D3721" s="2" t="str">
        <f t="shared" si="57"/>
        <v>Error?</v>
      </c>
    </row>
    <row r="3722" spans="1:4" x14ac:dyDescent="0.2">
      <c r="A3722" s="5">
        <v>3661</v>
      </c>
      <c r="B3722" s="138">
        <f>'Expenditures 15-22'!D285</f>
        <v>23051</v>
      </c>
      <c r="C3722" s="2" t="s">
        <v>594</v>
      </c>
      <c r="D3722" s="2" t="str">
        <f t="shared" si="57"/>
        <v>Error?</v>
      </c>
    </row>
    <row r="3723" spans="1:4" x14ac:dyDescent="0.2">
      <c r="A3723" s="5">
        <v>3662</v>
      </c>
      <c r="B3723" s="138">
        <f>'Expenditures 15-22'!K283</f>
        <v>23051</v>
      </c>
      <c r="C3723" s="2" t="s">
        <v>594</v>
      </c>
      <c r="D3723" s="2" t="str">
        <f t="shared" si="57"/>
        <v>Error?</v>
      </c>
    </row>
    <row r="3724" spans="1:4" x14ac:dyDescent="0.2">
      <c r="A3724" s="5">
        <v>3663</v>
      </c>
      <c r="B3724" s="138">
        <f>'Expenditures 15-22'!K285</f>
        <v>23051</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1786872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5651326</v>
      </c>
      <c r="C4122" s="2" t="s">
        <v>594</v>
      </c>
      <c r="D4122" s="2" t="str">
        <f t="shared" si="63"/>
        <v>Error?</v>
      </c>
    </row>
    <row r="4123" spans="1:4" x14ac:dyDescent="0.2">
      <c r="A4123" s="5">
        <v>4062</v>
      </c>
      <c r="B4123" s="138">
        <f>'Acct Summary 7-8'!D10</f>
        <v>918189</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240954</v>
      </c>
      <c r="C4125" s="2" t="s">
        <v>594</v>
      </c>
      <c r="D4125" s="2" t="str">
        <f t="shared" si="63"/>
        <v>Error?</v>
      </c>
    </row>
    <row r="4126" spans="1:4" x14ac:dyDescent="0.2">
      <c r="A4126" s="5">
        <v>4065</v>
      </c>
      <c r="B4126" s="138">
        <f>'Acct Summary 7-8'!G10</f>
        <v>94257</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44499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1786872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5504639</v>
      </c>
      <c r="C4136" s="2" t="s">
        <v>594</v>
      </c>
      <c r="D4136" s="2" t="str">
        <f t="shared" si="63"/>
        <v>Error?</v>
      </c>
    </row>
    <row r="4137" spans="1:4" x14ac:dyDescent="0.2">
      <c r="A4137" s="5">
        <v>4076</v>
      </c>
      <c r="B4137" s="138">
        <f>'Acct Summary 7-8'!D19</f>
        <v>570238</v>
      </c>
      <c r="C4137" s="2" t="s">
        <v>594</v>
      </c>
      <c r="D4137" s="2" t="str">
        <f t="shared" si="63"/>
        <v>Error?</v>
      </c>
    </row>
    <row r="4138" spans="1:4" x14ac:dyDescent="0.2">
      <c r="A4138" s="5">
        <v>4077</v>
      </c>
      <c r="B4138" s="138">
        <f>'Acct Summary 7-8'!E19</f>
        <v>342906</v>
      </c>
      <c r="C4138" s="2" t="s">
        <v>594</v>
      </c>
      <c r="D4138" s="2" t="str">
        <f t="shared" si="63"/>
        <v>Error?</v>
      </c>
    </row>
    <row r="4139" spans="1:4" x14ac:dyDescent="0.2">
      <c r="A4139" s="5">
        <v>4078</v>
      </c>
      <c r="B4139" s="138">
        <f>'Acct Summary 7-8'!F19</f>
        <v>240462</v>
      </c>
      <c r="C4139" s="2" t="s">
        <v>594</v>
      </c>
      <c r="D4139" s="2" t="str">
        <f t="shared" si="63"/>
        <v>Error?</v>
      </c>
    </row>
    <row r="4140" spans="1:4" x14ac:dyDescent="0.2">
      <c r="A4140" s="5">
        <v>4079</v>
      </c>
      <c r="B4140" s="138">
        <f>'Acct Summary 7-8'!G19</f>
        <v>124179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2705000</v>
      </c>
      <c r="C4171" s="2" t="s">
        <v>594</v>
      </c>
      <c r="D4171" s="2" t="str">
        <f t="shared" si="64"/>
        <v>Error?</v>
      </c>
    </row>
    <row r="4172" spans="1:4" x14ac:dyDescent="0.2">
      <c r="A4172" s="5">
        <v>4111</v>
      </c>
      <c r="B4172" s="138">
        <f>'Short-Term Long-Term Debt 24'!J49</f>
        <v>2705000</v>
      </c>
      <c r="C4172" s="2" t="s">
        <v>594</v>
      </c>
      <c r="D4172" s="2" t="str">
        <f t="shared" si="64"/>
        <v>Error?</v>
      </c>
    </row>
    <row r="4173" spans="1:4" x14ac:dyDescent="0.2">
      <c r="A4173" s="5">
        <v>4112</v>
      </c>
      <c r="B4173" s="138">
        <f>'Short-Term Long-Term Debt 24'!H49</f>
        <v>265000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-2345000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1149.402</v>
      </c>
      <c r="C4265" s="2" t="s">
        <v>594</v>
      </c>
      <c r="D4265" s="2" t="str">
        <f t="shared" si="65"/>
        <v>Error?</v>
      </c>
      <c r="E4265" s="128"/>
    </row>
    <row r="4266" spans="1:5" x14ac:dyDescent="0.2">
      <c r="A4266" s="12">
        <v>4205</v>
      </c>
      <c r="B4266" s="138">
        <f>('FP Info 3'!F10)*100000</f>
        <v>299.72699999999998</v>
      </c>
      <c r="C4266" s="2" t="s">
        <v>594</v>
      </c>
      <c r="D4266" s="2" t="str">
        <f t="shared" si="65"/>
        <v>Error?</v>
      </c>
      <c r="E4266" s="128"/>
    </row>
    <row r="4267" spans="1:5" x14ac:dyDescent="0.2">
      <c r="A4267" s="12">
        <v>4206</v>
      </c>
      <c r="B4267" s="138">
        <f>('FP Info 3'!H10)*100000</f>
        <v>63.100999999999999</v>
      </c>
      <c r="C4267" s="2" t="s">
        <v>594</v>
      </c>
      <c r="D4267" s="2" t="str">
        <f t="shared" si="65"/>
        <v>Error?</v>
      </c>
      <c r="E4267" s="128"/>
    </row>
    <row r="4268" spans="1:5" x14ac:dyDescent="0.2">
      <c r="A4268" s="12">
        <v>4207</v>
      </c>
      <c r="B4268" s="138">
        <f>('FP Info 3'!J10)*100000</f>
        <v>1512</v>
      </c>
      <c r="C4268" s="2" t="s">
        <v>594</v>
      </c>
      <c r="D4268" s="2" t="str">
        <f t="shared" si="65"/>
        <v>Error?</v>
      </c>
    </row>
    <row r="4269" spans="1:5" x14ac:dyDescent="0.2">
      <c r="A4269" s="12">
        <v>4208</v>
      </c>
      <c r="B4269" s="138">
        <f>'FP Info 3'!J16</f>
        <v>3133489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33190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15.775000000000002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6499</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310197223</v>
      </c>
      <c r="D4995" s="2" t="str">
        <f t="shared" si="77"/>
        <v>Error?</v>
      </c>
    </row>
    <row r="4996" spans="1:4" x14ac:dyDescent="0.2">
      <c r="A4996" s="12">
        <v>4935</v>
      </c>
      <c r="B4996" s="138">
        <f>'FP Info 3'!H31</f>
        <v>21403608.387000002</v>
      </c>
      <c r="D4996" s="2" t="str">
        <f t="shared" si="77"/>
        <v>Error?</v>
      </c>
    </row>
    <row r="4997" spans="1:4" x14ac:dyDescent="0.2">
      <c r="A4997" s="12">
        <v>4936</v>
      </c>
      <c r="B4997" s="138">
        <f>'FP Info 3'!H37</f>
        <v>2705000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3521830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3521830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21111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21111</v>
      </c>
      <c r="C5071" s="2" t="s">
        <v>594</v>
      </c>
      <c r="D5071" s="2" t="str">
        <f t="shared" si="78"/>
        <v>Error?</v>
      </c>
    </row>
    <row r="5072" spans="1:4" x14ac:dyDescent="0.2">
      <c r="A5072" s="5">
        <v>5011</v>
      </c>
      <c r="B5072" s="138">
        <f>'Revenues 9-14'!C20</f>
        <v>42670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42670</v>
      </c>
      <c r="C5087" s="2" t="s">
        <v>594</v>
      </c>
      <c r="D5087" s="2" t="str">
        <f t="shared" si="78"/>
        <v>Error?</v>
      </c>
    </row>
    <row r="5088" spans="1:4" x14ac:dyDescent="0.2">
      <c r="A5088" s="5">
        <v>5027</v>
      </c>
      <c r="B5088" s="138">
        <f>'Revenues 9-14'!C65</f>
        <v>16545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16545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817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39257</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8698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8698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915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598</v>
      </c>
      <c r="D5119" s="2" t="str">
        <f t="shared" ref="D5119:D5182" si="79">IF(ISBLANK(B5119),"OK",IF(A5119-B5119=0,"OK","Error?"))</f>
        <v>Error?</v>
      </c>
    </row>
    <row r="5120" spans="1:4" x14ac:dyDescent="0.2">
      <c r="A5120" s="5">
        <v>5059</v>
      </c>
      <c r="B5120" s="138">
        <f>'Revenues 9-14'!C108</f>
        <v>1513</v>
      </c>
      <c r="C5120" s="2" t="s">
        <v>594</v>
      </c>
      <c r="D5120" s="2" t="str">
        <f t="shared" si="79"/>
        <v>Error?</v>
      </c>
    </row>
    <row r="5121" spans="1:4" x14ac:dyDescent="0.2">
      <c r="A5121" s="5">
        <v>5060</v>
      </c>
      <c r="B5121" s="138">
        <f>'Revenues 9-14'!C109</f>
        <v>3651624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103310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103310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8655</v>
      </c>
      <c r="D5134" s="2" t="str">
        <f t="shared" si="79"/>
        <v>Error?</v>
      </c>
    </row>
    <row r="5135" spans="1:4" x14ac:dyDescent="0.2">
      <c r="A5135" s="5">
        <v>5074</v>
      </c>
      <c r="B5135" s="138">
        <f>'Revenues 9-14'!C126</f>
        <v>24927</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33582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40081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143391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1649</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1649</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34600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34600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69439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69439</v>
      </c>
      <c r="C5326" s="2" t="s">
        <v>594</v>
      </c>
      <c r="D5326" s="2" t="str">
        <f t="shared" si="82"/>
        <v>Error?</v>
      </c>
    </row>
    <row r="5327" spans="1:4" x14ac:dyDescent="0.2">
      <c r="A5327" s="5">
        <v>5266</v>
      </c>
      <c r="B5327" s="138">
        <f>'Revenues 9-14'!C275</f>
        <v>3864454</v>
      </c>
      <c r="C5327" s="2" t="s">
        <v>594</v>
      </c>
      <c r="D5327" s="2" t="str">
        <f t="shared" si="82"/>
        <v>Error?</v>
      </c>
    </row>
    <row r="5328" spans="1:4" x14ac:dyDescent="0.2">
      <c r="A5328" s="5">
        <v>5267</v>
      </c>
      <c r="B5328" s="138">
        <f>'Revenues 9-14'!D5</f>
        <v>900000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900000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11189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11189</v>
      </c>
      <c r="C5339" s="2" t="s">
        <v>594</v>
      </c>
      <c r="D5339" s="2" t="str">
        <f t="shared" si="82"/>
        <v>Error?</v>
      </c>
    </row>
    <row r="5340" spans="1:4" x14ac:dyDescent="0.2">
      <c r="A5340" s="5">
        <v>5279</v>
      </c>
      <c r="B5340" s="138">
        <f>'Revenues 9-14'!D65</f>
        <v>3848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3848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940</v>
      </c>
      <c r="D5349" s="2" t="str">
        <f t="shared" si="82"/>
        <v>Error?</v>
      </c>
    </row>
    <row r="5350" spans="1:4" x14ac:dyDescent="0.2">
      <c r="A5350" s="5">
        <v>5289</v>
      </c>
      <c r="B5350" s="138">
        <f>'Revenues 9-14'!D96</f>
        <v>60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2152</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3152</v>
      </c>
      <c r="C5355" s="2" t="s">
        <v>594</v>
      </c>
      <c r="D5355" s="2" t="str">
        <f t="shared" si="82"/>
        <v>Error?</v>
      </c>
    </row>
    <row r="5356" spans="1:4" x14ac:dyDescent="0.2">
      <c r="A5356" s="5">
        <v>5295</v>
      </c>
      <c r="B5356" s="138">
        <f>'Revenues 9-14'!D109</f>
        <v>918189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918189</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171634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171634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1810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1810</v>
      </c>
      <c r="C5579" s="2" t="s">
        <v>594</v>
      </c>
      <c r="D5579" s="2" t="str">
        <f t="shared" si="86"/>
        <v>Error?</v>
      </c>
    </row>
    <row r="5580" spans="1:4" x14ac:dyDescent="0.2">
      <c r="A5580" s="5">
        <v>5519</v>
      </c>
      <c r="B5580" s="138">
        <f>'Revenues 9-14'!F65</f>
        <v>694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694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174138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2088</v>
      </c>
      <c r="D5615" s="2" t="str">
        <f t="shared" si="86"/>
        <v>Error?</v>
      </c>
    </row>
    <row r="5616" spans="1:4" x14ac:dyDescent="0.2">
      <c r="A5616" s="10">
        <v>5555</v>
      </c>
      <c r="D5616" s="2" t="str">
        <f t="shared" si="86"/>
        <v>OK</v>
      </c>
    </row>
    <row r="5617" spans="1:4" x14ac:dyDescent="0.2">
      <c r="A5617" s="5">
        <v>5556</v>
      </c>
      <c r="B5617" s="138">
        <f>'Revenues 9-14'!F152</f>
        <v>64728</v>
      </c>
      <c r="D5617" s="2" t="str">
        <f t="shared" si="86"/>
        <v>Error?</v>
      </c>
    </row>
    <row r="5618" spans="1:4" x14ac:dyDescent="0.2">
      <c r="A5618" s="5">
        <v>5557</v>
      </c>
      <c r="B5618" s="138">
        <f>'Revenues 9-14'!F154</f>
        <v>66816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66816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66816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240954</v>
      </c>
      <c r="C5720" s="2" t="s">
        <v>594</v>
      </c>
      <c r="D5720" s="2" t="str">
        <f t="shared" si="88"/>
        <v>Error?</v>
      </c>
    </row>
    <row r="5721" spans="1:4" x14ac:dyDescent="0.2">
      <c r="A5721" s="5">
        <v>5660</v>
      </c>
      <c r="B5721" s="138">
        <f>'Revenues 9-14'!G5</f>
        <v>33928</v>
      </c>
      <c r="D5721" s="2" t="str">
        <f t="shared" si="88"/>
        <v>Error?</v>
      </c>
    </row>
    <row r="5722" spans="1:4" x14ac:dyDescent="0.2">
      <c r="A5722" s="5">
        <v>5661</v>
      </c>
      <c r="B5722" s="138">
        <f>'Revenues 9-14'!G7</f>
        <v>22446</v>
      </c>
      <c r="D5722" s="2" t="str">
        <f t="shared" si="88"/>
        <v>Error?</v>
      </c>
    </row>
    <row r="5723" spans="1:4" x14ac:dyDescent="0.2">
      <c r="A5723" s="5">
        <v>5662</v>
      </c>
      <c r="B5723" s="138">
        <f>'Revenues 9-14'!G8</f>
        <v>33928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90302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3000</v>
      </c>
      <c r="C5730" s="2" t="s">
        <v>594</v>
      </c>
      <c r="D5730" s="2" t="str">
        <f t="shared" si="88"/>
        <v>Error?</v>
      </c>
    </row>
    <row r="5731" spans="1:4" x14ac:dyDescent="0.2">
      <c r="A5731" s="5">
        <v>5670</v>
      </c>
      <c r="B5731" s="138">
        <f>'Revenues 9-14'!G65</f>
        <v>955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955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94257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39510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39510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4989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4989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44499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94257</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44499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38440</v>
      </c>
      <c r="D6031" s="2" t="str">
        <f t="shared" si="93"/>
        <v>Error?</v>
      </c>
    </row>
    <row r="6032" spans="1:5" x14ac:dyDescent="0.2">
      <c r="A6032" s="5">
        <v>5971</v>
      </c>
      <c r="B6032" s="138">
        <f>'Acct Summary 7-8'!G15</f>
        <v>23051</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119.58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66866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66866</v>
      </c>
      <c r="D6215" s="2" t="str">
        <f t="shared" si="96"/>
        <v>Error?</v>
      </c>
      <c r="E6215" s="2" t="s">
        <v>199</v>
      </c>
    </row>
    <row r="6216" spans="1:5" x14ac:dyDescent="0.2">
      <c r="A6216">
        <v>6155</v>
      </c>
      <c r="B6216" s="138">
        <f>'Assets-Liab 5-6'!J41</f>
        <v>66866</v>
      </c>
      <c r="D6216" s="2" t="str">
        <f t="shared" si="96"/>
        <v>Error?</v>
      </c>
      <c r="E6216" s="2" t="s">
        <v>199</v>
      </c>
    </row>
    <row r="6217" spans="1:5" x14ac:dyDescent="0.2">
      <c r="A6217">
        <v>6156</v>
      </c>
      <c r="B6217" s="138">
        <f>'Assets-Liab 5-6'!J4</f>
        <v>66866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63827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63827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63827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49364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49364</v>
      </c>
      <c r="D6229" s="2" t="str">
        <f t="shared" si="96"/>
        <v>Error?</v>
      </c>
      <c r="E6229" s="2" t="s">
        <v>199</v>
      </c>
    </row>
    <row r="6230" spans="1:5" x14ac:dyDescent="0.2">
      <c r="A6230">
        <v>6169</v>
      </c>
      <c r="B6230" s="138">
        <f>'Acct Summary 7-8'!J20</f>
        <v>14463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14463</v>
      </c>
      <c r="D6263" s="2" t="str">
        <f t="shared" si="96"/>
        <v>Error?</v>
      </c>
      <c r="E6263" s="2" t="s">
        <v>199</v>
      </c>
    </row>
    <row r="6264" spans="1:5" x14ac:dyDescent="0.2">
      <c r="A6264">
        <v>6203</v>
      </c>
      <c r="B6264" s="138">
        <f>'Acct Summary 7-8'!J79</f>
        <v>52403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66866</v>
      </c>
      <c r="D6266" s="2" t="str">
        <f t="shared" si="96"/>
        <v>Error?</v>
      </c>
      <c r="E6266" s="2" t="s">
        <v>199</v>
      </c>
    </row>
    <row r="6267" spans="1:5" x14ac:dyDescent="0.2">
      <c r="A6267">
        <v>6206</v>
      </c>
      <c r="B6267" s="138">
        <f>'Acct Summary 7-8'!C82</f>
        <v>146687</v>
      </c>
      <c r="D6267" s="2" t="str">
        <f t="shared" si="96"/>
        <v>Error?</v>
      </c>
      <c r="E6267" s="2" t="s">
        <v>199</v>
      </c>
    </row>
    <row r="6268" spans="1:5" x14ac:dyDescent="0.2">
      <c r="A6268">
        <v>6207</v>
      </c>
      <c r="B6268" s="138">
        <f>'Acct Summary 7-8'!D82</f>
        <v>-3247</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492</v>
      </c>
      <c r="D6270" s="2" t="str">
        <f t="shared" si="96"/>
        <v>Error?</v>
      </c>
      <c r="E6270" s="2" t="s">
        <v>199</v>
      </c>
    </row>
    <row r="6271" spans="1:5" x14ac:dyDescent="0.2">
      <c r="A6271">
        <v>6210</v>
      </c>
      <c r="B6271" s="138">
        <f>'Acct Summary 7-8'!G82</f>
        <v>-29922</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44499</v>
      </c>
      <c r="D6273" s="2" t="str">
        <f t="shared" si="97"/>
        <v>Error?</v>
      </c>
      <c r="E6273" s="2" t="s">
        <v>199</v>
      </c>
    </row>
    <row r="6274" spans="1:5" x14ac:dyDescent="0.2">
      <c r="A6274">
        <v>6213</v>
      </c>
      <c r="B6274" s="138">
        <f>'Acct Summary 7-8'!J82</f>
        <v>14463</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6.9711827490945455E-2</v>
      </c>
      <c r="D6276" s="2" t="str">
        <f t="shared" si="97"/>
        <v>Error?</v>
      </c>
      <c r="E6276" s="2" t="s">
        <v>199</v>
      </c>
    </row>
    <row r="6277" spans="1:5" x14ac:dyDescent="0.2">
      <c r="A6277">
        <v>6216</v>
      </c>
      <c r="B6277" s="138">
        <f>'Acct Summary 7-8'!D83</f>
        <v>-5.8118097692817124E-3</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5.4973295492636706E-3</v>
      </c>
      <c r="D6279" s="2" t="str">
        <f t="shared" si="97"/>
        <v>Error?</v>
      </c>
      <c r="E6279" s="2" t="s">
        <v>199</v>
      </c>
    </row>
    <row r="6280" spans="1:5" x14ac:dyDescent="0.2">
      <c r="A6280">
        <v>6219</v>
      </c>
      <c r="B6280" s="138">
        <f>'Acct Summary 7-8'!G83</f>
        <v>-0.35972589564799229</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0.11676156490252158</v>
      </c>
      <c r="D6282" s="2" t="str">
        <f t="shared" si="97"/>
        <v>Error?</v>
      </c>
      <c r="E6282" s="2" t="s">
        <v>199</v>
      </c>
    </row>
    <row r="6283" spans="1:5" x14ac:dyDescent="0.2">
      <c r="A6283">
        <v>6222</v>
      </c>
      <c r="B6283" s="138">
        <f>'Acct Summary 7-8'!J83</f>
        <v>0.21629826817814735</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265000</v>
      </c>
      <c r="D6287" s="2" t="str">
        <f t="shared" si="97"/>
        <v>Error?</v>
      </c>
      <c r="E6287" s="2" t="s">
        <v>199</v>
      </c>
    </row>
    <row r="6288" spans="1:5" x14ac:dyDescent="0.2">
      <c r="A6288">
        <v>6227</v>
      </c>
      <c r="B6288" s="138">
        <f>'Acct Summary 7-8'!E40</f>
        <v>84648</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60879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60879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475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475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2473</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2473</v>
      </c>
      <c r="D6351" s="2" t="str">
        <f t="shared" si="98"/>
        <v>Error?</v>
      </c>
      <c r="E6351" s="2" t="s">
        <v>199</v>
      </c>
    </row>
    <row r="6352" spans="1:5" x14ac:dyDescent="0.2">
      <c r="A6352">
        <v>6291</v>
      </c>
      <c r="B6352" s="138">
        <f>'Revenues 9-14'!J109</f>
        <v>63827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49364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63827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20294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20294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3092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3092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25978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25978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49364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49364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49364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49364</v>
      </c>
      <c r="D7224" s="2" t="str">
        <f t="shared" si="111"/>
        <v>Error?</v>
      </c>
    </row>
    <row r="7225" spans="1:4" x14ac:dyDescent="0.2">
      <c r="A7225">
        <v>7164</v>
      </c>
      <c r="B7225" s="138">
        <f>'Expenditures 15-22'!K343</f>
        <v>14463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5143576</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5143576</v>
      </c>
      <c r="D7609" s="2" t="str">
        <f t="shared" si="122"/>
        <v>Error?</v>
      </c>
      <c r="E7609" s="2" t="s">
        <v>19</v>
      </c>
    </row>
    <row r="7610" spans="1:5" x14ac:dyDescent="0.2">
      <c r="A7610">
        <f t="shared" si="123"/>
        <v>7549</v>
      </c>
      <c r="B7610" s="138">
        <f>'Cap Outlay Deprec 26'!H9</f>
        <v>1782105</v>
      </c>
      <c r="D7610" s="2" t="str">
        <f t="shared" si="122"/>
        <v>Error?</v>
      </c>
      <c r="E7610" s="2" t="s">
        <v>19</v>
      </c>
    </row>
    <row r="7611" spans="1:5" x14ac:dyDescent="0.2">
      <c r="A7611">
        <f t="shared" si="123"/>
        <v>7550</v>
      </c>
      <c r="B7611" s="138">
        <f>'Cap Outlay Deprec 26'!I9</f>
        <v>115731</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1897836</v>
      </c>
      <c r="D7613" s="2" t="str">
        <f t="shared" si="122"/>
        <v>Error?</v>
      </c>
      <c r="E7613" s="2" t="s">
        <v>19</v>
      </c>
    </row>
    <row r="7614" spans="1:5" x14ac:dyDescent="0.2">
      <c r="A7614">
        <f t="shared" si="123"/>
        <v>7553</v>
      </c>
      <c r="B7614" s="138">
        <f>'Cap Outlay Deprec 26'!L9</f>
        <v>3245740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162563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265000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84648</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164166</v>
      </c>
      <c r="D7797" s="2" t="str">
        <f t="shared" si="127"/>
        <v>Error?</v>
      </c>
      <c r="E7797" s="4" t="s">
        <v>2019</v>
      </c>
    </row>
    <row r="7798" spans="1:5" x14ac:dyDescent="0.2">
      <c r="A7798">
        <v>7737</v>
      </c>
      <c r="B7798" s="138">
        <f>'Contracts Paid in CY 29'!F141</f>
        <v>50000</v>
      </c>
      <c r="D7798" s="2" t="str">
        <f t="shared" si="127"/>
        <v>Error?</v>
      </c>
      <c r="E7798" s="4" t="s">
        <v>2019</v>
      </c>
    </row>
    <row r="7799" spans="1:5" x14ac:dyDescent="0.2">
      <c r="A7799">
        <v>7738</v>
      </c>
      <c r="B7799" s="138">
        <f>'Contracts Paid in CY 29'!G141</f>
        <v>114166</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Rondout SD 72</v>
      </c>
      <c r="B7" s="2422"/>
      <c r="C7" s="2422"/>
      <c r="D7" s="2423"/>
      <c r="E7" s="2424">
        <f>COVER!A13</f>
        <v>34049072002</v>
      </c>
      <c r="F7" s="2425"/>
      <c r="G7" s="2431" t="str">
        <f>COVER!T23</f>
        <v>060-003973</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EVANS, MARSHALL &amp; PEASE, P.C.</v>
      </c>
      <c r="H9" s="2437"/>
      <c r="I9" s="2437"/>
      <c r="J9" s="2437"/>
      <c r="K9" s="2437"/>
      <c r="L9" s="2438"/>
    </row>
    <row r="10" spans="1:29" ht="13.5" customHeight="1" x14ac:dyDescent="0.2">
      <c r="A10" s="2411" t="str">
        <f>COVER!A38</f>
        <v>DR. JENNY WOJCIK</v>
      </c>
      <c r="B10" s="2412"/>
      <c r="C10" s="2412"/>
      <c r="D10" s="2412"/>
      <c r="E10" s="2412"/>
      <c r="F10" s="2413"/>
      <c r="G10" s="2405" t="str">
        <f>COVER!T17</f>
        <v>1875 HICKS ROAD</v>
      </c>
      <c r="H10" s="2406"/>
      <c r="I10" s="2406"/>
      <c r="J10" s="2406"/>
      <c r="K10" s="2406"/>
      <c r="L10" s="2407"/>
    </row>
    <row r="11" spans="1:29" ht="13.5" customHeight="1" x14ac:dyDescent="0.2">
      <c r="A11" s="1185" t="s">
        <v>1599</v>
      </c>
      <c r="B11" s="1186"/>
      <c r="C11" s="1187"/>
      <c r="D11" s="1192"/>
      <c r="E11" s="1187"/>
      <c r="F11" s="1191"/>
      <c r="G11" s="2405" t="str">
        <f>COVER!T19</f>
        <v>ROLLING MEADOWS</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JEFF@EMPCPA.COM</v>
      </c>
      <c r="J13" s="2418"/>
      <c r="K13" s="2418"/>
      <c r="L13" s="2419"/>
    </row>
    <row r="14" spans="1:29" ht="13.5" customHeight="1" x14ac:dyDescent="0.2">
      <c r="A14" s="2405" t="str">
        <f>COVER!A19</f>
        <v>28593 NORTH BRADLEY ROAD</v>
      </c>
      <c r="B14" s="2406"/>
      <c r="C14" s="2406"/>
      <c r="D14" s="2406"/>
      <c r="E14" s="2406"/>
      <c r="F14" s="2407"/>
      <c r="G14" s="1196" t="s">
        <v>1247</v>
      </c>
      <c r="H14" s="1194"/>
      <c r="I14" s="1194"/>
      <c r="J14" s="1194"/>
      <c r="K14" s="1194"/>
      <c r="L14" s="1195"/>
    </row>
    <row r="15" spans="1:29" ht="13.5" customHeight="1" x14ac:dyDescent="0.2">
      <c r="A15" s="2405" t="str">
        <f>COVER!A21</f>
        <v>LAKE FOREST</v>
      </c>
      <c r="B15" s="2406"/>
      <c r="C15" s="2406"/>
      <c r="D15" s="2406"/>
      <c r="E15" s="2406"/>
      <c r="F15" s="2407"/>
      <c r="G15" s="2402" t="str">
        <f>COVER!T15</f>
        <v>JEFFERY M. ROLLEFSON, CPA</v>
      </c>
      <c r="H15" s="2403"/>
      <c r="I15" s="2403"/>
      <c r="J15" s="2403"/>
      <c r="K15" s="2403"/>
      <c r="L15" s="2404"/>
    </row>
    <row r="16" spans="1:29" ht="12.2" customHeight="1" x14ac:dyDescent="0.2">
      <c r="A16" s="2427">
        <f>COVER!A25</f>
        <v>60045</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847-221-5700</v>
      </c>
      <c r="H18" s="2422"/>
      <c r="I18" s="2422"/>
      <c r="J18" s="2422"/>
      <c r="K18" s="2421" t="str">
        <f>COVER!X21</f>
        <v>847-221-5701</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Rondout SD 72</v>
      </c>
      <c r="B1" s="2420"/>
      <c r="C1" s="2420"/>
      <c r="D1" s="2420"/>
    </row>
    <row r="2" spans="1:11" s="1215" customFormat="1" ht="12.75" x14ac:dyDescent="0.2">
      <c r="A2" s="2444">
        <f>'Single Audit Cover'!E7</f>
        <v>34049072002</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Rondout SD 72</v>
      </c>
      <c r="B1" s="2447"/>
      <c r="C1" s="2447"/>
      <c r="D1" s="2447"/>
      <c r="E1" s="2447"/>
    </row>
    <row r="2" spans="1:5" x14ac:dyDescent="0.2">
      <c r="A2" s="2448">
        <f>'Single Audit Cover'!E7</f>
        <v>34049072002</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69439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-33190</v>
      </c>
    </row>
    <row r="19" spans="1:4" ht="13.5" thickBot="1" x14ac:dyDescent="0.25">
      <c r="A19" s="1265" t="s">
        <v>1297</v>
      </c>
      <c r="D19" s="1266">
        <f>SUM(D10:D17)</f>
        <v>36249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36249</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36249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Rondout SD 72</v>
      </c>
      <c r="B1" s="2460"/>
      <c r="C1" s="2460"/>
      <c r="D1" s="2460"/>
      <c r="E1" s="2460"/>
      <c r="F1" s="2460"/>
    </row>
    <row r="2" spans="1:7" ht="13.5" customHeight="1" x14ac:dyDescent="0.2">
      <c r="A2" s="2461">
        <f>'Single Audit Cover'!E7</f>
        <v>34049072002</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Rondout SD 72</v>
      </c>
      <c r="C1" s="2464"/>
      <c r="D1" s="2464"/>
      <c r="E1" s="2464"/>
      <c r="F1" s="2464"/>
      <c r="G1" s="2464"/>
      <c r="H1" s="2464"/>
      <c r="I1" s="2464"/>
      <c r="J1" s="2464"/>
      <c r="K1" s="2464"/>
      <c r="L1" s="2464"/>
      <c r="M1" s="2464"/>
    </row>
    <row r="2" spans="2:14" ht="15" x14ac:dyDescent="0.2">
      <c r="B2" s="2461">
        <f>'Single Audit Cover'!E7</f>
        <v>34049072002</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33512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2085</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Rondout SD 72</v>
      </c>
      <c r="C1" s="2479"/>
      <c r="D1" s="2479"/>
      <c r="E1" s="2479"/>
      <c r="F1" s="2479"/>
      <c r="G1" s="2479"/>
      <c r="H1" s="2479"/>
      <c r="I1" s="2479"/>
      <c r="J1" s="1422"/>
    </row>
    <row r="2" spans="2:10" s="317" customFormat="1" ht="12.75" customHeight="1" x14ac:dyDescent="0.2">
      <c r="B2" s="2480">
        <f>'Single Audit Cover'!E7</f>
        <v>34049072002</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1951</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Rondout SD 72</v>
      </c>
      <c r="C1" s="2478"/>
      <c r="D1" s="2478"/>
      <c r="E1" s="2478"/>
      <c r="F1" s="2478"/>
      <c r="G1" s="2478"/>
      <c r="H1" s="2478"/>
      <c r="I1" s="2478"/>
      <c r="J1" s="2478"/>
      <c r="K1" s="2478"/>
      <c r="L1" s="1374"/>
      <c r="M1" s="1374"/>
    </row>
    <row r="2" spans="1:13" ht="12" customHeight="1" x14ac:dyDescent="0.2">
      <c r="B2" s="2480">
        <f>'Single Audit Cover'!E7</f>
        <v>34049072002</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Rondout SD 72</v>
      </c>
      <c r="C1" s="2501"/>
      <c r="D1" s="2501"/>
      <c r="E1" s="2501"/>
      <c r="F1" s="2501"/>
      <c r="G1" s="2501"/>
      <c r="H1" s="2501"/>
      <c r="I1" s="2501"/>
      <c r="J1" s="2501"/>
      <c r="K1" s="2501"/>
      <c r="L1" s="1465"/>
    </row>
    <row r="2" spans="1:12" ht="12.75" customHeight="1" x14ac:dyDescent="0.2">
      <c r="B2" s="2502">
        <f>'Single Audit Cover'!E7</f>
        <v>34049072002</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Rondout SD 72</v>
      </c>
      <c r="C1" s="2478"/>
      <c r="D1" s="2478"/>
      <c r="E1" s="1491"/>
    </row>
    <row r="2" spans="2:5" s="1282" customFormat="1" ht="12.75" customHeight="1" x14ac:dyDescent="0.2">
      <c r="B2" s="2480">
        <f>'Single Audit Cover'!E7</f>
        <v>34049072002</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310197223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1.1494020000000001E-2</v>
      </c>
      <c r="E10" s="356" t="s">
        <v>1062</v>
      </c>
      <c r="F10" s="355">
        <v>2.9972699999999998E-3</v>
      </c>
      <c r="G10" s="356" t="s">
        <v>1062</v>
      </c>
      <c r="H10" s="355">
        <v>6.3100999999999999E-4</v>
      </c>
      <c r="I10" s="356" t="s">
        <v>1063</v>
      </c>
      <c r="J10" s="1754">
        <f>ROUND(D10+F10+H10,5)</f>
        <v>1.512E-2</v>
      </c>
      <c r="K10" s="222"/>
      <c r="L10" s="355">
        <v>1.5775000000000001E-4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5068096</v>
      </c>
      <c r="E16" s="356"/>
      <c r="F16" s="1755">
        <f>SUM('Acct Summary 7-8'!C17,'Acct Summary 7-8'!D17,'Acct Summary 7-8'!F17)</f>
        <v>4528467</v>
      </c>
      <c r="G16" s="356"/>
      <c r="H16" s="1755">
        <f>SUM(D16-F16)</f>
        <v>539629</v>
      </c>
      <c r="I16" s="222"/>
      <c r="J16" s="1755">
        <f>SUM('Acct Summary 7-8'!C81,'Acct Summary 7-8'!D81,'Acct Summary 7-8'!F81,'Acct Summary 7-8'!I81)</f>
        <v>3133489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21403608.387000002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2705000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T26" sqref="T2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Rondout SD 72</v>
      </c>
      <c r="E7" s="391"/>
      <c r="G7" s="252"/>
      <c r="H7" s="387"/>
      <c r="I7" s="387"/>
      <c r="J7" s="387"/>
      <c r="K7" s="387"/>
      <c r="L7" s="329"/>
      <c r="M7" s="329"/>
      <c r="N7" s="329"/>
      <c r="O7" s="329"/>
      <c r="P7" s="329"/>
    </row>
    <row r="8" spans="1:18" ht="12.75" x14ac:dyDescent="0.2">
      <c r="A8" s="329"/>
      <c r="B8" s="329"/>
      <c r="C8" s="389" t="s">
        <v>1187</v>
      </c>
      <c r="D8" s="392">
        <f>COVER!A13</f>
        <v>34049072002</v>
      </c>
      <c r="E8" s="393"/>
      <c r="G8" s="329"/>
      <c r="H8" s="329"/>
      <c r="I8" s="329"/>
      <c r="J8" s="329"/>
      <c r="K8" s="329"/>
      <c r="L8" s="329"/>
      <c r="M8" s="329"/>
      <c r="N8" s="329"/>
      <c r="O8" s="329"/>
      <c r="P8" s="329"/>
    </row>
    <row r="9" spans="1:18" ht="12.75" x14ac:dyDescent="0.2">
      <c r="A9" s="329"/>
      <c r="B9" s="329"/>
      <c r="C9" s="389" t="s">
        <v>737</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3133489</v>
      </c>
      <c r="I12" s="404"/>
      <c r="J12" s="404"/>
      <c r="K12" s="405">
        <f>TRUNC((H12/H13*100000),5)/100000</f>
        <v>0.61827735699999997</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5068096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4528467</v>
      </c>
      <c r="I17" s="404"/>
      <c r="J17" s="416"/>
      <c r="K17" s="405">
        <f>TRUNC((H17/H18*100000),5)/100000</f>
        <v>0.89352431360000006</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5068096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3133489</v>
      </c>
      <c r="I24" s="422"/>
      <c r="J24" s="422"/>
      <c r="K24" s="423">
        <f>TRUNC(((H24/H25*100000)/100000),2)</f>
        <v>249.1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12579.075000000001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3986654.71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2705000</v>
      </c>
      <c r="I32" s="420"/>
      <c r="J32" s="420"/>
      <c r="K32" s="423">
        <f>TRUNC(100-((((H32/H33*100))*100)/100),2)</f>
        <v>87.36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21403608.387000002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Normal="100" workbookViewId="0">
      <pane ySplit="2" topLeftCell="A15" activePane="bottomLeft" state="frozen"/>
      <selection activeCell="T26" sqref="T26"/>
      <selection pane="bottomLeft" activeCell="T26" sqref="T2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2104191</v>
      </c>
      <c r="D4" s="466">
        <v>558690</v>
      </c>
      <c r="E4" s="466"/>
      <c r="F4" s="466">
        <v>89498</v>
      </c>
      <c r="G4" s="466">
        <v>83180</v>
      </c>
      <c r="H4" s="466"/>
      <c r="I4" s="466">
        <v>381110</v>
      </c>
      <c r="J4" s="467">
        <v>66866</v>
      </c>
      <c r="K4" s="466"/>
      <c r="L4" s="466">
        <v>15826</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2104191</v>
      </c>
      <c r="D13" s="1759">
        <f t="shared" ref="D13:L13" si="0">SUM(D4:D12)</f>
        <v>558690</v>
      </c>
      <c r="E13" s="1759">
        <f t="shared" si="0"/>
        <v>0</v>
      </c>
      <c r="F13" s="1759">
        <f t="shared" si="0"/>
        <v>89498</v>
      </c>
      <c r="G13" s="1759">
        <f t="shared" si="0"/>
        <v>83180</v>
      </c>
      <c r="H13" s="1759">
        <f t="shared" si="0"/>
        <v>0</v>
      </c>
      <c r="I13" s="1759">
        <f t="shared" si="0"/>
        <v>381110</v>
      </c>
      <c r="J13" s="1759">
        <f t="shared" si="0"/>
        <v>66866</v>
      </c>
      <c r="K13" s="1759">
        <f t="shared" si="0"/>
        <v>0</v>
      </c>
      <c r="L13" s="1759">
        <f t="shared" si="0"/>
        <v>15826</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985612</v>
      </c>
      <c r="N16" s="484"/>
    </row>
    <row r="17" spans="1:14" s="485" customFormat="1" ht="12.75" customHeight="1" x14ac:dyDescent="0.2">
      <c r="A17" s="482" t="s">
        <v>1470</v>
      </c>
      <c r="B17" s="483">
        <v>230</v>
      </c>
      <c r="C17" s="477"/>
      <c r="D17" s="477"/>
      <c r="E17" s="477"/>
      <c r="F17" s="477"/>
      <c r="G17" s="477"/>
      <c r="H17" s="477"/>
      <c r="I17" s="477"/>
      <c r="J17" s="477"/>
      <c r="K17" s="477"/>
      <c r="L17" s="477"/>
      <c r="M17" s="467">
        <v>5143576</v>
      </c>
      <c r="N17" s="484"/>
    </row>
    <row r="18" spans="1:14" s="485" customFormat="1" ht="12.75" customHeight="1" x14ac:dyDescent="0.2">
      <c r="A18" s="482" t="s">
        <v>1471</v>
      </c>
      <c r="B18" s="483">
        <v>240</v>
      </c>
      <c r="C18" s="477"/>
      <c r="D18" s="477"/>
      <c r="E18" s="477"/>
      <c r="F18" s="477"/>
      <c r="G18" s="477"/>
      <c r="H18" s="477"/>
      <c r="I18" s="477"/>
      <c r="J18" s="477"/>
      <c r="K18" s="477"/>
      <c r="L18" s="477"/>
      <c r="M18" s="467">
        <v>123969</v>
      </c>
      <c r="N18" s="484"/>
    </row>
    <row r="19" spans="1:14" s="485" customFormat="1" ht="12.75" customHeight="1" x14ac:dyDescent="0.2">
      <c r="A19" s="482" t="s">
        <v>1472</v>
      </c>
      <c r="B19" s="483">
        <v>250</v>
      </c>
      <c r="C19" s="477"/>
      <c r="D19" s="477"/>
      <c r="E19" s="477"/>
      <c r="F19" s="477"/>
      <c r="G19" s="477"/>
      <c r="H19" s="477"/>
      <c r="I19" s="477"/>
      <c r="J19" s="477"/>
      <c r="K19" s="477"/>
      <c r="L19" s="477"/>
      <c r="M19" s="467">
        <v>468747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2705000</v>
      </c>
    </row>
    <row r="23" spans="1:14" ht="13.5" customHeight="1" thickBot="1" x14ac:dyDescent="0.25">
      <c r="A23" s="1758" t="s">
        <v>664</v>
      </c>
      <c r="B23" s="1763"/>
      <c r="C23" s="468"/>
      <c r="D23" s="468"/>
      <c r="E23" s="468"/>
      <c r="F23" s="468"/>
      <c r="G23" s="468"/>
      <c r="H23" s="468"/>
      <c r="I23" s="468"/>
      <c r="J23" s="468"/>
      <c r="K23" s="468"/>
      <c r="L23" s="468"/>
      <c r="M23" s="1710">
        <f>SUM(M15:M22)</f>
        <v>6721904</v>
      </c>
      <c r="N23" s="1710">
        <f>SUM(N21:N22)</f>
        <v>2705000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15826</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15826</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2705000</v>
      </c>
    </row>
    <row r="37" spans="1:14" ht="13.5" thickBot="1" x14ac:dyDescent="0.25">
      <c r="A37" s="1758" t="s">
        <v>674</v>
      </c>
      <c r="B37" s="1763"/>
      <c r="C37" s="477"/>
      <c r="D37" s="477"/>
      <c r="E37" s="477"/>
      <c r="F37" s="477"/>
      <c r="G37" s="477"/>
      <c r="H37" s="477"/>
      <c r="I37" s="477"/>
      <c r="J37" s="477"/>
      <c r="K37" s="477"/>
      <c r="L37" s="480"/>
      <c r="M37" s="468"/>
      <c r="N37" s="1710">
        <f>SUM(N36:N36)</f>
        <v>2705000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2104191</v>
      </c>
      <c r="D39" s="466">
        <v>558690</v>
      </c>
      <c r="E39" s="466"/>
      <c r="F39" s="466">
        <v>89498</v>
      </c>
      <c r="G39" s="466">
        <v>83180</v>
      </c>
      <c r="H39" s="466"/>
      <c r="I39" s="466">
        <v>381110</v>
      </c>
      <c r="J39" s="467">
        <v>66866</v>
      </c>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6721904</v>
      </c>
      <c r="N40" s="497"/>
    </row>
    <row r="41" spans="1:14" ht="13.5" customHeight="1" thickBot="1" x14ac:dyDescent="0.25">
      <c r="A41" s="1758" t="s">
        <v>676</v>
      </c>
      <c r="B41" s="1728"/>
      <c r="C41" s="1710">
        <f>(SUM(C34,C37,C38,C39))</f>
        <v>2104191</v>
      </c>
      <c r="D41" s="1710">
        <f t="shared" ref="D41:L41" si="2">SUM(D34,D37,D38:D39)</f>
        <v>558690</v>
      </c>
      <c r="E41" s="1710">
        <f t="shared" si="2"/>
        <v>0</v>
      </c>
      <c r="F41" s="1710">
        <f t="shared" si="2"/>
        <v>89498</v>
      </c>
      <c r="G41" s="1710">
        <f t="shared" si="2"/>
        <v>83180</v>
      </c>
      <c r="H41" s="1710">
        <f t="shared" si="2"/>
        <v>0</v>
      </c>
      <c r="I41" s="1710">
        <f t="shared" si="2"/>
        <v>381110</v>
      </c>
      <c r="J41" s="1710">
        <f t="shared" si="2"/>
        <v>66866</v>
      </c>
      <c r="K41" s="1710">
        <f t="shared" si="2"/>
        <v>0</v>
      </c>
      <c r="L41" s="1710">
        <f t="shared" si="2"/>
        <v>15826</v>
      </c>
      <c r="M41" s="1710">
        <f>SUM(M40)</f>
        <v>6721904</v>
      </c>
      <c r="N41" s="1710">
        <f>SUM(N37)</f>
        <v>2705000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T26" sqref="T26"/>
      <selection pane="bottomLeft" activeCell="T26" sqref="T2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3651624</v>
      </c>
      <c r="D4" s="1764">
        <f>'Revenues 9-14'!D109</f>
        <v>918189</v>
      </c>
      <c r="E4" s="1764">
        <f>'Revenues 9-14'!E109</f>
        <v>0</v>
      </c>
      <c r="F4" s="1764">
        <f>'Revenues 9-14'!F109</f>
        <v>174138</v>
      </c>
      <c r="G4" s="1764">
        <f>'Revenues 9-14'!G109</f>
        <v>94257</v>
      </c>
      <c r="H4" s="1764">
        <f>'Revenues 9-14'!H109</f>
        <v>0</v>
      </c>
      <c r="I4" s="1764">
        <f>'Revenues 9-14'!I109</f>
        <v>44499</v>
      </c>
      <c r="J4" s="1764">
        <f>'Revenues 9-14'!J109</f>
        <v>63827</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143391</v>
      </c>
      <c r="D6" s="1765">
        <f>'Revenues 9-14'!D173</f>
        <v>0</v>
      </c>
      <c r="E6" s="1765">
        <f>'Revenues 9-14'!E173</f>
        <v>0</v>
      </c>
      <c r="F6" s="1765">
        <f>'Revenues 9-14'!F173</f>
        <v>66816</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69439</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3864454</v>
      </c>
      <c r="D8" s="1710">
        <f t="shared" ref="D8:K8" si="0">SUM(D4:D7)</f>
        <v>918189</v>
      </c>
      <c r="E8" s="1710">
        <f t="shared" si="0"/>
        <v>0</v>
      </c>
      <c r="F8" s="1710">
        <f t="shared" si="0"/>
        <v>240954</v>
      </c>
      <c r="G8" s="1710">
        <f t="shared" si="0"/>
        <v>94257</v>
      </c>
      <c r="H8" s="1710">
        <f t="shared" si="0"/>
        <v>0</v>
      </c>
      <c r="I8" s="1710">
        <f t="shared" si="0"/>
        <v>44499</v>
      </c>
      <c r="J8" s="1710">
        <f t="shared" si="0"/>
        <v>63827</v>
      </c>
      <c r="K8" s="1710">
        <f t="shared" si="0"/>
        <v>0</v>
      </c>
      <c r="L8" s="347"/>
    </row>
    <row r="9" spans="1:13" ht="15.75" thickTop="1" x14ac:dyDescent="0.2">
      <c r="A9" s="514" t="s">
        <v>1752</v>
      </c>
      <c r="B9" s="515">
        <v>3998</v>
      </c>
      <c r="C9" s="481">
        <v>1786872</v>
      </c>
      <c r="D9" s="516"/>
      <c r="E9" s="481"/>
      <c r="F9" s="481"/>
      <c r="G9" s="517"/>
      <c r="H9" s="481"/>
      <c r="I9" s="509" t="s">
        <v>1231</v>
      </c>
      <c r="J9" s="478"/>
      <c r="K9" s="481"/>
      <c r="L9" s="347"/>
    </row>
    <row r="10" spans="1:13" s="519" customFormat="1" ht="13.5" thickBot="1" x14ac:dyDescent="0.25">
      <c r="A10" s="1758" t="s">
        <v>1235</v>
      </c>
      <c r="B10" s="1731"/>
      <c r="C10" s="1710">
        <f>SUM(C8:C9)</f>
        <v>5651326</v>
      </c>
      <c r="D10" s="1710">
        <f t="shared" ref="D10:K10" si="1">SUM(D8:D9)</f>
        <v>918189</v>
      </c>
      <c r="E10" s="1710">
        <f t="shared" si="1"/>
        <v>0</v>
      </c>
      <c r="F10" s="1710">
        <f t="shared" si="1"/>
        <v>240954</v>
      </c>
      <c r="G10" s="1710">
        <f t="shared" si="1"/>
        <v>94257</v>
      </c>
      <c r="H10" s="1710">
        <f t="shared" si="1"/>
        <v>0</v>
      </c>
      <c r="I10" s="1710">
        <f t="shared" si="1"/>
        <v>44499</v>
      </c>
      <c r="J10" s="1710">
        <f t="shared" si="1"/>
        <v>63827</v>
      </c>
      <c r="K10" s="1710">
        <f t="shared" si="1"/>
        <v>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2479733</v>
      </c>
      <c r="D12" s="520" t="s">
        <v>1231</v>
      </c>
      <c r="E12" s="468" t="s">
        <v>1231</v>
      </c>
      <c r="F12" s="468" t="s">
        <v>1231</v>
      </c>
      <c r="G12" s="1764">
        <f>'Expenditures 15-22'!K229</f>
        <v>33582</v>
      </c>
      <c r="H12" s="521"/>
      <c r="I12" s="468" t="s">
        <v>1231</v>
      </c>
      <c r="J12" s="468" t="s">
        <v>1231</v>
      </c>
      <c r="K12" s="521" t="s">
        <v>1231</v>
      </c>
      <c r="L12" s="347"/>
    </row>
    <row r="13" spans="1:13" ht="15.75" customHeight="1" x14ac:dyDescent="0.2">
      <c r="A13" s="1598" t="s">
        <v>477</v>
      </c>
      <c r="B13" s="1600">
        <v>2000</v>
      </c>
      <c r="C13" s="1765">
        <f>'Expenditures 15-22'!K74</f>
        <v>1013014</v>
      </c>
      <c r="D13" s="1765">
        <f>'Expenditures 15-22'!K129</f>
        <v>549685</v>
      </c>
      <c r="E13" s="469" t="s">
        <v>1231</v>
      </c>
      <c r="F13" s="1765">
        <f>'Expenditures 15-22'!K184</f>
        <v>240462</v>
      </c>
      <c r="G13" s="1765">
        <f>'Expenditures 15-22'!K279</f>
        <v>64526</v>
      </c>
      <c r="H13" s="1765">
        <f>'Expenditures 15-22'!K303</f>
        <v>0</v>
      </c>
      <c r="I13" s="468" t="s">
        <v>1231</v>
      </c>
      <c r="J13" s="1765">
        <f>'Expenditures 15-22'!K330</f>
        <v>49364</v>
      </c>
      <c r="K13" s="1769">
        <f>'Expenditures 15-22'!K352</f>
        <v>0</v>
      </c>
      <c r="L13" s="347"/>
    </row>
    <row r="14" spans="1:13" ht="15.75" customHeight="1" x14ac:dyDescent="0.2">
      <c r="A14" s="1598" t="s">
        <v>469</v>
      </c>
      <c r="B14" s="1600">
        <v>3000</v>
      </c>
      <c r="C14" s="1765">
        <f>'Expenditures 15-22'!K75</f>
        <v>26877</v>
      </c>
      <c r="D14" s="1765">
        <f>'Expenditures 15-22'!K130</f>
        <v>0</v>
      </c>
      <c r="E14" s="520" t="s">
        <v>1231</v>
      </c>
      <c r="F14" s="1765">
        <f>'Expenditures 15-22'!K185</f>
        <v>0</v>
      </c>
      <c r="G14" s="1765">
        <f>'Expenditures 15-22'!K280</f>
        <v>3020</v>
      </c>
      <c r="H14" s="512"/>
      <c r="I14" s="468" t="s">
        <v>1231</v>
      </c>
      <c r="J14" s="468" t="s">
        <v>1231</v>
      </c>
      <c r="K14" s="512" t="s">
        <v>1231</v>
      </c>
      <c r="L14" s="347"/>
    </row>
    <row r="15" spans="1:13" ht="15.75" customHeight="1" x14ac:dyDescent="0.2">
      <c r="A15" s="1598" t="s">
        <v>109</v>
      </c>
      <c r="B15" s="1600">
        <v>4000</v>
      </c>
      <c r="C15" s="1765">
        <f>'Expenditures 15-22'!K102</f>
        <v>198143</v>
      </c>
      <c r="D15" s="1765">
        <f>'Expenditures 15-22'!K139</f>
        <v>20553</v>
      </c>
      <c r="E15" s="1765">
        <f>'Expenditures 15-22'!K160</f>
        <v>0</v>
      </c>
      <c r="F15" s="1765">
        <f>'Expenditures 15-22'!K196</f>
        <v>0</v>
      </c>
      <c r="G15" s="1765">
        <f>'Expenditures 15-22'!K285</f>
        <v>23051</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342906</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3717767</v>
      </c>
      <c r="D17" s="1710">
        <f t="shared" si="2"/>
        <v>570238</v>
      </c>
      <c r="E17" s="1710">
        <f t="shared" si="2"/>
        <v>342906</v>
      </c>
      <c r="F17" s="1710">
        <f t="shared" si="2"/>
        <v>240462</v>
      </c>
      <c r="G17" s="1710">
        <f t="shared" si="2"/>
        <v>124179</v>
      </c>
      <c r="H17" s="1710">
        <f t="shared" si="2"/>
        <v>0</v>
      </c>
      <c r="I17" s="468"/>
      <c r="J17" s="1710">
        <f>SUM(J12:J16)</f>
        <v>49364</v>
      </c>
      <c r="K17" s="1710">
        <f>SUM(K12:K16)</f>
        <v>0</v>
      </c>
      <c r="L17" s="347"/>
    </row>
    <row r="18" spans="1:12" ht="15" customHeight="1" thickTop="1" x14ac:dyDescent="0.2">
      <c r="A18" s="1766" t="s">
        <v>1753</v>
      </c>
      <c r="B18" s="1767">
        <v>4180</v>
      </c>
      <c r="C18" s="1764">
        <f t="shared" ref="C18:H18" si="3">C9</f>
        <v>1786872</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5504639</v>
      </c>
      <c r="D19" s="1710">
        <f t="shared" si="4"/>
        <v>570238</v>
      </c>
      <c r="E19" s="1710">
        <f t="shared" si="4"/>
        <v>342906</v>
      </c>
      <c r="F19" s="1710">
        <f t="shared" si="4"/>
        <v>240462</v>
      </c>
      <c r="G19" s="1710">
        <f t="shared" si="4"/>
        <v>124179</v>
      </c>
      <c r="H19" s="1710">
        <f t="shared" si="4"/>
        <v>0</v>
      </c>
      <c r="I19" s="468"/>
      <c r="J19" s="1710">
        <f>SUM(J17:J18)</f>
        <v>49364</v>
      </c>
      <c r="K19" s="1710">
        <f>SUM(K17:K18)</f>
        <v>0</v>
      </c>
      <c r="L19" s="347"/>
    </row>
    <row r="20" spans="1:12" ht="16.5" thickTop="1" thickBot="1" x14ac:dyDescent="0.25">
      <c r="A20" s="2144" t="s">
        <v>1754</v>
      </c>
      <c r="B20" s="2145"/>
      <c r="C20" s="1768">
        <f>C8-C17</f>
        <v>146687</v>
      </c>
      <c r="D20" s="1768">
        <f t="shared" ref="D20:K20" si="5">D8-D17</f>
        <v>347951</v>
      </c>
      <c r="E20" s="1768">
        <f t="shared" si="5"/>
        <v>-342906</v>
      </c>
      <c r="F20" s="1768">
        <f t="shared" si="5"/>
        <v>492</v>
      </c>
      <c r="G20" s="1768">
        <f t="shared" si="5"/>
        <v>-29922</v>
      </c>
      <c r="H20" s="1768">
        <f t="shared" si="5"/>
        <v>0</v>
      </c>
      <c r="I20" s="1768">
        <f t="shared" si="5"/>
        <v>44499</v>
      </c>
      <c r="J20" s="1768">
        <f t="shared" si="5"/>
        <v>14463</v>
      </c>
      <c r="K20" s="1768">
        <f t="shared" si="5"/>
        <v>0</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v>2495000</v>
      </c>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265000</v>
      </c>
      <c r="F39" s="477"/>
      <c r="G39" s="477"/>
      <c r="H39" s="477"/>
      <c r="I39" s="477"/>
      <c r="J39" s="477"/>
      <c r="K39" s="477"/>
      <c r="L39" s="524"/>
    </row>
    <row r="40" spans="1:12" s="485" customFormat="1" ht="13.5" customHeight="1" x14ac:dyDescent="0.2">
      <c r="A40" s="1511" t="s">
        <v>663</v>
      </c>
      <c r="B40" s="483">
        <v>7700</v>
      </c>
      <c r="C40" s="477"/>
      <c r="D40" s="477"/>
      <c r="E40" s="1765">
        <f>SUM(C66:D69)</f>
        <v>84648</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v>1550</v>
      </c>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2846198</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v>265000</v>
      </c>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v>84648</v>
      </c>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v>1550</v>
      </c>
      <c r="E75" s="530">
        <v>2503292</v>
      </c>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351198</v>
      </c>
      <c r="E76" s="1725">
        <f t="shared" si="7"/>
        <v>2503292</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-351198</v>
      </c>
      <c r="E77" s="1725">
        <f t="shared" si="8"/>
        <v>342906</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146687</v>
      </c>
      <c r="D78" s="1724">
        <f t="shared" si="9"/>
        <v>-3247</v>
      </c>
      <c r="E78" s="1724">
        <f t="shared" si="9"/>
        <v>0</v>
      </c>
      <c r="F78" s="1724">
        <f t="shared" si="9"/>
        <v>492</v>
      </c>
      <c r="G78" s="1724">
        <f t="shared" si="9"/>
        <v>-29922</v>
      </c>
      <c r="H78" s="1724">
        <f t="shared" si="9"/>
        <v>0</v>
      </c>
      <c r="I78" s="1724">
        <f t="shared" si="9"/>
        <v>44499</v>
      </c>
      <c r="J78" s="1724">
        <f t="shared" si="9"/>
        <v>14463</v>
      </c>
      <c r="K78" s="1724">
        <f t="shared" si="9"/>
        <v>0</v>
      </c>
      <c r="L78" s="533"/>
    </row>
    <row r="79" spans="1:12" ht="13.5" thickTop="1" x14ac:dyDescent="0.2">
      <c r="A79" s="1516" t="s">
        <v>2071</v>
      </c>
      <c r="B79" s="534"/>
      <c r="C79" s="478">
        <v>1957504</v>
      </c>
      <c r="D79" s="535">
        <v>561937</v>
      </c>
      <c r="E79" s="535">
        <v>0</v>
      </c>
      <c r="F79" s="535">
        <v>89006</v>
      </c>
      <c r="G79" s="535">
        <v>113102</v>
      </c>
      <c r="H79" s="535"/>
      <c r="I79" s="535">
        <v>336611</v>
      </c>
      <c r="J79" s="535">
        <v>52403</v>
      </c>
      <c r="K79" s="535"/>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2072</v>
      </c>
      <c r="B81" s="2139"/>
      <c r="C81" s="1710">
        <f>(SUM(C78:C80))</f>
        <v>2104191</v>
      </c>
      <c r="D81" s="1710">
        <f>SUM(D78:D80)</f>
        <v>558690</v>
      </c>
      <c r="E81" s="1710">
        <f t="shared" ref="E81:K81" si="10">SUM(E78:E80)</f>
        <v>0</v>
      </c>
      <c r="F81" s="1710">
        <f t="shared" si="10"/>
        <v>89498</v>
      </c>
      <c r="G81" s="1710">
        <f t="shared" si="10"/>
        <v>83180</v>
      </c>
      <c r="H81" s="1710">
        <f t="shared" si="10"/>
        <v>0</v>
      </c>
      <c r="I81" s="1710">
        <f t="shared" si="10"/>
        <v>381110</v>
      </c>
      <c r="J81" s="1710">
        <f t="shared" si="10"/>
        <v>66866</v>
      </c>
      <c r="K81" s="1710">
        <f t="shared" si="10"/>
        <v>0</v>
      </c>
      <c r="L81" s="347"/>
    </row>
    <row r="82" spans="1:12" ht="0.75" customHeight="1" thickTop="1" thickBot="1" x14ac:dyDescent="0.25">
      <c r="A82" s="536" t="s">
        <v>361</v>
      </c>
      <c r="B82" s="537"/>
      <c r="C82" s="538">
        <f>(C81-C79)</f>
        <v>146687</v>
      </c>
      <c r="D82" s="538">
        <f t="shared" ref="D82:K82" si="11">(D81-D79)</f>
        <v>-3247</v>
      </c>
      <c r="E82" s="538">
        <f t="shared" si="11"/>
        <v>0</v>
      </c>
      <c r="F82" s="538">
        <f t="shared" si="11"/>
        <v>492</v>
      </c>
      <c r="G82" s="538">
        <f t="shared" si="11"/>
        <v>-29922</v>
      </c>
      <c r="H82" s="538">
        <f t="shared" si="11"/>
        <v>0</v>
      </c>
      <c r="I82" s="538">
        <f t="shared" si="11"/>
        <v>44499</v>
      </c>
      <c r="J82" s="538">
        <f t="shared" si="11"/>
        <v>14463</v>
      </c>
      <c r="K82" s="538">
        <f t="shared" si="11"/>
        <v>0</v>
      </c>
    </row>
    <row r="83" spans="1:12" ht="14.25" hidden="1" thickTop="1" thickBot="1" x14ac:dyDescent="0.25">
      <c r="A83" s="539" t="s">
        <v>362</v>
      </c>
      <c r="B83" s="464"/>
      <c r="C83" s="540">
        <f>C82/C81</f>
        <v>6.9711827490945455E-2</v>
      </c>
      <c r="D83" s="540">
        <f t="shared" ref="D83:K83" si="12">D82/D81</f>
        <v>-5.8118097692817124E-3</v>
      </c>
      <c r="E83" s="540" t="e">
        <f t="shared" si="12"/>
        <v>#DIV/0!</v>
      </c>
      <c r="F83" s="540">
        <f t="shared" si="12"/>
        <v>5.4973295492636706E-3</v>
      </c>
      <c r="G83" s="540">
        <f t="shared" si="12"/>
        <v>-0.35972589564799229</v>
      </c>
      <c r="H83" s="540" t="e">
        <f t="shared" si="12"/>
        <v>#DIV/0!</v>
      </c>
      <c r="I83" s="540">
        <f t="shared" si="12"/>
        <v>0.11676156490252158</v>
      </c>
      <c r="J83" s="540">
        <f t="shared" si="12"/>
        <v>0.21629826817814735</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T26" sqref="T26"/>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3521830</v>
      </c>
      <c r="D5" s="481">
        <v>900000</v>
      </c>
      <c r="E5" s="466"/>
      <c r="F5" s="548">
        <v>171634</v>
      </c>
      <c r="G5" s="466">
        <v>33928</v>
      </c>
      <c r="H5" s="466"/>
      <c r="I5" s="466">
        <v>39510</v>
      </c>
      <c r="J5" s="467">
        <v>60879</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v>22446</v>
      </c>
      <c r="H7" s="467"/>
      <c r="I7" s="468"/>
      <c r="J7" s="468"/>
      <c r="K7" s="468"/>
    </row>
    <row r="8" spans="1:12" x14ac:dyDescent="0.2">
      <c r="A8" s="463" t="s">
        <v>433</v>
      </c>
      <c r="B8" s="470">
        <v>1150</v>
      </c>
      <c r="C8" s="475"/>
      <c r="D8" s="475"/>
      <c r="E8" s="477"/>
      <c r="F8" s="477"/>
      <c r="G8" s="481">
        <v>33928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3521830</v>
      </c>
      <c r="D12" s="1729">
        <f t="shared" si="0"/>
        <v>900000</v>
      </c>
      <c r="E12" s="1729">
        <f t="shared" si="0"/>
        <v>0</v>
      </c>
      <c r="F12" s="1729">
        <f t="shared" si="0"/>
        <v>171634</v>
      </c>
      <c r="G12" s="1729">
        <f t="shared" si="0"/>
        <v>90302</v>
      </c>
      <c r="H12" s="1729">
        <f t="shared" si="0"/>
        <v>0</v>
      </c>
      <c r="I12" s="1729">
        <f t="shared" si="0"/>
        <v>39510</v>
      </c>
      <c r="J12" s="1729">
        <f t="shared" si="0"/>
        <v>60879</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21111</v>
      </c>
      <c r="D16" s="466">
        <v>11189</v>
      </c>
      <c r="E16" s="466"/>
      <c r="F16" s="466"/>
      <c r="G16" s="466">
        <v>3000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21111</v>
      </c>
      <c r="D18" s="1732">
        <f t="shared" ref="D18:K18" si="1">SUM(D14:D17)</f>
        <v>11189</v>
      </c>
      <c r="E18" s="1732">
        <f t="shared" si="1"/>
        <v>0</v>
      </c>
      <c r="F18" s="1732">
        <f t="shared" si="1"/>
        <v>0</v>
      </c>
      <c r="G18" s="1732">
        <f t="shared" si="1"/>
        <v>3000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42670</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42670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1810</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1810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16545</v>
      </c>
      <c r="D65" s="466">
        <v>3848</v>
      </c>
      <c r="E65" s="466"/>
      <c r="F65" s="467">
        <v>694</v>
      </c>
      <c r="G65" s="466">
        <v>955</v>
      </c>
      <c r="H65" s="466"/>
      <c r="I65" s="466">
        <v>4989</v>
      </c>
      <c r="J65" s="467">
        <v>475</v>
      </c>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16545</v>
      </c>
      <c r="D67" s="1710">
        <f t="shared" ref="D67:K67" si="2">SUM(D65:D66)</f>
        <v>3848</v>
      </c>
      <c r="E67" s="1710">
        <f t="shared" si="2"/>
        <v>0</v>
      </c>
      <c r="F67" s="1710">
        <f t="shared" si="2"/>
        <v>694</v>
      </c>
      <c r="G67" s="1710">
        <f t="shared" si="2"/>
        <v>955</v>
      </c>
      <c r="H67" s="1710">
        <f t="shared" si="2"/>
        <v>0</v>
      </c>
      <c r="I67" s="1710">
        <f t="shared" si="2"/>
        <v>4989</v>
      </c>
      <c r="J67" s="1710">
        <f t="shared" si="2"/>
        <v>475</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38440</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817</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39257</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8698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8698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940</v>
      </c>
      <c r="E95" s="521"/>
      <c r="F95" s="521"/>
      <c r="G95" s="521"/>
      <c r="H95" s="521"/>
      <c r="I95" s="521"/>
      <c r="J95" s="521"/>
      <c r="K95" s="521"/>
    </row>
    <row r="96" spans="1:11" ht="12.75" customHeight="1" x14ac:dyDescent="0.2">
      <c r="A96" s="463" t="s">
        <v>409</v>
      </c>
      <c r="B96" s="470">
        <v>1920</v>
      </c>
      <c r="C96" s="551">
        <v>915</v>
      </c>
      <c r="D96" s="551">
        <v>60</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v>2152</v>
      </c>
      <c r="E99" s="466"/>
      <c r="F99" s="466"/>
      <c r="G99" s="466"/>
      <c r="H99" s="466"/>
      <c r="I99" s="468"/>
      <c r="J99" s="467">
        <v>2473</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598</v>
      </c>
      <c r="D107" s="466"/>
      <c r="E107" s="466"/>
      <c r="F107" s="466"/>
      <c r="G107" s="466"/>
      <c r="H107" s="466"/>
      <c r="I107" s="466"/>
      <c r="J107" s="467"/>
      <c r="K107" s="466"/>
    </row>
    <row r="108" spans="1:12" ht="12.75" customHeight="1" thickBot="1" x14ac:dyDescent="0.25">
      <c r="A108" s="1730" t="s">
        <v>508</v>
      </c>
      <c r="B108" s="1734"/>
      <c r="C108" s="1729">
        <f>SUM(C95:C107)</f>
        <v>1513</v>
      </c>
      <c r="D108" s="1729">
        <f t="shared" ref="D108:K108" si="3">SUM(D95:D107)</f>
        <v>3152</v>
      </c>
      <c r="E108" s="1729">
        <f t="shared" si="3"/>
        <v>0</v>
      </c>
      <c r="F108" s="1729">
        <f t="shared" si="3"/>
        <v>0</v>
      </c>
      <c r="G108" s="1729">
        <f t="shared" si="3"/>
        <v>0</v>
      </c>
      <c r="H108" s="1729">
        <f t="shared" si="3"/>
        <v>0</v>
      </c>
      <c r="I108" s="1729">
        <f t="shared" si="3"/>
        <v>0</v>
      </c>
      <c r="J108" s="1729">
        <f t="shared" si="3"/>
        <v>2473</v>
      </c>
      <c r="K108" s="1710">
        <f t="shared" si="3"/>
        <v>0</v>
      </c>
    </row>
    <row r="109" spans="1:12" ht="14.25" thickTop="1" thickBot="1" x14ac:dyDescent="0.25">
      <c r="A109" s="1735" t="s">
        <v>266</v>
      </c>
      <c r="B109" s="1736" t="s">
        <v>591</v>
      </c>
      <c r="C109" s="1737">
        <f t="shared" ref="C109:K109" si="4">SUM(C12,C18,C40,C63,C67,C75,C82,C93,C108,)</f>
        <v>3651624</v>
      </c>
      <c r="D109" s="1737">
        <f t="shared" si="4"/>
        <v>918189</v>
      </c>
      <c r="E109" s="1737">
        <f t="shared" si="4"/>
        <v>0</v>
      </c>
      <c r="F109" s="1737">
        <f t="shared" si="4"/>
        <v>174138</v>
      </c>
      <c r="G109" s="1737">
        <f t="shared" si="4"/>
        <v>94257</v>
      </c>
      <c r="H109" s="1737">
        <f t="shared" si="4"/>
        <v>0</v>
      </c>
      <c r="I109" s="1737">
        <f t="shared" si="4"/>
        <v>44499</v>
      </c>
      <c r="J109" s="1737">
        <f t="shared" si="4"/>
        <v>63827</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103310</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103310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8655</v>
      </c>
      <c r="D125" s="561"/>
      <c r="E125" s="468"/>
      <c r="F125" s="466"/>
      <c r="G125" s="468"/>
      <c r="H125" s="468"/>
      <c r="I125" s="468"/>
      <c r="J125" s="468"/>
      <c r="K125" s="468"/>
    </row>
    <row r="126" spans="1:11" ht="12.75" customHeight="1" x14ac:dyDescent="0.2">
      <c r="A126" s="463" t="s">
        <v>922</v>
      </c>
      <c r="B126" s="562">
        <v>3110</v>
      </c>
      <c r="C126" s="551">
        <v>24927</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33582</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2088</v>
      </c>
      <c r="G151" s="467"/>
      <c r="H151" s="468"/>
      <c r="I151" s="468"/>
      <c r="J151" s="468"/>
      <c r="K151" s="468"/>
    </row>
    <row r="152" spans="1:11" ht="12.75" customHeight="1" x14ac:dyDescent="0.2">
      <c r="A152" s="463" t="s">
        <v>1117</v>
      </c>
      <c r="B152" s="562">
        <v>3510</v>
      </c>
      <c r="C152" s="551"/>
      <c r="D152" s="466"/>
      <c r="E152" s="561"/>
      <c r="F152" s="466">
        <v>64728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66816</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6499</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40081</v>
      </c>
      <c r="D172" s="1744">
        <f t="shared" si="6"/>
        <v>0</v>
      </c>
      <c r="E172" s="1744">
        <f t="shared" si="6"/>
        <v>0</v>
      </c>
      <c r="F172" s="1744">
        <f t="shared" si="6"/>
        <v>66816</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143391</v>
      </c>
      <c r="D173" s="1737">
        <f>SUM(D121,D172)</f>
        <v>0</v>
      </c>
      <c r="E173" s="1737">
        <f>SUM(E121,E172)</f>
        <v>0</v>
      </c>
      <c r="F173" s="1737">
        <f t="shared" ref="F173:K173" si="7">SUM(F121,F172)</f>
        <v>66816</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v>1649</v>
      </c>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1649</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34600</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34600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33190</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69439</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69439</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3864454</v>
      </c>
      <c r="D275" s="1737">
        <f t="shared" si="12"/>
        <v>918189</v>
      </c>
      <c r="E275" s="1737">
        <f t="shared" si="12"/>
        <v>0</v>
      </c>
      <c r="F275" s="1737">
        <f t="shared" si="12"/>
        <v>240954</v>
      </c>
      <c r="G275" s="1737">
        <f t="shared" si="12"/>
        <v>94257</v>
      </c>
      <c r="H275" s="1737">
        <f t="shared" si="12"/>
        <v>0</v>
      </c>
      <c r="I275" s="1737">
        <f t="shared" si="12"/>
        <v>44499</v>
      </c>
      <c r="J275" s="1737">
        <f t="shared" si="12"/>
        <v>63827</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43" activePane="bottomLeft" state="frozen"/>
      <selection activeCell="T26" sqref="T26"/>
      <selection pane="bottomLeft" activeCell="T26" sqref="T2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1730126</v>
      </c>
      <c r="D5" s="466">
        <v>320582</v>
      </c>
      <c r="E5" s="466">
        <v>4960</v>
      </c>
      <c r="F5" s="466">
        <v>100757</v>
      </c>
      <c r="G5" s="466">
        <v>48466</v>
      </c>
      <c r="H5" s="466">
        <v>7008</v>
      </c>
      <c r="I5" s="467"/>
      <c r="J5" s="467"/>
      <c r="K5" s="1693">
        <f>SUM(C5:J5)</f>
        <v>2211899</v>
      </c>
      <c r="L5" s="466">
        <f>4244244-1943647</f>
        <v>2300597</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213473</v>
      </c>
      <c r="D8" s="466">
        <v>48745</v>
      </c>
      <c r="E8" s="466">
        <v>1270</v>
      </c>
      <c r="F8" s="466">
        <v>4346</v>
      </c>
      <c r="G8" s="466"/>
      <c r="H8" s="466"/>
      <c r="I8" s="467"/>
      <c r="J8" s="467"/>
      <c r="K8" s="1693">
        <f t="shared" si="0"/>
        <v>267834</v>
      </c>
      <c r="L8" s="466">
        <v>277164</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1943599</v>
      </c>
      <c r="D33" s="1692">
        <f t="shared" ref="D33:L33" si="1">SUM(D5:D32)</f>
        <v>369327</v>
      </c>
      <c r="E33" s="1692">
        <f t="shared" si="1"/>
        <v>6230</v>
      </c>
      <c r="F33" s="1692">
        <f t="shared" si="1"/>
        <v>105103</v>
      </c>
      <c r="G33" s="1692">
        <f t="shared" si="1"/>
        <v>48466</v>
      </c>
      <c r="H33" s="1692">
        <f t="shared" si="1"/>
        <v>7008</v>
      </c>
      <c r="I33" s="1692">
        <f t="shared" si="1"/>
        <v>0</v>
      </c>
      <c r="J33" s="1692">
        <f t="shared" si="1"/>
        <v>0</v>
      </c>
      <c r="K33" s="1692">
        <f t="shared" si="1"/>
        <v>2479733</v>
      </c>
      <c r="L33" s="1692">
        <f t="shared" si="1"/>
        <v>2577761</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86339</v>
      </c>
      <c r="D36" s="481">
        <v>11411</v>
      </c>
      <c r="E36" s="481"/>
      <c r="F36" s="481"/>
      <c r="G36" s="481"/>
      <c r="H36" s="481"/>
      <c r="I36" s="467"/>
      <c r="J36" s="467"/>
      <c r="K36" s="1693">
        <f t="shared" ref="K36:K41" si="2">SUM(C36:J36)</f>
        <v>97750</v>
      </c>
      <c r="L36" s="466">
        <v>98971</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56676</v>
      </c>
      <c r="D38" s="466">
        <v>21106</v>
      </c>
      <c r="E38" s="466">
        <v>45032</v>
      </c>
      <c r="F38" s="466">
        <v>744</v>
      </c>
      <c r="G38" s="466"/>
      <c r="H38" s="466">
        <v>221</v>
      </c>
      <c r="I38" s="467"/>
      <c r="J38" s="467"/>
      <c r="K38" s="1693">
        <f t="shared" si="2"/>
        <v>123779</v>
      </c>
      <c r="L38" s="466">
        <v>114002</v>
      </c>
    </row>
    <row r="39" spans="1:14" x14ac:dyDescent="0.2">
      <c r="A39" s="1526" t="s">
        <v>208</v>
      </c>
      <c r="B39" s="615">
        <v>2140</v>
      </c>
      <c r="C39" s="466">
        <v>45444</v>
      </c>
      <c r="D39" s="466">
        <v>1636</v>
      </c>
      <c r="E39" s="466">
        <v>1500</v>
      </c>
      <c r="F39" s="466">
        <v>1686</v>
      </c>
      <c r="G39" s="466"/>
      <c r="H39" s="466"/>
      <c r="I39" s="467"/>
      <c r="J39" s="467"/>
      <c r="K39" s="1693">
        <f t="shared" si="2"/>
        <v>50266</v>
      </c>
      <c r="L39" s="466">
        <v>48085</v>
      </c>
    </row>
    <row r="40" spans="1:14" x14ac:dyDescent="0.2">
      <c r="A40" s="1526" t="s">
        <v>209</v>
      </c>
      <c r="B40" s="615">
        <v>2150</v>
      </c>
      <c r="C40" s="466">
        <v>62755</v>
      </c>
      <c r="D40" s="466">
        <v>1930</v>
      </c>
      <c r="E40" s="466"/>
      <c r="F40" s="466"/>
      <c r="G40" s="466"/>
      <c r="H40" s="466">
        <v>333</v>
      </c>
      <c r="I40" s="467"/>
      <c r="J40" s="467"/>
      <c r="K40" s="1693">
        <f t="shared" si="2"/>
        <v>65018</v>
      </c>
      <c r="L40" s="466">
        <v>72105</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251214</v>
      </c>
      <c r="D42" s="1692">
        <f t="shared" ref="D42:L42" si="3">SUM(D36:D41)</f>
        <v>36083</v>
      </c>
      <c r="E42" s="1692">
        <f t="shared" si="3"/>
        <v>46532</v>
      </c>
      <c r="F42" s="1692">
        <f t="shared" si="3"/>
        <v>2430</v>
      </c>
      <c r="G42" s="1692">
        <f t="shared" si="3"/>
        <v>0</v>
      </c>
      <c r="H42" s="1692">
        <f t="shared" si="3"/>
        <v>554</v>
      </c>
      <c r="I42" s="1692">
        <f t="shared" si="3"/>
        <v>0</v>
      </c>
      <c r="J42" s="1692">
        <f t="shared" si="3"/>
        <v>0</v>
      </c>
      <c r="K42" s="1692">
        <f t="shared" si="3"/>
        <v>336813</v>
      </c>
      <c r="L42" s="1692">
        <f t="shared" si="3"/>
        <v>333163</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8179</v>
      </c>
      <c r="F44" s="481"/>
      <c r="G44" s="481"/>
      <c r="H44" s="481">
        <v>65</v>
      </c>
      <c r="I44" s="467"/>
      <c r="J44" s="467"/>
      <c r="K44" s="1694">
        <f>SUM(C44:J44)</f>
        <v>8244</v>
      </c>
      <c r="L44" s="481">
        <v>7500</v>
      </c>
    </row>
    <row r="45" spans="1:14" x14ac:dyDescent="0.2">
      <c r="A45" s="1526" t="s">
        <v>869</v>
      </c>
      <c r="B45" s="615">
        <v>2220</v>
      </c>
      <c r="C45" s="466"/>
      <c r="D45" s="466"/>
      <c r="E45" s="466"/>
      <c r="F45" s="466">
        <v>3779</v>
      </c>
      <c r="G45" s="466"/>
      <c r="H45" s="466">
        <v>1410</v>
      </c>
      <c r="I45" s="467"/>
      <c r="J45" s="467"/>
      <c r="K45" s="1694">
        <f>SUM(C45:J45)</f>
        <v>5189</v>
      </c>
      <c r="L45" s="466">
        <v>4320</v>
      </c>
    </row>
    <row r="46" spans="1:14" x14ac:dyDescent="0.2">
      <c r="A46" s="1526" t="s">
        <v>870</v>
      </c>
      <c r="B46" s="615">
        <v>2230</v>
      </c>
      <c r="C46" s="466"/>
      <c r="D46" s="466"/>
      <c r="E46" s="466">
        <v>8196</v>
      </c>
      <c r="F46" s="466">
        <v>2413</v>
      </c>
      <c r="G46" s="466"/>
      <c r="H46" s="466"/>
      <c r="I46" s="467"/>
      <c r="J46" s="467"/>
      <c r="K46" s="1694">
        <f>SUM(C46:J46)</f>
        <v>10609</v>
      </c>
      <c r="L46" s="466">
        <v>0</v>
      </c>
    </row>
    <row r="47" spans="1:14" ht="12.75" customHeight="1" thickBot="1" x14ac:dyDescent="0.25">
      <c r="A47" s="1690" t="s">
        <v>582</v>
      </c>
      <c r="B47" s="1691" t="s">
        <v>32</v>
      </c>
      <c r="C47" s="1692">
        <f>SUM(C44:C46)</f>
        <v>0</v>
      </c>
      <c r="D47" s="1692">
        <f t="shared" ref="D47:K47" si="4">SUM(D44:D46)</f>
        <v>0</v>
      </c>
      <c r="E47" s="1692">
        <f t="shared" si="4"/>
        <v>16375</v>
      </c>
      <c r="F47" s="1692">
        <f t="shared" si="4"/>
        <v>6192</v>
      </c>
      <c r="G47" s="1692">
        <f t="shared" si="4"/>
        <v>0</v>
      </c>
      <c r="H47" s="1692">
        <f t="shared" si="4"/>
        <v>1475</v>
      </c>
      <c r="I47" s="1692">
        <f t="shared" si="4"/>
        <v>0</v>
      </c>
      <c r="J47" s="1692">
        <f t="shared" si="4"/>
        <v>0</v>
      </c>
      <c r="K47" s="1692">
        <f t="shared" si="4"/>
        <v>24042</v>
      </c>
      <c r="L47" s="1692">
        <f>SUM(L44:L46)</f>
        <v>11820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23185</v>
      </c>
      <c r="F49" s="481">
        <v>179</v>
      </c>
      <c r="G49" s="481"/>
      <c r="H49" s="481">
        <v>11448</v>
      </c>
      <c r="I49" s="467"/>
      <c r="J49" s="467"/>
      <c r="K49" s="1694">
        <f>SUM(C49:J49)</f>
        <v>34812</v>
      </c>
      <c r="L49" s="481">
        <v>41700</v>
      </c>
    </row>
    <row r="50" spans="1:14" x14ac:dyDescent="0.2">
      <c r="A50" s="1526" t="s">
        <v>872</v>
      </c>
      <c r="B50" s="615">
        <v>2320</v>
      </c>
      <c r="C50" s="466">
        <v>159139</v>
      </c>
      <c r="D50" s="466">
        <v>29941</v>
      </c>
      <c r="E50" s="466">
        <v>4409</v>
      </c>
      <c r="F50" s="466">
        <v>244</v>
      </c>
      <c r="G50" s="466"/>
      <c r="H50" s="466">
        <v>26245</v>
      </c>
      <c r="I50" s="467"/>
      <c r="J50" s="467"/>
      <c r="K50" s="1694">
        <f>SUM(C50:J50)</f>
        <v>219978</v>
      </c>
      <c r="L50" s="466">
        <v>219978</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159139</v>
      </c>
      <c r="D53" s="1692">
        <f t="shared" ref="D53:L53" si="5">SUM(D49:D52)</f>
        <v>29941</v>
      </c>
      <c r="E53" s="1692">
        <f t="shared" si="5"/>
        <v>27594</v>
      </c>
      <c r="F53" s="1692">
        <f t="shared" si="5"/>
        <v>423</v>
      </c>
      <c r="G53" s="1692">
        <f t="shared" si="5"/>
        <v>0</v>
      </c>
      <c r="H53" s="1692">
        <f t="shared" si="5"/>
        <v>37693</v>
      </c>
      <c r="I53" s="1692">
        <f t="shared" si="5"/>
        <v>0</v>
      </c>
      <c r="J53" s="1692">
        <f t="shared" si="5"/>
        <v>0</v>
      </c>
      <c r="K53" s="1692">
        <f t="shared" si="5"/>
        <v>254790</v>
      </c>
      <c r="L53" s="1692">
        <f t="shared" si="5"/>
        <v>261678</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215291</v>
      </c>
      <c r="D55" s="481">
        <v>15573</v>
      </c>
      <c r="E55" s="481"/>
      <c r="F55" s="481">
        <v>1817</v>
      </c>
      <c r="G55" s="481"/>
      <c r="H55" s="481">
        <v>920</v>
      </c>
      <c r="I55" s="467"/>
      <c r="J55" s="467"/>
      <c r="K55" s="1694">
        <f>SUM(C55:J55)</f>
        <v>233601</v>
      </c>
      <c r="L55" s="481">
        <v>240591</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215291</v>
      </c>
      <c r="D57" s="1696">
        <f t="shared" ref="D57:K57" si="6">SUM(D55:D56)</f>
        <v>15573</v>
      </c>
      <c r="E57" s="1696">
        <f t="shared" si="6"/>
        <v>0</v>
      </c>
      <c r="F57" s="1696">
        <f t="shared" si="6"/>
        <v>1817</v>
      </c>
      <c r="G57" s="1696">
        <f t="shared" si="6"/>
        <v>0</v>
      </c>
      <c r="H57" s="1696">
        <f t="shared" si="6"/>
        <v>920</v>
      </c>
      <c r="I57" s="1696">
        <f t="shared" si="6"/>
        <v>0</v>
      </c>
      <c r="J57" s="1696">
        <f t="shared" si="6"/>
        <v>0</v>
      </c>
      <c r="K57" s="1696">
        <f t="shared" si="6"/>
        <v>233601</v>
      </c>
      <c r="L57" s="1692">
        <f>SUM(L55:L56)</f>
        <v>240591</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75613</v>
      </c>
      <c r="D60" s="466">
        <v>42</v>
      </c>
      <c r="E60" s="466">
        <v>14555</v>
      </c>
      <c r="F60" s="466">
        <v>444</v>
      </c>
      <c r="G60" s="466"/>
      <c r="H60" s="466">
        <v>5682</v>
      </c>
      <c r="I60" s="467"/>
      <c r="J60" s="467"/>
      <c r="K60" s="1694">
        <f t="shared" si="7"/>
        <v>96336</v>
      </c>
      <c r="L60" s="466">
        <v>98165</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34295</v>
      </c>
      <c r="D63" s="466">
        <v>5051</v>
      </c>
      <c r="E63" s="466"/>
      <c r="F63" s="466">
        <v>27380</v>
      </c>
      <c r="G63" s="466"/>
      <c r="H63" s="466">
        <v>706</v>
      </c>
      <c r="I63" s="467"/>
      <c r="J63" s="467"/>
      <c r="K63" s="1694">
        <f t="shared" si="7"/>
        <v>67432</v>
      </c>
      <c r="L63" s="466">
        <v>76974</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109908</v>
      </c>
      <c r="D65" s="1692">
        <f t="shared" ref="D65:L65" si="8">SUM(D59:D64)</f>
        <v>5093</v>
      </c>
      <c r="E65" s="1692">
        <f t="shared" si="8"/>
        <v>14555</v>
      </c>
      <c r="F65" s="1692">
        <f t="shared" si="8"/>
        <v>27824</v>
      </c>
      <c r="G65" s="1692">
        <f t="shared" si="8"/>
        <v>0</v>
      </c>
      <c r="H65" s="1692">
        <f t="shared" si="8"/>
        <v>6388</v>
      </c>
      <c r="I65" s="1692">
        <f t="shared" si="8"/>
        <v>0</v>
      </c>
      <c r="J65" s="1692">
        <f t="shared" si="8"/>
        <v>0</v>
      </c>
      <c r="K65" s="1692">
        <f t="shared" si="8"/>
        <v>163768</v>
      </c>
      <c r="L65" s="1692">
        <f t="shared" si="8"/>
        <v>175139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735552</v>
      </c>
      <c r="D74" s="1699">
        <f t="shared" ref="D74:K74" si="10">SUM(D42,D47,D53,D57,D65,D72,D73)</f>
        <v>86690</v>
      </c>
      <c r="E74" s="1699">
        <f t="shared" si="10"/>
        <v>105056</v>
      </c>
      <c r="F74" s="1699">
        <f t="shared" si="10"/>
        <v>38686</v>
      </c>
      <c r="G74" s="1699">
        <f t="shared" si="10"/>
        <v>0</v>
      </c>
      <c r="H74" s="1699">
        <f t="shared" si="10"/>
        <v>47030</v>
      </c>
      <c r="I74" s="1699">
        <f t="shared" si="10"/>
        <v>0</v>
      </c>
      <c r="J74" s="1699">
        <f t="shared" si="10"/>
        <v>0</v>
      </c>
      <c r="K74" s="1699">
        <f t="shared" si="10"/>
        <v>1013014</v>
      </c>
      <c r="L74" s="1699">
        <f>SUM(L42,L47,L53,L57,L65,L72,L73)</f>
        <v>1022391</v>
      </c>
    </row>
    <row r="75" spans="1:14" s="259" customFormat="1" ht="15.75" customHeight="1" thickTop="1" thickBot="1" x14ac:dyDescent="0.25">
      <c r="A75" s="1632" t="s">
        <v>49</v>
      </c>
      <c r="B75" s="1633" t="s">
        <v>596</v>
      </c>
      <c r="C75" s="573">
        <v>21554</v>
      </c>
      <c r="D75" s="573">
        <v>5634</v>
      </c>
      <c r="E75" s="573"/>
      <c r="F75" s="573">
        <v>-311</v>
      </c>
      <c r="G75" s="573"/>
      <c r="H75" s="573"/>
      <c r="I75" s="531"/>
      <c r="J75" s="531"/>
      <c r="K75" s="1692">
        <f>SUM(C75:J75)</f>
        <v>26877</v>
      </c>
      <c r="L75" s="576">
        <v>42991</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198143</v>
      </c>
      <c r="I79" s="477"/>
      <c r="J79" s="477"/>
      <c r="K79" s="1693">
        <f t="shared" si="11"/>
        <v>198143</v>
      </c>
      <c r="L79" s="466">
        <v>143002</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198143</v>
      </c>
      <c r="I84" s="477"/>
      <c r="J84" s="477"/>
      <c r="K84" s="1692">
        <f>SUM(K78:K83)</f>
        <v>198143</v>
      </c>
      <c r="L84" s="1692">
        <f>SUM(L78:L83)</f>
        <v>143002</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198143</v>
      </c>
      <c r="I102" s="477"/>
      <c r="J102" s="477"/>
      <c r="K102" s="1699">
        <f>SUM(K84,K92,K100,K101)</f>
        <v>198143</v>
      </c>
      <c r="L102" s="1699">
        <f>SUM(L84,L92,L100,L101)</f>
        <v>143002</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2700705</v>
      </c>
      <c r="D114" s="1692">
        <f t="shared" ref="D114:K114" si="13">SUM(D33,D74,D75,D102,D112,D113)</f>
        <v>461651</v>
      </c>
      <c r="E114" s="1692">
        <f t="shared" si="13"/>
        <v>111286</v>
      </c>
      <c r="F114" s="1692">
        <f t="shared" si="13"/>
        <v>143478</v>
      </c>
      <c r="G114" s="1692">
        <f t="shared" si="13"/>
        <v>48466</v>
      </c>
      <c r="H114" s="1692">
        <f>SUM(H33,H74,H75,H102,H112,H113)</f>
        <v>252181</v>
      </c>
      <c r="I114" s="1692">
        <f t="shared" si="13"/>
        <v>0</v>
      </c>
      <c r="J114" s="1692">
        <f t="shared" si="13"/>
        <v>0</v>
      </c>
      <c r="K114" s="1692">
        <f t="shared" si="13"/>
        <v>3717767</v>
      </c>
      <c r="L114" s="1692">
        <f>SUM(L33,L74,L75,L102,L112,L113)</f>
        <v>3786145</v>
      </c>
    </row>
    <row r="115" spans="1:14" ht="13.5" thickTop="1" x14ac:dyDescent="0.2">
      <c r="A115" s="2199" t="s">
        <v>1053</v>
      </c>
      <c r="B115" s="2200"/>
      <c r="C115" s="619"/>
      <c r="D115" s="619"/>
      <c r="E115" s="619"/>
      <c r="F115" s="619"/>
      <c r="G115" s="619"/>
      <c r="H115" s="619"/>
      <c r="I115" s="619"/>
      <c r="J115" s="619"/>
      <c r="K115" s="1706">
        <f>'Revenues 9-14'!C275-'Expenditures 15-22'!K114</f>
        <v>146687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167661</v>
      </c>
      <c r="D124" s="466">
        <v>24027</v>
      </c>
      <c r="E124" s="466">
        <v>266969</v>
      </c>
      <c r="F124" s="466">
        <v>85746</v>
      </c>
      <c r="G124" s="466">
        <v>5282</v>
      </c>
      <c r="H124" s="466"/>
      <c r="I124" s="467"/>
      <c r="J124" s="467"/>
      <c r="K124" s="1692">
        <f>SUM(C124:J124)</f>
        <v>549685</v>
      </c>
      <c r="L124" s="466">
        <v>512800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167661</v>
      </c>
      <c r="D127" s="1692">
        <f t="shared" ref="D127:L127" si="14">SUM(D122:D126)</f>
        <v>24027</v>
      </c>
      <c r="E127" s="1692">
        <f t="shared" si="14"/>
        <v>266969</v>
      </c>
      <c r="F127" s="1692">
        <f t="shared" si="14"/>
        <v>85746</v>
      </c>
      <c r="G127" s="1692">
        <f t="shared" si="14"/>
        <v>5282</v>
      </c>
      <c r="H127" s="1692">
        <f t="shared" si="14"/>
        <v>0</v>
      </c>
      <c r="I127" s="1692">
        <f t="shared" si="14"/>
        <v>0</v>
      </c>
      <c r="J127" s="1692">
        <f t="shared" si="14"/>
        <v>0</v>
      </c>
      <c r="K127" s="1692">
        <f t="shared" si="14"/>
        <v>549685</v>
      </c>
      <c r="L127" s="1692">
        <f t="shared" si="14"/>
        <v>512800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167661</v>
      </c>
      <c r="D129" s="1699">
        <f t="shared" ref="D129:L129" si="15">SUM(D120,D127,D128)</f>
        <v>24027</v>
      </c>
      <c r="E129" s="1699">
        <f t="shared" si="15"/>
        <v>266969</v>
      </c>
      <c r="F129" s="1699">
        <f t="shared" si="15"/>
        <v>85746</v>
      </c>
      <c r="G129" s="1699">
        <f t="shared" si="15"/>
        <v>5282</v>
      </c>
      <c r="H129" s="1699">
        <f t="shared" si="15"/>
        <v>0</v>
      </c>
      <c r="I129" s="1699">
        <f t="shared" si="15"/>
        <v>0</v>
      </c>
      <c r="J129" s="1699">
        <f t="shared" si="15"/>
        <v>0</v>
      </c>
      <c r="K129" s="1699">
        <f t="shared" si="15"/>
        <v>549685</v>
      </c>
      <c r="L129" s="1699">
        <f t="shared" si="15"/>
        <v>512800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v>20553</v>
      </c>
      <c r="I134" s="477"/>
      <c r="J134" s="617"/>
      <c r="K134" s="1694">
        <f>SUM(E134,H134)</f>
        <v>20553</v>
      </c>
      <c r="L134" s="481">
        <v>20603</v>
      </c>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20553</v>
      </c>
      <c r="I137" s="477"/>
      <c r="J137" s="617"/>
      <c r="K137" s="1692">
        <f>SUM(K133:K136)</f>
        <v>20553</v>
      </c>
      <c r="L137" s="1692">
        <f>SUM(L133:L136)</f>
        <v>20603</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20553</v>
      </c>
      <c r="I139" s="477"/>
      <c r="J139" s="617"/>
      <c r="K139" s="1694">
        <f>SUM(K137,K138)</f>
        <v>20553</v>
      </c>
      <c r="L139" s="1701">
        <f>SUM(L137,L138)</f>
        <v>20603</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v>352000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352000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352000</v>
      </c>
    </row>
    <row r="150" spans="1:14" ht="15.75" customHeight="1" thickTop="1" thickBot="1" x14ac:dyDescent="0.25">
      <c r="A150" s="1628" t="s">
        <v>1098</v>
      </c>
      <c r="B150" s="1635" t="s">
        <v>916</v>
      </c>
      <c r="C150" s="617"/>
      <c r="D150" s="617"/>
      <c r="E150" s="617"/>
      <c r="F150" s="617"/>
      <c r="G150" s="617"/>
      <c r="H150" s="663"/>
      <c r="I150" s="521"/>
      <c r="J150" s="617"/>
      <c r="K150" s="624"/>
      <c r="L150" s="573">
        <v>20136</v>
      </c>
    </row>
    <row r="151" spans="1:14" ht="12.75" customHeight="1" thickTop="1" thickBot="1" x14ac:dyDescent="0.25">
      <c r="A151" s="2189" t="s">
        <v>641</v>
      </c>
      <c r="B151" s="2171"/>
      <c r="C151" s="1692">
        <f>SUM(C129,C130,C139,C149,C150)</f>
        <v>167661</v>
      </c>
      <c r="D151" s="1692">
        <f t="shared" ref="D151:K151" si="16">SUM(D129,D130,D139,D149,D150)</f>
        <v>24027</v>
      </c>
      <c r="E151" s="1692">
        <f t="shared" si="16"/>
        <v>266969</v>
      </c>
      <c r="F151" s="1692">
        <f t="shared" si="16"/>
        <v>85746</v>
      </c>
      <c r="G151" s="1692">
        <f t="shared" si="16"/>
        <v>5282</v>
      </c>
      <c r="H151" s="1692">
        <f t="shared" si="16"/>
        <v>20553</v>
      </c>
      <c r="I151" s="1692">
        <f t="shared" si="16"/>
        <v>0</v>
      </c>
      <c r="J151" s="1692">
        <f t="shared" si="16"/>
        <v>0</v>
      </c>
      <c r="K151" s="1692">
        <f t="shared" si="16"/>
        <v>570238</v>
      </c>
      <c r="L151" s="1692">
        <f>SUM(L129,L130,L139,L149,L150)</f>
        <v>905539</v>
      </c>
    </row>
    <row r="152" spans="1:14" ht="12.75" customHeight="1" thickTop="1" x14ac:dyDescent="0.2">
      <c r="A152" s="2192" t="s">
        <v>1240</v>
      </c>
      <c r="B152" s="2193"/>
      <c r="C152" s="619"/>
      <c r="D152" s="619"/>
      <c r="E152" s="619"/>
      <c r="F152" s="619"/>
      <c r="G152" s="619"/>
      <c r="H152" s="619"/>
      <c r="I152" s="619"/>
      <c r="J152" s="617"/>
      <c r="K152" s="1706">
        <f>'Revenues 9-14'!D275-'Expenditures 15-22'!K151</f>
        <v>347951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84648</v>
      </c>
      <c r="I169" s="617"/>
      <c r="J169" s="617"/>
      <c r="K169" s="1693">
        <f>SUM(C169:H169)</f>
        <v>84648</v>
      </c>
      <c r="L169" s="657">
        <v>0</v>
      </c>
    </row>
    <row r="170" spans="1:14" ht="33.75" customHeight="1" x14ac:dyDescent="0.2">
      <c r="A170" s="670" t="s">
        <v>1769</v>
      </c>
      <c r="B170" s="672" t="s">
        <v>31</v>
      </c>
      <c r="C170" s="617"/>
      <c r="D170" s="617"/>
      <c r="E170" s="617"/>
      <c r="F170" s="617"/>
      <c r="G170" s="617"/>
      <c r="H170" s="569">
        <v>265000</v>
      </c>
      <c r="I170" s="617"/>
      <c r="J170" s="617"/>
      <c r="K170" s="1693">
        <f>SUM(C170:J170)</f>
        <v>265000</v>
      </c>
      <c r="L170" s="569">
        <v>0</v>
      </c>
    </row>
    <row r="171" spans="1:14" ht="15.75" customHeight="1" x14ac:dyDescent="0.2">
      <c r="A171" s="622" t="s">
        <v>790</v>
      </c>
      <c r="B171" s="673" t="s">
        <v>86</v>
      </c>
      <c r="C171" s="617"/>
      <c r="D171" s="617"/>
      <c r="E171" s="466"/>
      <c r="F171" s="617"/>
      <c r="G171" s="617"/>
      <c r="H171" s="569">
        <v>-6742</v>
      </c>
      <c r="I171" s="477"/>
      <c r="J171" s="617"/>
      <c r="K171" s="1693">
        <f>SUM(C171:J171)</f>
        <v>-6742</v>
      </c>
      <c r="L171" s="569">
        <v>0</v>
      </c>
    </row>
    <row r="172" spans="1:14" ht="12.75" customHeight="1" thickBot="1" x14ac:dyDescent="0.25">
      <c r="A172" s="1690" t="s">
        <v>659</v>
      </c>
      <c r="B172" s="1691" t="s">
        <v>513</v>
      </c>
      <c r="C172" s="617"/>
      <c r="D172" s="617"/>
      <c r="E172" s="1699">
        <f>SUM(E168,E169,E170,E171)</f>
        <v>0</v>
      </c>
      <c r="F172" s="617"/>
      <c r="G172" s="617"/>
      <c r="H172" s="1699">
        <f>SUM(H168,H169,H170,H171)</f>
        <v>342906</v>
      </c>
      <c r="I172" s="639"/>
      <c r="J172" s="617"/>
      <c r="K172" s="1699">
        <f>SUM(K168,K169,K170,K171)</f>
        <v>342906</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342906</v>
      </c>
      <c r="I174" s="639"/>
      <c r="J174" s="617"/>
      <c r="K174" s="1699">
        <f>SUM(K160,K172,K173)</f>
        <v>342906</v>
      </c>
      <c r="L174" s="1699">
        <f>SUM(L160,L172,L173)</f>
        <v>0</v>
      </c>
    </row>
    <row r="175" spans="1:14" ht="13.5" thickTop="1" x14ac:dyDescent="0.2">
      <c r="A175" s="2199" t="s">
        <v>1053</v>
      </c>
      <c r="B175" s="2200"/>
      <c r="C175" s="617"/>
      <c r="D175" s="617"/>
      <c r="E175" s="617"/>
      <c r="F175" s="617"/>
      <c r="G175" s="617"/>
      <c r="H175" s="619"/>
      <c r="I175" s="617"/>
      <c r="J175" s="617"/>
      <c r="K175" s="1706">
        <f>'Revenues 9-14'!E275-'Expenditures 15-22'!K174</f>
        <v>-342906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5918</v>
      </c>
      <c r="D182" s="466"/>
      <c r="E182" s="466">
        <v>234544</v>
      </c>
      <c r="F182" s="466"/>
      <c r="G182" s="466"/>
      <c r="H182" s="466"/>
      <c r="I182" s="467"/>
      <c r="J182" s="467"/>
      <c r="K182" s="1693">
        <f>SUM(C182:J182)</f>
        <v>240462</v>
      </c>
      <c r="L182" s="466">
        <v>227918</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5918</v>
      </c>
      <c r="D184" s="1699">
        <f t="shared" ref="D184:J184" si="17">SUM(D180,D182,D183)</f>
        <v>0</v>
      </c>
      <c r="E184" s="1699">
        <f t="shared" si="17"/>
        <v>234544</v>
      </c>
      <c r="F184" s="1699">
        <f t="shared" si="17"/>
        <v>0</v>
      </c>
      <c r="G184" s="1699">
        <f t="shared" si="17"/>
        <v>0</v>
      </c>
      <c r="H184" s="1699">
        <f t="shared" si="17"/>
        <v>0</v>
      </c>
      <c r="I184" s="1699">
        <f t="shared" si="17"/>
        <v>0</v>
      </c>
      <c r="J184" s="1699">
        <f t="shared" si="17"/>
        <v>0</v>
      </c>
      <c r="K184" s="1699">
        <f>SUM(K180,K182,K183)</f>
        <v>240462</v>
      </c>
      <c r="L184" s="1699">
        <f>SUM(L180, L182:L183)</f>
        <v>227918</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5918</v>
      </c>
      <c r="D210" s="1692">
        <f>SUM(D184,D185)</f>
        <v>0</v>
      </c>
      <c r="E210" s="1692">
        <f>SUM(E184,E185,E196)</f>
        <v>234544</v>
      </c>
      <c r="F210" s="1692">
        <f>SUM(F184,F185)</f>
        <v>0</v>
      </c>
      <c r="G210" s="1692">
        <f>SUM(G184,G185)</f>
        <v>0</v>
      </c>
      <c r="H210" s="1692">
        <f>SUM(H184,H185,H196,H208,H209)</f>
        <v>0</v>
      </c>
      <c r="I210" s="1692">
        <f>SUM(I184,I185)</f>
        <v>0</v>
      </c>
      <c r="J210" s="1692">
        <f>SUM(J184,J185)</f>
        <v>0</v>
      </c>
      <c r="K210" s="1693">
        <f>SUM(K184,K185,K196,K208,K209)</f>
        <v>240462</v>
      </c>
      <c r="L210" s="1692">
        <f>SUM(L184,L185,L196,L208,L209)</f>
        <v>227918</v>
      </c>
    </row>
    <row r="211" spans="1:14" ht="13.5" thickTop="1" x14ac:dyDescent="0.2">
      <c r="A211" s="2199" t="s">
        <v>1053</v>
      </c>
      <c r="B211" s="2200"/>
      <c r="C211" s="619"/>
      <c r="D211" s="619"/>
      <c r="E211" s="619"/>
      <c r="F211" s="619"/>
      <c r="G211" s="619"/>
      <c r="H211" s="619"/>
      <c r="I211" s="617"/>
      <c r="J211" s="617"/>
      <c r="K211" s="1706">
        <f>'Revenues 9-14'!F275-'Expenditures 15-22'!K210</f>
        <v>492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30712</v>
      </c>
      <c r="E215" s="617"/>
      <c r="F215" s="617"/>
      <c r="G215" s="617"/>
      <c r="H215" s="617"/>
      <c r="I215" s="617"/>
      <c r="J215" s="617"/>
      <c r="K215" s="1693">
        <f>D215</f>
        <v>30712</v>
      </c>
      <c r="L215" s="466">
        <v>32350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2870</v>
      </c>
      <c r="E217" s="617"/>
      <c r="F217" s="617"/>
      <c r="G217" s="617"/>
      <c r="H217" s="617"/>
      <c r="I217" s="617"/>
      <c r="J217" s="617"/>
      <c r="K217" s="1693">
        <f t="shared" si="19"/>
        <v>2870</v>
      </c>
      <c r="L217" s="466">
        <v>3240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33582</v>
      </c>
      <c r="E229" s="617"/>
      <c r="F229" s="617"/>
      <c r="G229" s="617"/>
      <c r="H229" s="617"/>
      <c r="I229" s="617"/>
      <c r="J229" s="617"/>
      <c r="K229" s="1692">
        <f>SUM(K215:K228)</f>
        <v>33582</v>
      </c>
      <c r="L229" s="1692">
        <f>SUM(L215:L228)</f>
        <v>35590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1222</v>
      </c>
      <c r="E232" s="617"/>
      <c r="F232" s="617"/>
      <c r="G232" s="617"/>
      <c r="H232" s="617"/>
      <c r="I232" s="617"/>
      <c r="J232" s="617"/>
      <c r="K232" s="1693">
        <f t="shared" ref="K232:K237" si="20">D232</f>
        <v>1222</v>
      </c>
      <c r="L232" s="466">
        <v>1265</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672</v>
      </c>
      <c r="E234" s="617"/>
      <c r="F234" s="617"/>
      <c r="G234" s="617"/>
      <c r="H234" s="617"/>
      <c r="I234" s="617"/>
      <c r="J234" s="617"/>
      <c r="K234" s="1693">
        <f t="shared" si="20"/>
        <v>672</v>
      </c>
      <c r="L234" s="466">
        <v>815</v>
      </c>
    </row>
    <row r="235" spans="1:12" x14ac:dyDescent="0.2">
      <c r="A235" s="1526" t="s">
        <v>208</v>
      </c>
      <c r="B235" s="615">
        <v>2140</v>
      </c>
      <c r="C235" s="617"/>
      <c r="D235" s="466">
        <v>666</v>
      </c>
      <c r="E235" s="617"/>
      <c r="F235" s="617"/>
      <c r="G235" s="617"/>
      <c r="H235" s="617"/>
      <c r="I235" s="617"/>
      <c r="J235" s="617"/>
      <c r="K235" s="1693">
        <f t="shared" si="20"/>
        <v>666</v>
      </c>
      <c r="L235" s="466">
        <v>663</v>
      </c>
    </row>
    <row r="236" spans="1:12" x14ac:dyDescent="0.2">
      <c r="A236" s="1526" t="s">
        <v>209</v>
      </c>
      <c r="B236" s="615">
        <v>2150</v>
      </c>
      <c r="C236" s="617"/>
      <c r="D236" s="466">
        <v>965</v>
      </c>
      <c r="E236" s="617"/>
      <c r="F236" s="617"/>
      <c r="G236" s="617"/>
      <c r="H236" s="617"/>
      <c r="I236" s="617"/>
      <c r="J236" s="617"/>
      <c r="K236" s="1693">
        <f t="shared" si="20"/>
        <v>965</v>
      </c>
      <c r="L236" s="466">
        <v>1010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3525</v>
      </c>
      <c r="E238" s="617"/>
      <c r="F238" s="617"/>
      <c r="G238" s="617"/>
      <c r="H238" s="617"/>
      <c r="I238" s="617"/>
      <c r="J238" s="617"/>
      <c r="K238" s="1692">
        <f>SUM(K232:K237)</f>
        <v>3525</v>
      </c>
      <c r="L238" s="1692">
        <f>SUM(L232:L237)</f>
        <v>3753</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2261</v>
      </c>
      <c r="E246" s="617"/>
      <c r="F246" s="617"/>
      <c r="G246" s="617"/>
      <c r="H246" s="617"/>
      <c r="I246" s="617"/>
      <c r="J246" s="617"/>
      <c r="K246" s="1694">
        <f t="shared" ref="K246:K256" si="21">D246</f>
        <v>2261</v>
      </c>
      <c r="L246" s="466">
        <v>2340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2261</v>
      </c>
      <c r="E257" s="617"/>
      <c r="F257" s="617"/>
      <c r="G257" s="617"/>
      <c r="H257" s="617"/>
      <c r="I257" s="617"/>
      <c r="J257" s="617"/>
      <c r="K257" s="1692">
        <f>SUM(K245:K256)</f>
        <v>2261</v>
      </c>
      <c r="L257" s="1692">
        <f>SUM(L245:L256)</f>
        <v>2340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20329</v>
      </c>
      <c r="E259" s="617"/>
      <c r="F259" s="617"/>
      <c r="G259" s="617"/>
      <c r="H259" s="617"/>
      <c r="I259" s="617"/>
      <c r="J259" s="617"/>
      <c r="K259" s="1694">
        <f>D259</f>
        <v>20329</v>
      </c>
      <c r="L259" s="481">
        <v>20865</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20329</v>
      </c>
      <c r="E261" s="617"/>
      <c r="F261" s="617"/>
      <c r="G261" s="617"/>
      <c r="H261" s="617"/>
      <c r="I261" s="617"/>
      <c r="J261" s="617"/>
      <c r="K261" s="1692">
        <f>SUM(K259:K260)</f>
        <v>20329</v>
      </c>
      <c r="L261" s="1692">
        <f>SUM(L259:L260)</f>
        <v>20865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13909</v>
      </c>
      <c r="E264" s="617"/>
      <c r="F264" s="617"/>
      <c r="G264" s="617"/>
      <c r="H264" s="617"/>
      <c r="I264" s="617"/>
      <c r="J264" s="617"/>
      <c r="K264" s="1694">
        <f t="shared" ref="K264:K269" si="22">D264</f>
        <v>13909</v>
      </c>
      <c r="L264" s="466">
        <v>13590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17133</v>
      </c>
      <c r="E266" s="617"/>
      <c r="F266" s="617"/>
      <c r="G266" s="617"/>
      <c r="H266" s="617"/>
      <c r="I266" s="617"/>
      <c r="J266" s="617"/>
      <c r="K266" s="1694">
        <f t="shared" si="22"/>
        <v>17133</v>
      </c>
      <c r="L266" s="466">
        <v>20233</v>
      </c>
    </row>
    <row r="267" spans="1:14" x14ac:dyDescent="0.2">
      <c r="A267" s="1526" t="s">
        <v>1010</v>
      </c>
      <c r="B267" s="615">
        <v>2550</v>
      </c>
      <c r="C267" s="617"/>
      <c r="D267" s="466">
        <v>1063</v>
      </c>
      <c r="E267" s="617"/>
      <c r="F267" s="617"/>
      <c r="G267" s="617"/>
      <c r="H267" s="617"/>
      <c r="I267" s="617"/>
      <c r="J267" s="617"/>
      <c r="K267" s="1694">
        <f t="shared" si="22"/>
        <v>1063</v>
      </c>
      <c r="L267" s="466">
        <v>1063</v>
      </c>
    </row>
    <row r="268" spans="1:14" x14ac:dyDescent="0.2">
      <c r="A268" s="1526" t="s">
        <v>102</v>
      </c>
      <c r="B268" s="615">
        <v>2560</v>
      </c>
      <c r="C268" s="617"/>
      <c r="D268" s="466">
        <v>6306</v>
      </c>
      <c r="E268" s="617"/>
      <c r="F268" s="617"/>
      <c r="G268" s="617"/>
      <c r="H268" s="617"/>
      <c r="I268" s="617"/>
      <c r="J268" s="617"/>
      <c r="K268" s="1694">
        <f t="shared" si="22"/>
        <v>6306</v>
      </c>
      <c r="L268" s="466">
        <v>6681</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38411</v>
      </c>
      <c r="E270" s="617"/>
      <c r="F270" s="617"/>
      <c r="G270" s="617"/>
      <c r="H270" s="617"/>
      <c r="I270" s="617"/>
      <c r="J270" s="617"/>
      <c r="K270" s="1692">
        <f>SUM(K263:K269)</f>
        <v>38411</v>
      </c>
      <c r="L270" s="1692">
        <f>SUM(L263:L269)</f>
        <v>41567</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64526</v>
      </c>
      <c r="E279" s="617"/>
      <c r="F279" s="617"/>
      <c r="G279" s="617"/>
      <c r="H279" s="617"/>
      <c r="I279" s="617"/>
      <c r="J279" s="617"/>
      <c r="K279" s="1699">
        <f>SUM(K238,K243,K257,K261,K270,K277,K278)</f>
        <v>64526</v>
      </c>
      <c r="L279" s="1699">
        <f>SUM(L238,L243,L257,L261,L270,L277,L278)</f>
        <v>68525</v>
      </c>
    </row>
    <row r="280" spans="1:12" ht="15.75" customHeight="1" thickTop="1" thickBot="1" x14ac:dyDescent="0.25">
      <c r="A280" s="1646" t="s">
        <v>930</v>
      </c>
      <c r="B280" s="1635">
        <v>3000</v>
      </c>
      <c r="C280" s="617"/>
      <c r="D280" s="576">
        <v>3020</v>
      </c>
      <c r="E280" s="617"/>
      <c r="F280" s="617"/>
      <c r="G280" s="617"/>
      <c r="H280" s="617"/>
      <c r="I280" s="617"/>
      <c r="J280" s="617"/>
      <c r="K280" s="1701">
        <f>D280</f>
        <v>3020</v>
      </c>
      <c r="L280" s="576">
        <v>4873</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v>23051</v>
      </c>
      <c r="E283" s="617"/>
      <c r="F283" s="617"/>
      <c r="G283" s="617"/>
      <c r="H283" s="617"/>
      <c r="I283" s="617"/>
      <c r="J283" s="617"/>
      <c r="K283" s="1693">
        <f>D283</f>
        <v>23051</v>
      </c>
      <c r="L283" s="466">
        <v>23051</v>
      </c>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23051</v>
      </c>
      <c r="E285" s="617"/>
      <c r="F285" s="617"/>
      <c r="G285" s="617"/>
      <c r="H285" s="617"/>
      <c r="I285" s="617"/>
      <c r="J285" s="617"/>
      <c r="K285" s="1692">
        <f>SUM(K282:K284)</f>
        <v>23051</v>
      </c>
      <c r="L285" s="1692">
        <f>SUM(L282:L284)</f>
        <v>23051</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124179</v>
      </c>
      <c r="E295" s="617"/>
      <c r="F295" s="617"/>
      <c r="G295" s="617"/>
      <c r="H295" s="1692">
        <f>H293</f>
        <v>0</v>
      </c>
      <c r="I295" s="617"/>
      <c r="J295" s="617"/>
      <c r="K295" s="1692">
        <f>SUM(K229,K279,K280,K285,K293,K294)</f>
        <v>124179</v>
      </c>
      <c r="L295" s="1692">
        <f>SUM(L229,L279,L280,L285,L293,L294)</f>
        <v>132039</v>
      </c>
    </row>
    <row r="296" spans="1:14" ht="13.5" thickTop="1" x14ac:dyDescent="0.2">
      <c r="A296" s="2199" t="s">
        <v>1053</v>
      </c>
      <c r="B296" s="2200"/>
      <c r="C296" s="617"/>
      <c r="D296" s="619"/>
      <c r="E296" s="617"/>
      <c r="F296" s="617"/>
      <c r="G296" s="617"/>
      <c r="H296" s="688"/>
      <c r="I296" s="617"/>
      <c r="J296" s="617"/>
      <c r="K296" s="1706">
        <f>'Revenues 9-14'!G275-'Expenditures 15-22'!K295</f>
        <v>-29922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20294</v>
      </c>
      <c r="F320" s="467"/>
      <c r="G320" s="467"/>
      <c r="H320" s="467"/>
      <c r="I320" s="467"/>
      <c r="J320" s="467"/>
      <c r="K320" s="1693">
        <f t="shared" ref="K320:K327" si="24">SUM(C320:J320)</f>
        <v>20294</v>
      </c>
      <c r="L320" s="467">
        <v>22500</v>
      </c>
      <c r="M320" s="666"/>
      <c r="N320" s="666"/>
    </row>
    <row r="321" spans="1:14" s="675" customFormat="1" x14ac:dyDescent="0.2">
      <c r="A321" s="1541" t="s">
        <v>318</v>
      </c>
      <c r="B321" s="698" t="s">
        <v>301</v>
      </c>
      <c r="C321" s="467"/>
      <c r="D321" s="467"/>
      <c r="E321" s="467">
        <v>3092</v>
      </c>
      <c r="F321" s="467"/>
      <c r="G321" s="467"/>
      <c r="H321" s="467"/>
      <c r="I321" s="467"/>
      <c r="J321" s="467"/>
      <c r="K321" s="1693">
        <f t="shared" si="24"/>
        <v>3092</v>
      </c>
      <c r="L321" s="467">
        <v>4000</v>
      </c>
      <c r="M321" s="666"/>
      <c r="N321" s="666"/>
    </row>
    <row r="322" spans="1:14" s="675" customFormat="1" x14ac:dyDescent="0.2">
      <c r="A322" s="1541" t="s">
        <v>256</v>
      </c>
      <c r="B322" s="698" t="s">
        <v>302</v>
      </c>
      <c r="C322" s="467"/>
      <c r="D322" s="467"/>
      <c r="E322" s="467">
        <v>25978</v>
      </c>
      <c r="F322" s="467"/>
      <c r="G322" s="467"/>
      <c r="H322" s="467"/>
      <c r="I322" s="467"/>
      <c r="J322" s="467"/>
      <c r="K322" s="1693">
        <f t="shared" si="24"/>
        <v>25978</v>
      </c>
      <c r="L322" s="467">
        <v>27000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49364</v>
      </c>
      <c r="F330" s="1692">
        <f t="shared" si="25"/>
        <v>0</v>
      </c>
      <c r="G330" s="1692">
        <f t="shared" si="25"/>
        <v>0</v>
      </c>
      <c r="H330" s="1692">
        <f t="shared" si="25"/>
        <v>0</v>
      </c>
      <c r="I330" s="1692">
        <f t="shared" si="25"/>
        <v>0</v>
      </c>
      <c r="J330" s="1692">
        <f t="shared" si="25"/>
        <v>0</v>
      </c>
      <c r="K330" s="1692">
        <f>SUM(K319:K329)</f>
        <v>49364</v>
      </c>
      <c r="L330" s="1692">
        <f>SUM(L319:L329)</f>
        <v>53500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49364</v>
      </c>
      <c r="F342" s="1692">
        <f>SUM(F330)</f>
        <v>0</v>
      </c>
      <c r="G342" s="1692">
        <f>SUM(G330)</f>
        <v>0</v>
      </c>
      <c r="H342" s="1692">
        <f>SUM(H330,H334,H340)</f>
        <v>0</v>
      </c>
      <c r="I342" s="1692">
        <f>SUM(I330)</f>
        <v>0</v>
      </c>
      <c r="J342" s="1692">
        <f>SUM(J330)</f>
        <v>0</v>
      </c>
      <c r="K342" s="1692">
        <f>SUM(K330,K334,K340)</f>
        <v>49364</v>
      </c>
      <c r="L342" s="1699">
        <f>SUM(L330,L340,L341)</f>
        <v>53500</v>
      </c>
    </row>
    <row r="343" spans="1:14" ht="12.75" customHeight="1" thickTop="1" x14ac:dyDescent="0.2">
      <c r="A343" s="2185" t="s">
        <v>1053</v>
      </c>
      <c r="B343" s="2186"/>
      <c r="C343" s="617"/>
      <c r="D343" s="617"/>
      <c r="E343" s="617"/>
      <c r="F343" s="617"/>
      <c r="G343" s="617"/>
      <c r="H343" s="617"/>
      <c r="I343" s="617"/>
      <c r="J343" s="617"/>
      <c r="K343" s="1706">
        <f>'Revenues 9-14'!J275-'Expenditures 15-22'!K342</f>
        <v>14463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9" t="s">
        <v>1053</v>
      </c>
      <c r="B368" s="2200"/>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www.w3.org/XML/1998/namespace"/>
    <ds:schemaRef ds:uri="http://purl.org/dc/terms/"/>
    <ds:schemaRef ds:uri="http://purl.org/dc/dcmitype/"/>
    <ds:schemaRef ds:uri="d21dc803-237d-4c68-8692-8d731fd29118"/>
    <ds:schemaRef ds:uri="http://schemas.microsoft.com/office/infopath/2007/PartnerControls"/>
    <ds:schemaRef ds:uri="http://schemas.microsoft.com/sharepoint/v3"/>
    <ds:schemaRef ds:uri="http://schemas.openxmlformats.org/package/2006/metadata/core-properties"/>
    <ds:schemaRef ds:uri="http://purl.org/dc/elements/1.1/"/>
    <ds:schemaRef ds:uri="4d435f69-8686-490b-bd6d-b153bf22ab50"/>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2018-10-05T15:44:17Z</cp:lastPrinted>
  <dcterms:created xsi:type="dcterms:W3CDTF">2003-10-29T19:06:34Z</dcterms:created>
  <dcterms:modified xsi:type="dcterms:W3CDTF">2018-12-07T14:30:21Z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vt:lpwstr>
  </property>
  <property fmtid="{D5CDD505-2E9C-101B-9397-08002B2CF9AE}" pid="4" name="Refresh">
    <vt:bool>true</vt:bool>
  </property>
  <property fmtid="{D5CDD505-2E9C-101B-9397-08002B2CF9AE}" pid="5" name="Refresh97">
    <vt:bool>false</vt:bool>
  </property>
  <property fmtid="{D5CDD505-2E9C-101B-9397-08002B2CF9AE}" pid="6" name="tabName">
    <vt:lpwstr>Other Deliverables</vt:lpwstr>
  </property>
  <property fmtid="{D5CDD505-2E9C-101B-9397-08002B2CF9AE}" pid="7" name="tabIndex">
    <vt:lpwstr>130</vt:lpwstr>
  </property>
  <property fmtid="{D5CDD505-2E9C-101B-9397-08002B2CF9AE}" pid="8" name="workpaperIndex">
    <vt:lpwstr>
    </vt:lpwstr>
  </property>
</Properties>
</file>