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830" windowWidth="19440" windowHeight="6270" tabRatio="96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78" i="106" s="1"/>
  <c r="B7795" i="106"/>
  <c r="K133" i="29"/>
  <c r="B7776" i="106" s="1"/>
  <c r="B7793" i="106"/>
  <c r="B7791" i="106"/>
  <c r="B7787" i="106"/>
  <c r="B7786" i="106"/>
  <c r="B7785" i="106"/>
  <c r="B7783" i="106"/>
  <c r="B7782"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E26" i="181"/>
  <c r="F26" i="181" s="1"/>
  <c r="G26" i="181" s="1"/>
  <c r="E25" i="181"/>
  <c r="F25" i="181" s="1"/>
  <c r="G25" i="181" s="1"/>
  <c r="E24" i="181"/>
  <c r="F24" i="181" s="1"/>
  <c r="G24" i="181" s="1"/>
  <c r="F23" i="181"/>
  <c r="G23" i="181" s="1"/>
  <c r="E23" i="181"/>
  <c r="F22" i="181"/>
  <c r="G22" i="181" s="1"/>
  <c r="E22" i="18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B4411" i="106" s="1"/>
  <c r="D4411" i="106" s="1"/>
  <c r="C224" i="5"/>
  <c r="B5286" i="106" s="1"/>
  <c r="D5286" i="106" s="1"/>
  <c r="C228" i="5"/>
  <c r="C259" i="5"/>
  <c r="B7761" i="106"/>
  <c r="L127" i="29"/>
  <c r="L129" i="29" s="1"/>
  <c r="L139" i="29"/>
  <c r="L149" i="29"/>
  <c r="I7" i="145"/>
  <c r="I6" i="145"/>
  <c r="D78" i="36"/>
  <c r="K75" i="29"/>
  <c r="K130" i="29"/>
  <c r="K185" i="29"/>
  <c r="K122" i="29"/>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c r="E21" i="8"/>
  <c r="B1865" i="106" s="1"/>
  <c r="D1865" i="106" s="1"/>
  <c r="B1866" i="106"/>
  <c r="D1866" i="106" s="1"/>
  <c r="F6" i="8"/>
  <c r="F7" i="8"/>
  <c r="B1868" i="106" s="1"/>
  <c r="D1868" i="106" s="1"/>
  <c r="F12" i="8"/>
  <c r="B1869" i="106"/>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s="1"/>
  <c r="B5105" i="106"/>
  <c r="D5105" i="106"/>
  <c r="B5106" i="106"/>
  <c r="D5106" i="106"/>
  <c r="B5107" i="106"/>
  <c r="D5107" i="106"/>
  <c r="B5108" i="106"/>
  <c r="D5108" i="106" s="1"/>
  <c r="B5109" i="106"/>
  <c r="D5109" i="106"/>
  <c r="B5110" i="106"/>
  <c r="D5110" i="106"/>
  <c r="B5111" i="106"/>
  <c r="D5111" i="106"/>
  <c r="B5113" i="106"/>
  <c r="D5113" i="106" s="1"/>
  <c r="B5114" i="106"/>
  <c r="D5114" i="106"/>
  <c r="B5115" i="106"/>
  <c r="D5115" i="106"/>
  <c r="B5116" i="106"/>
  <c r="D5116" i="106"/>
  <c r="B5117" i="106"/>
  <c r="D5117" i="106" s="1"/>
  <c r="B5118" i="106"/>
  <c r="D5118" i="106"/>
  <c r="B5119" i="106"/>
  <c r="D5119" i="106" s="1"/>
  <c r="B5122" i="106"/>
  <c r="D5122" i="106" s="1"/>
  <c r="B5123" i="106"/>
  <c r="D5123" i="106"/>
  <c r="B5124" i="106"/>
  <c r="D5124" i="106" s="1"/>
  <c r="B5126" i="106"/>
  <c r="D5126" i="106" s="1"/>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s="1"/>
  <c r="B5243" i="106"/>
  <c r="D5243" i="106"/>
  <c r="D5244" i="106"/>
  <c r="D5245" i="106"/>
  <c r="B5247" i="106"/>
  <c r="D5247" i="106"/>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5" i="106"/>
  <c r="D6285"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s="1"/>
  <c r="B6300" i="106"/>
  <c r="D6300" i="106" s="1"/>
  <c r="B6302" i="106"/>
  <c r="D6302" i="106"/>
  <c r="B6303" i="106"/>
  <c r="D6303" i="106"/>
  <c r="B6304" i="106"/>
  <c r="D6304" i="106" s="1"/>
  <c r="B6305" i="106"/>
  <c r="D6305" i="106" s="1"/>
  <c r="B6307" i="106"/>
  <c r="D6307" i="106"/>
  <c r="B6308" i="106"/>
  <c r="D6308" i="106"/>
  <c r="B6309" i="106"/>
  <c r="D6309" i="106" s="1"/>
  <c r="B6310" i="106"/>
  <c r="D6310" i="106" s="1"/>
  <c r="B6311" i="106"/>
  <c r="D6311" i="106"/>
  <c r="B6312" i="106"/>
  <c r="D6312" i="106"/>
  <c r="B6313" i="106"/>
  <c r="D6313" i="106" s="1"/>
  <c r="B6314" i="106"/>
  <c r="D6314" i="106" s="1"/>
  <c r="B6315" i="106"/>
  <c r="D6315" i="106"/>
  <c r="B6316" i="106"/>
  <c r="D6316" i="106"/>
  <c r="B6317" i="106"/>
  <c r="D6317" i="106" s="1"/>
  <c r="B6319" i="106"/>
  <c r="D6319" i="106" s="1"/>
  <c r="B6320" i="106"/>
  <c r="D6320" i="106"/>
  <c r="B6321" i="106"/>
  <c r="D6321" i="106" s="1"/>
  <c r="B6322" i="106"/>
  <c r="D6322" i="106"/>
  <c r="B6323" i="106"/>
  <c r="D6323" i="106"/>
  <c r="B6324" i="106"/>
  <c r="D6324" i="106"/>
  <c r="B6325" i="106"/>
  <c r="D6325" i="106" s="1"/>
  <c r="B6326" i="106"/>
  <c r="D6326" i="106"/>
  <c r="B6327" i="106"/>
  <c r="D6327" i="106"/>
  <c r="B6328" i="106"/>
  <c r="D6328" i="106"/>
  <c r="B6329" i="106"/>
  <c r="D6329" i="106" s="1"/>
  <c r="B6330" i="106"/>
  <c r="D6330" i="106"/>
  <c r="B6331" i="106"/>
  <c r="D6331" i="106"/>
  <c r="B6332" i="106"/>
  <c r="D6332" i="106"/>
  <c r="B6333" i="106"/>
  <c r="D6333" i="106" s="1"/>
  <c r="B6334" i="106"/>
  <c r="D6334" i="106"/>
  <c r="B6335" i="106"/>
  <c r="D6335" i="106" s="1"/>
  <c r="B6336" i="106"/>
  <c r="D6336" i="106" s="1"/>
  <c r="B6337" i="106"/>
  <c r="D6337" i="106"/>
  <c r="B6338" i="106"/>
  <c r="D6338" i="106"/>
  <c r="B6339" i="106"/>
  <c r="D6339" i="106" s="1"/>
  <c r="B6340" i="106"/>
  <c r="D6340" i="106" s="1"/>
  <c r="B6341" i="106"/>
  <c r="D6341" i="106"/>
  <c r="B6342" i="106"/>
  <c r="D6342" i="106"/>
  <c r="B6343" i="106"/>
  <c r="D6343" i="106" s="1"/>
  <c r="B6344" i="106"/>
  <c r="D6344" i="106" s="1"/>
  <c r="B6345" i="106"/>
  <c r="D6345" i="106"/>
  <c r="B6346" i="106"/>
  <c r="D6346" i="106"/>
  <c r="B6347" i="106"/>
  <c r="D6347" i="106" s="1"/>
  <c r="B6348" i="106"/>
  <c r="D6348" i="106" s="1"/>
  <c r="B6349" i="106"/>
  <c r="D6349" i="106"/>
  <c r="B6350" i="106"/>
  <c r="D6350" i="106"/>
  <c r="B6353" i="106"/>
  <c r="D6353" i="106" s="1"/>
  <c r="B6354" i="106"/>
  <c r="D6354" i="106" s="1"/>
  <c r="B6355" i="106"/>
  <c r="D6355" i="106"/>
  <c r="B6356" i="106"/>
  <c r="D6356" i="106"/>
  <c r="B6358" i="106"/>
  <c r="D6358" i="106" s="1"/>
  <c r="B6359" i="106"/>
  <c r="D6359" i="106" s="1"/>
  <c r="B6360" i="106"/>
  <c r="D6360" i="106"/>
  <c r="B6361" i="106"/>
  <c r="D6361" i="106"/>
  <c r="B6362" i="106"/>
  <c r="D6362" i="106" s="1"/>
  <c r="B6363" i="106"/>
  <c r="D6363" i="106" s="1"/>
  <c r="B6364" i="106"/>
  <c r="D6364" i="106"/>
  <c r="B6365" i="106"/>
  <c r="D6365" i="106"/>
  <c r="B6366" i="106"/>
  <c r="D6366" i="106" s="1"/>
  <c r="B6367" i="106"/>
  <c r="D6367" i="106" s="1"/>
  <c r="B6368" i="106"/>
  <c r="D6368" i="106"/>
  <c r="B6369" i="106"/>
  <c r="D6369" i="106"/>
  <c r="B6370" i="106"/>
  <c r="D6370" i="106" s="1"/>
  <c r="B6371" i="106"/>
  <c r="D6371" i="106" s="1"/>
  <c r="B6372" i="106"/>
  <c r="D6372" i="106"/>
  <c r="B6373" i="106"/>
  <c r="D6373" i="106"/>
  <c r="B6374" i="106"/>
  <c r="D6374" i="106" s="1"/>
  <c r="B6375" i="106"/>
  <c r="D6375" i="106" s="1"/>
  <c r="B6376" i="106"/>
  <c r="D6376" i="106"/>
  <c r="B6377" i="106"/>
  <c r="D6377" i="106"/>
  <c r="B6378" i="106"/>
  <c r="D6378" i="106" s="1"/>
  <c r="B6379" i="106"/>
  <c r="D6379" i="106" s="1"/>
  <c r="B6380" i="106"/>
  <c r="D6380" i="106"/>
  <c r="B6381" i="106"/>
  <c r="D6381" i="106"/>
  <c r="B6382" i="106"/>
  <c r="D6382" i="106" s="1"/>
  <c r="B6383" i="106"/>
  <c r="D6383" i="106" s="1"/>
  <c r="B6384" i="106"/>
  <c r="D6384" i="106"/>
  <c r="B6385" i="106"/>
  <c r="D6385" i="106"/>
  <c r="B6386" i="106"/>
  <c r="D6386" i="106" s="1"/>
  <c r="B6387" i="106"/>
  <c r="D6387" i="106" s="1"/>
  <c r="B6388" i="106"/>
  <c r="D6388" i="106"/>
  <c r="B6389" i="106"/>
  <c r="D6389" i="106"/>
  <c r="B6390" i="106"/>
  <c r="D6390" i="106" s="1"/>
  <c r="B6391" i="106"/>
  <c r="D6391" i="106" s="1"/>
  <c r="B6392" i="106"/>
  <c r="D6392" i="106"/>
  <c r="B6393" i="106"/>
  <c r="D6393" i="106"/>
  <c r="B6394" i="106"/>
  <c r="D6394" i="106" s="1"/>
  <c r="B6395" i="106"/>
  <c r="D6395" i="106" s="1"/>
  <c r="B6398" i="106"/>
  <c r="D6398" i="106"/>
  <c r="B6399" i="106"/>
  <c r="D6399" i="106"/>
  <c r="B6401" i="106"/>
  <c r="D6401" i="106" s="1"/>
  <c r="B6402" i="106"/>
  <c r="D6402" i="106" s="1"/>
  <c r="B6403" i="106"/>
  <c r="D6403" i="106"/>
  <c r="B6404" i="106"/>
  <c r="D6404" i="106"/>
  <c r="B6405" i="106"/>
  <c r="D6405" i="106" s="1"/>
  <c r="B6406" i="106"/>
  <c r="D6406" i="106" s="1"/>
  <c r="B6407" i="106"/>
  <c r="D6407" i="106"/>
  <c r="B6408" i="106"/>
  <c r="D6408" i="106"/>
  <c r="B6410" i="106"/>
  <c r="D6410" i="106" s="1"/>
  <c r="B6411" i="106"/>
  <c r="D6411" i="106" s="1"/>
  <c r="B6412" i="106"/>
  <c r="D6412" i="106"/>
  <c r="B6413"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c r="B6617" i="106"/>
  <c r="D6617" i="106" s="1"/>
  <c r="B6618" i="106"/>
  <c r="D6618" i="106" s="1"/>
  <c r="B6619" i="106"/>
  <c r="D6619" i="106"/>
  <c r="B6620" i="106"/>
  <c r="D6620" i="106"/>
  <c r="B6621" i="106"/>
  <c r="D6621" i="106" s="1"/>
  <c r="B6622" i="106"/>
  <c r="D6622" i="106" s="1"/>
  <c r="B6623" i="106"/>
  <c r="D6623" i="106"/>
  <c r="B6624" i="106"/>
  <c r="D6624" i="106"/>
  <c r="B6625" i="106"/>
  <c r="D6625" i="106" s="1"/>
  <c r="B6626" i="106"/>
  <c r="D6626" i="106" s="1"/>
  <c r="B6627" i="106"/>
  <c r="D6627" i="106"/>
  <c r="B6628" i="106"/>
  <c r="D6628" i="106"/>
  <c r="B6629" i="106"/>
  <c r="D6629" i="106" s="1"/>
  <c r="B6630" i="106"/>
  <c r="D6630" i="106" s="1"/>
  <c r="B6631" i="106"/>
  <c r="D6631" i="106"/>
  <c r="B6632" i="106"/>
  <c r="D6632" i="106"/>
  <c r="B6633" i="106"/>
  <c r="D6633" i="106" s="1"/>
  <c r="B6634" i="106"/>
  <c r="D6634" i="106" s="1"/>
  <c r="B6635" i="106"/>
  <c r="D6635" i="106"/>
  <c r="B6636" i="106"/>
  <c r="D6636" i="106"/>
  <c r="B6637" i="106"/>
  <c r="D6637" i="106" s="1"/>
  <c r="B6638" i="106"/>
  <c r="D6638" i="106" s="1"/>
  <c r="B6639" i="106"/>
  <c r="D6639" i="106"/>
  <c r="B6640" i="106"/>
  <c r="D6640" i="106"/>
  <c r="B6641" i="106"/>
  <c r="D6641" i="106" s="1"/>
  <c r="B6642" i="106"/>
  <c r="D6642" i="106" s="1"/>
  <c r="B6643" i="106"/>
  <c r="D6643" i="106"/>
  <c r="B6644" i="106"/>
  <c r="D6644" i="106"/>
  <c r="B6645" i="106"/>
  <c r="D6645" i="106" s="1"/>
  <c r="B6646" i="106"/>
  <c r="D6646" i="106" s="1"/>
  <c r="B6647" i="106"/>
  <c r="D6647" i="106"/>
  <c r="B6648" i="106"/>
  <c r="D6648" i="106"/>
  <c r="B6649" i="106"/>
  <c r="D6649" i="106" s="1"/>
  <c r="B6650" i="106"/>
  <c r="D6650" i="106" s="1"/>
  <c r="B6651" i="106"/>
  <c r="D6651" i="106"/>
  <c r="B6652" i="106"/>
  <c r="D6652" i="106"/>
  <c r="B6653" i="106"/>
  <c r="D6653" i="106" s="1"/>
  <c r="B6654" i="106"/>
  <c r="D6654" i="106" s="1"/>
  <c r="B6655" i="106"/>
  <c r="D6655" i="106"/>
  <c r="B6656" i="106"/>
  <c r="D6656" i="106"/>
  <c r="B6657" i="106"/>
  <c r="D6657" i="106" s="1"/>
  <c r="B6658" i="106"/>
  <c r="D6658" i="106" s="1"/>
  <c r="B6659" i="106"/>
  <c r="D6659" i="106"/>
  <c r="B6660" i="106"/>
  <c r="D6660" i="106"/>
  <c r="B6661" i="106"/>
  <c r="D6661" i="106" s="1"/>
  <c r="B6662" i="106"/>
  <c r="D6662" i="106" s="1"/>
  <c r="B6663" i="106"/>
  <c r="D6663" i="106"/>
  <c r="B6664" i="106"/>
  <c r="D6664" i="106"/>
  <c r="B6665" i="106"/>
  <c r="D6665" i="106" s="1"/>
  <c r="B6666" i="106"/>
  <c r="D6666" i="106" s="1"/>
  <c r="B6667" i="106"/>
  <c r="D6667" i="106"/>
  <c r="B6668" i="106"/>
  <c r="D6668" i="106"/>
  <c r="B6669" i="106"/>
  <c r="D6669" i="106" s="1"/>
  <c r="B6670" i="106"/>
  <c r="D6670" i="106" s="1"/>
  <c r="B6671" i="106"/>
  <c r="D6671" i="106"/>
  <c r="B6672" i="106"/>
  <c r="D6672" i="106"/>
  <c r="B6673" i="106"/>
  <c r="D6673" i="106" s="1"/>
  <c r="B6674" i="106"/>
  <c r="D6674" i="106" s="1"/>
  <c r="B6675" i="106"/>
  <c r="D6675" i="106"/>
  <c r="B6676" i="106"/>
  <c r="D6676" i="106"/>
  <c r="B6677" i="106"/>
  <c r="D6677" i="106" s="1"/>
  <c r="B6678" i="106"/>
  <c r="D6678" i="106" s="1"/>
  <c r="B6679" i="106"/>
  <c r="D6679" i="106"/>
  <c r="B6680" i="106"/>
  <c r="D6680" i="106"/>
  <c r="B6681" i="106"/>
  <c r="D6681" i="106" s="1"/>
  <c r="B6682" i="106"/>
  <c r="D6682" i="106" s="1"/>
  <c r="B6683" i="106"/>
  <c r="D6683" i="106"/>
  <c r="B6684" i="106"/>
  <c r="D6684" i="106"/>
  <c r="B6685" i="106"/>
  <c r="D6685" i="106" s="1"/>
  <c r="B6686" i="106"/>
  <c r="D6686" i="106" s="1"/>
  <c r="B6687" i="106"/>
  <c r="D6687" i="106"/>
  <c r="B6688" i="106"/>
  <c r="D6688" i="106"/>
  <c r="B6689" i="106"/>
  <c r="D6689" i="106" s="1"/>
  <c r="B6690" i="106"/>
  <c r="D6690" i="106" s="1"/>
  <c r="B6691" i="106"/>
  <c r="D6691" i="106"/>
  <c r="B6692" i="106"/>
  <c r="D6692" i="106"/>
  <c r="B6693" i="106"/>
  <c r="D6693" i="106" s="1"/>
  <c r="B6694" i="106"/>
  <c r="D6694" i="106" s="1"/>
  <c r="B6695" i="106"/>
  <c r="D6695" i="106"/>
  <c r="B6696" i="106"/>
  <c r="D6696" i="106"/>
  <c r="B6697" i="106"/>
  <c r="D6697" i="106" s="1"/>
  <c r="B6698" i="106"/>
  <c r="D6698" i="106" s="1"/>
  <c r="B6699" i="106"/>
  <c r="D6699" i="106"/>
  <c r="B6700" i="106"/>
  <c r="D6700" i="106"/>
  <c r="B6701" i="106"/>
  <c r="D6701" i="106" s="1"/>
  <c r="B6702" i="106"/>
  <c r="D6702" i="106" s="1"/>
  <c r="B6703" i="106"/>
  <c r="D6703" i="106"/>
  <c r="B6704" i="106"/>
  <c r="D6704" i="106"/>
  <c r="B6705" i="106"/>
  <c r="D6705" i="106" s="1"/>
  <c r="B6706" i="106"/>
  <c r="D6706" i="106" s="1"/>
  <c r="B6707" i="106"/>
  <c r="D6707" i="106"/>
  <c r="B6708" i="106"/>
  <c r="D6708" i="106"/>
  <c r="B6709" i="106"/>
  <c r="D6709" i="106" s="1"/>
  <c r="B6710" i="106"/>
  <c r="D6710" i="106" s="1"/>
  <c r="B6711" i="106"/>
  <c r="D6711" i="106"/>
  <c r="B6712" i="106"/>
  <c r="D6712" i="106"/>
  <c r="B6713" i="106"/>
  <c r="D6713" i="106" s="1"/>
  <c r="B6714" i="106"/>
  <c r="D6714" i="106" s="1"/>
  <c r="B6715" i="106"/>
  <c r="D6715" i="106"/>
  <c r="B6716" i="106"/>
  <c r="D6716" i="106"/>
  <c r="B6717" i="106"/>
  <c r="D6717" i="106" s="1"/>
  <c r="B6718" i="106"/>
  <c r="D6718" i="106" s="1"/>
  <c r="B6719" i="106"/>
  <c r="D6719" i="106"/>
  <c r="B6720" i="106"/>
  <c r="D6720" i="106"/>
  <c r="B6721" i="106"/>
  <c r="D6721" i="106" s="1"/>
  <c r="B6722" i="106"/>
  <c r="D6722" i="106" s="1"/>
  <c r="B6723" i="106"/>
  <c r="D6723" i="106"/>
  <c r="B6724" i="106"/>
  <c r="D6724" i="106"/>
  <c r="B6725" i="106"/>
  <c r="D6725" i="106" s="1"/>
  <c r="B6726" i="106"/>
  <c r="D6726" i="106" s="1"/>
  <c r="B6727" i="106"/>
  <c r="D6727" i="106" s="1"/>
  <c r="B6728" i="106"/>
  <c r="D6728" i="106" s="1"/>
  <c r="B6729" i="106"/>
  <c r="D6729" i="106"/>
  <c r="B6730" i="106"/>
  <c r="D6730" i="106"/>
  <c r="B6731" i="106"/>
  <c r="D6731" i="106"/>
  <c r="B6732" i="106"/>
  <c r="D6732" i="106" s="1"/>
  <c r="B6733" i="106"/>
  <c r="D6733" i="106"/>
  <c r="B6734" i="106"/>
  <c r="D6734" i="106"/>
  <c r="B6735" i="106"/>
  <c r="D6735" i="106"/>
  <c r="B6736" i="106"/>
  <c r="D6736" i="106" s="1"/>
  <c r="B6737" i="106"/>
  <c r="D6737" i="106"/>
  <c r="B6738" i="106"/>
  <c r="D6738" i="106"/>
  <c r="B6739" i="106"/>
  <c r="D6739" i="106"/>
  <c r="B6740" i="106"/>
  <c r="D6740" i="106" s="1"/>
  <c r="B6741" i="106"/>
  <c r="D6741" i="106"/>
  <c r="B6742" i="106"/>
  <c r="D6742" i="106"/>
  <c r="B6743" i="106"/>
  <c r="D6743" i="106"/>
  <c r="B6744" i="106"/>
  <c r="D6744" i="106" s="1"/>
  <c r="B6745" i="106"/>
  <c r="D6745" i="106"/>
  <c r="B6746" i="106"/>
  <c r="D6746" i="106"/>
  <c r="B6747" i="106"/>
  <c r="D6747" i="106"/>
  <c r="B6748" i="106"/>
  <c r="D6748" i="106" s="1"/>
  <c r="B6749" i="106"/>
  <c r="D6749" i="106"/>
  <c r="B6750" i="106"/>
  <c r="D6750" i="106"/>
  <c r="B6751" i="106"/>
  <c r="D6751" i="106"/>
  <c r="B6752" i="106"/>
  <c r="D6752" i="106" s="1"/>
  <c r="B6753" i="106"/>
  <c r="D6753" i="106"/>
  <c r="B6754" i="106"/>
  <c r="D6754" i="106"/>
  <c r="B6755" i="106"/>
  <c r="D6755" i="106"/>
  <c r="B6756" i="106"/>
  <c r="D6756" i="106" s="1"/>
  <c r="B6757" i="106"/>
  <c r="D6757" i="106"/>
  <c r="B6758" i="106"/>
  <c r="D6758" i="106"/>
  <c r="B6759" i="106"/>
  <c r="D6759" i="106"/>
  <c r="B6760" i="106"/>
  <c r="D6760" i="106" s="1"/>
  <c r="B6761" i="106"/>
  <c r="D6761" i="106"/>
  <c r="B6762" i="106"/>
  <c r="D6762" i="106"/>
  <c r="B6763" i="106"/>
  <c r="D6763" i="106"/>
  <c r="B6764" i="106"/>
  <c r="D6764" i="106" s="1"/>
  <c r="B6765" i="106"/>
  <c r="D6765" i="106"/>
  <c r="B6766" i="106"/>
  <c r="D6766" i="106"/>
  <c r="B6767" i="106"/>
  <c r="D6767" i="106"/>
  <c r="B6768" i="106"/>
  <c r="D6768" i="106" s="1"/>
  <c r="B6769" i="106"/>
  <c r="D6769" i="106"/>
  <c r="B6770" i="106"/>
  <c r="D6770" i="106"/>
  <c r="B6771" i="106"/>
  <c r="D6771" i="106"/>
  <c r="B6772" i="106"/>
  <c r="D6772" i="106" s="1"/>
  <c r="B6773" i="106"/>
  <c r="D6773" i="106"/>
  <c r="B6774" i="106"/>
  <c r="D6774" i="106"/>
  <c r="B6775" i="106"/>
  <c r="D6775" i="106"/>
  <c r="B6776" i="106"/>
  <c r="D6776" i="106" s="1"/>
  <c r="B6777" i="106"/>
  <c r="D6777" i="106"/>
  <c r="B6778" i="106"/>
  <c r="D6778" i="106"/>
  <c r="B6779" i="106"/>
  <c r="D6779" i="106"/>
  <c r="B6780" i="106"/>
  <c r="D6780" i="106" s="1"/>
  <c r="B6781" i="106"/>
  <c r="D6781" i="106"/>
  <c r="B6782" i="106"/>
  <c r="D6782" i="106"/>
  <c r="B6783" i="106"/>
  <c r="D6783" i="106"/>
  <c r="B6784" i="106"/>
  <c r="D6784" i="106" s="1"/>
  <c r="B6785" i="106"/>
  <c r="D6785" i="106"/>
  <c r="B6786" i="106"/>
  <c r="D6786" i="106"/>
  <c r="B6787" i="106"/>
  <c r="D6787" i="106"/>
  <c r="B6788" i="106"/>
  <c r="D6788" i="106" s="1"/>
  <c r="B6789" i="106"/>
  <c r="D6789" i="106"/>
  <c r="B6790" i="106"/>
  <c r="D6790" i="106"/>
  <c r="B6791" i="106"/>
  <c r="D6791" i="106"/>
  <c r="B6792" i="106"/>
  <c r="D6792" i="106" s="1"/>
  <c r="B6793" i="106"/>
  <c r="D6793" i="106"/>
  <c r="B6794" i="106"/>
  <c r="D6794" i="106"/>
  <c r="B6795" i="106"/>
  <c r="D6795" i="106"/>
  <c r="B6796" i="106"/>
  <c r="D6796" i="106" s="1"/>
  <c r="B6797" i="106"/>
  <c r="D6797" i="106"/>
  <c r="B6798" i="106"/>
  <c r="D6798" i="106"/>
  <c r="B6799" i="106"/>
  <c r="D6799" i="106"/>
  <c r="B6800" i="106"/>
  <c r="D6800" i="106" s="1"/>
  <c r="B6801" i="106"/>
  <c r="D6801" i="106"/>
  <c r="B6802" i="106"/>
  <c r="D6802" i="106"/>
  <c r="B6803" i="106"/>
  <c r="D6803" i="106"/>
  <c r="B6804" i="106"/>
  <c r="D6804" i="106" s="1"/>
  <c r="B6805" i="106"/>
  <c r="D6805" i="106"/>
  <c r="B6806" i="106"/>
  <c r="D6806" i="106"/>
  <c r="B6807" i="106"/>
  <c r="D6807" i="106"/>
  <c r="B6808" i="106"/>
  <c r="D6808" i="106" s="1"/>
  <c r="B6809" i="106"/>
  <c r="D6809" i="106"/>
  <c r="B6810" i="106"/>
  <c r="D6810" i="106"/>
  <c r="B6811" i="106"/>
  <c r="D6811" i="106"/>
  <c r="B6812" i="106"/>
  <c r="D6812" i="106" s="1"/>
  <c r="B6813" i="106"/>
  <c r="D6813" i="106"/>
  <c r="B6814" i="106"/>
  <c r="D6814" i="106"/>
  <c r="B6815" i="106"/>
  <c r="D6815" i="106"/>
  <c r="B6816" i="106"/>
  <c r="D6816" i="106" s="1"/>
  <c r="B6817" i="106"/>
  <c r="D6817" i="106"/>
  <c r="B6818" i="106"/>
  <c r="D6818" i="106"/>
  <c r="B6819" i="106"/>
  <c r="D6819" i="106"/>
  <c r="B6820" i="106"/>
  <c r="D6820" i="106" s="1"/>
  <c r="B6821" i="106"/>
  <c r="D6821" i="106"/>
  <c r="B6822" i="106"/>
  <c r="D6822" i="106"/>
  <c r="B6823" i="106"/>
  <c r="D6823" i="106"/>
  <c r="B6824" i="106"/>
  <c r="D6824" i="106" s="1"/>
  <c r="B6825" i="106"/>
  <c r="D6825" i="106"/>
  <c r="B6826" i="106"/>
  <c r="D6826" i="106"/>
  <c r="B6827" i="106"/>
  <c r="D6827" i="106"/>
  <c r="B6828" i="106"/>
  <c r="D6828" i="106" s="1"/>
  <c r="B6829" i="106"/>
  <c r="D6829" i="106"/>
  <c r="B6830" i="106"/>
  <c r="D6830" i="106"/>
  <c r="B6831" i="106"/>
  <c r="D6831" i="106"/>
  <c r="B6832" i="106"/>
  <c r="D6832" i="106" s="1"/>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5" i="106"/>
  <c r="D7035" i="106" s="1"/>
  <c r="B7036" i="106"/>
  <c r="D7036" i="106" s="1"/>
  <c r="I129" i="29"/>
  <c r="B7037" i="106" s="1"/>
  <c r="D7037" i="106" s="1"/>
  <c r="B7039" i="106"/>
  <c r="D7039" i="106" s="1"/>
  <c r="B7040" i="106"/>
  <c r="D7040" i="106" s="1"/>
  <c r="B7043" i="106"/>
  <c r="D7043" i="106"/>
  <c r="B7044" i="106"/>
  <c r="D7044" i="106"/>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D7734" i="106"/>
  <c r="B7735" i="106"/>
  <c r="D7735" i="106" s="1"/>
  <c r="B7736" i="106"/>
  <c r="D7736" i="106" s="1"/>
  <c r="B7737" i="106"/>
  <c r="D7737" i="106" s="1"/>
  <c r="B7738" i="106"/>
  <c r="D7738"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68" i="36"/>
  <c r="D69" i="36"/>
  <c r="D71" i="36"/>
  <c r="D72" i="36"/>
  <c r="D79" i="36"/>
  <c r="B64" i="127"/>
  <c r="B65" i="127"/>
  <c r="D27" i="108"/>
  <c r="E27" i="108"/>
  <c r="G27" i="108"/>
  <c r="F31" i="108"/>
  <c r="F36" i="108"/>
  <c r="G28" i="108"/>
  <c r="E30" i="108"/>
  <c r="G30" i="108"/>
  <c r="D31" i="108"/>
  <c r="D36" i="108"/>
  <c r="E31" i="108"/>
  <c r="G31" i="108"/>
  <c r="E33" i="108"/>
  <c r="G33" i="108"/>
  <c r="E34" i="108"/>
  <c r="G34" i="108"/>
  <c r="E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B5066" i="106"/>
  <c r="D5066" i="106" s="1"/>
  <c r="D12" i="5"/>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I18" i="5"/>
  <c r="B5923" i="106"/>
  <c r="D5923" i="106" s="1"/>
  <c r="J18" i="5"/>
  <c r="B6306" i="106"/>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c r="D5748" i="106" s="1"/>
  <c r="H121" i="5"/>
  <c r="B5893" i="106" s="1"/>
  <c r="D5893" i="106" s="1"/>
  <c r="J121" i="5"/>
  <c r="B6357" i="106" s="1"/>
  <c r="D6357" i="106" s="1"/>
  <c r="K121" i="5"/>
  <c r="C131" i="5"/>
  <c r="B5147" i="106" s="1"/>
  <c r="D5147" i="106" s="1"/>
  <c r="D131" i="5"/>
  <c r="B5369" i="106" s="1"/>
  <c r="D5369" i="106" s="1"/>
  <c r="C140" i="5"/>
  <c r="B5161" i="106" s="1"/>
  <c r="D5161" i="106" s="1"/>
  <c r="D140" i="5"/>
  <c r="B5383" i="106"/>
  <c r="D5383" i="106" s="1"/>
  <c r="G140" i="5"/>
  <c r="G172" i="5" s="1"/>
  <c r="G173" i="5" s="1"/>
  <c r="B5778" i="106" s="1"/>
  <c r="D5778" i="106" s="1"/>
  <c r="G144" i="5"/>
  <c r="B5756" i="106" s="1"/>
  <c r="D5756" i="106" s="1"/>
  <c r="G154" i="5"/>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s="1"/>
  <c r="D4951" i="106" s="1"/>
  <c r="C184" i="5"/>
  <c r="B5232" i="106" s="1"/>
  <c r="D5232" i="106" s="1"/>
  <c r="D184" i="5"/>
  <c r="B5425" i="106"/>
  <c r="D5425" i="106" s="1"/>
  <c r="F184" i="5"/>
  <c r="B5658" i="106"/>
  <c r="D5658" i="106" s="1"/>
  <c r="G184" i="5"/>
  <c r="B5784" i="106" s="1"/>
  <c r="D5784" i="106" s="1"/>
  <c r="H184" i="5"/>
  <c r="B5908" i="106"/>
  <c r="D5908" i="106" s="1"/>
  <c r="K184" i="5"/>
  <c r="B6016" i="106" s="1"/>
  <c r="D6016" i="106" s="1"/>
  <c r="B4395" i="106"/>
  <c r="D4395" i="106" s="1"/>
  <c r="D191" i="5"/>
  <c r="F128" i="34" s="1"/>
  <c r="F191" i="5"/>
  <c r="G191" i="5"/>
  <c r="G201" i="5"/>
  <c r="B6409" i="106" s="1"/>
  <c r="D6409" i="106" s="1"/>
  <c r="B5260" i="106"/>
  <c r="D5260" i="106" s="1"/>
  <c r="D211" i="5"/>
  <c r="B5444" i="106" s="1"/>
  <c r="D5444" i="106" s="1"/>
  <c r="F211" i="5"/>
  <c r="B5677" i="106" s="1"/>
  <c r="D5677" i="106" s="1"/>
  <c r="G211" i="5"/>
  <c r="B5803" i="106" s="1"/>
  <c r="D5803" i="106" s="1"/>
  <c r="D216" i="5"/>
  <c r="B4412" i="106" s="1"/>
  <c r="D4412" i="106" s="1"/>
  <c r="F216" i="5"/>
  <c r="B4413" i="106" s="1"/>
  <c r="D4413" i="106" s="1"/>
  <c r="G216" i="5"/>
  <c r="B4414" i="106"/>
  <c r="D4414" i="106" s="1"/>
  <c r="D224" i="5"/>
  <c r="B5470" i="106" s="1"/>
  <c r="D5470" i="106" s="1"/>
  <c r="F224" i="5"/>
  <c r="B5703" i="106" s="1"/>
  <c r="D5703" i="106" s="1"/>
  <c r="G224" i="5"/>
  <c r="B5829" i="106" s="1"/>
  <c r="D5829" i="106" s="1"/>
  <c r="B5304" i="106"/>
  <c r="D5304" i="106" s="1"/>
  <c r="D228" i="5"/>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I274" i="5"/>
  <c r="D5" i="4"/>
  <c r="B3406" i="106" s="1"/>
  <c r="D3406" i="106" s="1"/>
  <c r="C14" i="4"/>
  <c r="B2558" i="106" s="1"/>
  <c r="D2558" i="106" s="1"/>
  <c r="D14" i="4"/>
  <c r="B2570" i="106" s="1"/>
  <c r="D2570" i="106" s="1"/>
  <c r="F14" i="4"/>
  <c r="B2597" i="106" s="1"/>
  <c r="D2597" i="106" s="1"/>
  <c r="B2633" i="106"/>
  <c r="D2633" i="106" s="1"/>
  <c r="D7" i="118"/>
  <c r="D8" i="118"/>
  <c r="D9" i="118"/>
  <c r="H14" i="118"/>
  <c r="H19" i="118"/>
  <c r="H24" i="118"/>
  <c r="H28" i="118"/>
  <c r="H29" i="118"/>
  <c r="K28" i="118" s="1"/>
  <c r="O27" i="118" s="1"/>
  <c r="O29" i="118" s="1"/>
  <c r="D22" i="37"/>
  <c r="J22" i="37"/>
  <c r="L22" i="37"/>
  <c r="D24" i="37"/>
  <c r="B4270" i="106" s="1"/>
  <c r="D4270" i="106" s="1"/>
  <c r="L5" i="11"/>
  <c r="B2056" i="106" s="1"/>
  <c r="D2056" i="106" s="1"/>
  <c r="D4" i="7"/>
  <c r="B1760" i="106" s="1"/>
  <c r="D1760" i="106" s="1"/>
  <c r="D5" i="7"/>
  <c r="B1761" i="106" s="1"/>
  <c r="D1761" i="106" s="1"/>
  <c r="D13" i="7"/>
  <c r="B3726" i="106" s="1"/>
  <c r="D3726" i="106" s="1"/>
  <c r="B5770" i="106"/>
  <c r="D5770" i="106" s="1"/>
  <c r="F127" i="34"/>
  <c r="F111" i="34"/>
  <c r="B5847" i="106"/>
  <c r="D5847" i="106" s="1"/>
  <c r="B5752" i="106"/>
  <c r="D5752" i="106" s="1"/>
  <c r="B5599" i="106"/>
  <c r="D5599" i="106" s="1"/>
  <c r="K274" i="5"/>
  <c r="H173" i="5"/>
  <c r="B5906" i="106" s="1"/>
  <c r="D5906" i="106" s="1"/>
  <c r="D7" i="7"/>
  <c r="B1763" i="106" s="1"/>
  <c r="D1763" i="106" s="1"/>
  <c r="H6" i="4"/>
  <c r="B2656" i="106" s="1"/>
  <c r="D2656" i="106" s="1"/>
  <c r="B1746" i="106"/>
  <c r="D1746" i="106" s="1"/>
  <c r="D12" i="7"/>
  <c r="B1769" i="106" s="1"/>
  <c r="D1769" i="106" s="1"/>
  <c r="D11" i="7"/>
  <c r="B1768" i="106" s="1"/>
  <c r="D1768" i="106" s="1"/>
  <c r="D15" i="7"/>
  <c r="B1772" i="106" s="1"/>
  <c r="D1772" i="106" s="1"/>
  <c r="H44" i="4" l="1"/>
  <c r="B6289" i="106"/>
  <c r="D6289" i="106" s="1"/>
  <c r="B6191" i="106"/>
  <c r="D6191" i="106" s="1"/>
  <c r="J41" i="3"/>
  <c r="F106" i="34"/>
  <c r="F130" i="34"/>
  <c r="B4396" i="106"/>
  <c r="D4396" i="106" s="1"/>
  <c r="B5096" i="106"/>
  <c r="D5096" i="106" s="1"/>
  <c r="F94" i="34"/>
  <c r="J352" i="29"/>
  <c r="B7231" i="106"/>
  <c r="D7231" i="106" s="1"/>
  <c r="B3649" i="106"/>
  <c r="D3649" i="106" s="1"/>
  <c r="G367" i="29"/>
  <c r="B5488" i="106"/>
  <c r="D5488" i="106" s="1"/>
  <c r="F136" i="34"/>
  <c r="F131" i="34"/>
  <c r="B7034" i="106"/>
  <c r="D7034" i="106" s="1"/>
  <c r="J129" i="29"/>
  <c r="B7038" i="106" s="1"/>
  <c r="D7038" i="106" s="1"/>
  <c r="B1470" i="106"/>
  <c r="D1470" i="106" s="1"/>
  <c r="F70" i="34"/>
  <c r="B4102" i="106"/>
  <c r="D4102" i="106" s="1"/>
  <c r="D17" i="7"/>
  <c r="B4104" i="106" s="1"/>
  <c r="D4104" i="106" s="1"/>
  <c r="J274" i="5"/>
  <c r="B7054" i="106" s="1"/>
  <c r="D7054" i="106" s="1"/>
  <c r="B7041" i="106"/>
  <c r="D7041" i="106" s="1"/>
  <c r="B1995" i="106"/>
  <c r="D1995" i="106" s="1"/>
  <c r="I24" i="12"/>
  <c r="G5" i="4"/>
  <c r="B3409" i="106" s="1"/>
  <c r="D3409" i="106" s="1"/>
  <c r="D9" i="7"/>
  <c r="B1767" i="106" s="1"/>
  <c r="D1767" i="106" s="1"/>
  <c r="B5878" i="106"/>
  <c r="D5878" i="106" s="1"/>
  <c r="H109" i="5"/>
  <c r="B6025" i="106" s="1"/>
  <c r="D6025" i="106" s="1"/>
  <c r="B6006" i="106"/>
  <c r="D6006" i="106" s="1"/>
  <c r="K173" i="5"/>
  <c r="K6" i="4" s="1"/>
  <c r="B3570" i="106" s="1"/>
  <c r="D3570" i="106" s="1"/>
  <c r="F15" i="145"/>
  <c r="F19" i="145" s="1"/>
  <c r="E26" i="108"/>
  <c r="B1274" i="106"/>
  <c r="D1274" i="106" s="1"/>
  <c r="G26" i="108"/>
  <c r="I342" i="29"/>
  <c r="B7222" i="106" s="1"/>
  <c r="D7222" i="106" s="1"/>
  <c r="K350" i="29"/>
  <c r="E109" i="5"/>
  <c r="E4" i="4" s="1"/>
  <c r="B2630" i="106" s="1"/>
  <c r="D2630" i="106" s="1"/>
  <c r="C342" i="29"/>
  <c r="B7216" i="106" s="1"/>
  <c r="D7216" i="106" s="1"/>
  <c r="C352" i="29"/>
  <c r="F21" i="8"/>
  <c r="F172" i="5"/>
  <c r="B5644" i="106" s="1"/>
  <c r="D5644" i="106" s="1"/>
  <c r="L13" i="11"/>
  <c r="B2060" i="106" s="1"/>
  <c r="D2060" i="106" s="1"/>
  <c r="K285" i="29"/>
  <c r="L367" i="29"/>
  <c r="D11" i="37"/>
  <c r="D31" i="36"/>
  <c r="H33" i="118"/>
  <c r="L312" i="29"/>
  <c r="F37" i="108"/>
  <c r="D37" i="108"/>
  <c r="F26" i="108"/>
  <c r="B1126" i="106"/>
  <c r="D1126" i="106" s="1"/>
  <c r="D26" i="108"/>
  <c r="B2724" i="106"/>
  <c r="D2724" i="106" s="1"/>
  <c r="G35" i="108"/>
  <c r="F35" i="34"/>
  <c r="D54" i="36"/>
  <c r="N22" i="3"/>
  <c r="B283" i="106" s="1"/>
  <c r="D283" i="106" s="1"/>
  <c r="F19" i="7"/>
  <c r="B1807" i="106" s="1"/>
  <c r="D1807" i="106" s="1"/>
  <c r="C172" i="5"/>
  <c r="B5214" i="106" s="1"/>
  <c r="D5214" i="106" s="1"/>
  <c r="C109" i="5"/>
  <c r="B5121" i="106" s="1"/>
  <c r="D5121" i="106" s="1"/>
  <c r="H4" i="4"/>
  <c r="B2655" i="106" s="1"/>
  <c r="D2655" i="106" s="1"/>
  <c r="G14" i="4"/>
  <c r="B2609" i="106" s="1"/>
  <c r="D2609" i="106" s="1"/>
  <c r="B1410" i="106"/>
  <c r="D1410" i="106" s="1"/>
  <c r="G109" i="5"/>
  <c r="E29" i="108"/>
  <c r="G29" i="108"/>
  <c r="K184" i="29"/>
  <c r="F13" i="4" s="1"/>
  <c r="B2596" i="106" s="1"/>
  <c r="D2596" i="106" s="1"/>
  <c r="B1329" i="106"/>
  <c r="D1329" i="106" s="1"/>
  <c r="F61" i="34"/>
  <c r="C129" i="29"/>
  <c r="B1225" i="106" s="1"/>
  <c r="D1225" i="106" s="1"/>
  <c r="E28" i="108"/>
  <c r="F28" i="108"/>
  <c r="F41" i="108" s="1"/>
  <c r="G43" i="108" s="1"/>
  <c r="D109" i="5"/>
  <c r="D4" i="4" s="1"/>
  <c r="B2564" i="106" s="1"/>
  <c r="D2564" i="106" s="1"/>
  <c r="B5356" i="106"/>
  <c r="D5356" i="106" s="1"/>
  <c r="B5334" i="106"/>
  <c r="D533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L16" i="11" s="1"/>
  <c r="B2061" i="106" s="1"/>
  <c r="D206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L114" i="29" s="1"/>
  <c r="K33" i="29"/>
  <c r="B720" i="106"/>
  <c r="D720" i="106" s="1"/>
  <c r="B2031" i="106"/>
  <c r="D2031" i="106" s="1"/>
  <c r="B7618" i="106"/>
  <c r="L14" i="11"/>
  <c r="B7623" i="106" s="1"/>
  <c r="B7230" i="106"/>
  <c r="D7230" i="106" s="1"/>
  <c r="I352" i="29"/>
  <c r="I367" i="29"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B3447" i="106"/>
  <c r="D3447" i="106" s="1"/>
  <c r="B7270" i="106"/>
  <c r="D7250" i="106" l="1"/>
  <c r="G15" i="145"/>
  <c r="D7252" i="106"/>
  <c r="F274" i="5"/>
  <c r="F275" i="5"/>
  <c r="F73" i="34"/>
  <c r="G15" i="4"/>
  <c r="B6032" i="106" s="1"/>
  <c r="D6032" i="106" s="1"/>
  <c r="B3670" i="106"/>
  <c r="D3670" i="106" s="1"/>
  <c r="K352" i="29"/>
  <c r="D274" i="5"/>
  <c r="B1879" i="106"/>
  <c r="D1879" i="106" s="1"/>
  <c r="H22" i="37"/>
  <c r="K367" i="29"/>
  <c r="D7255" i="106"/>
  <c r="B7215" i="106"/>
  <c r="D7215" i="106" s="1"/>
  <c r="B6014" i="106"/>
  <c r="D6014" i="106" s="1"/>
  <c r="H367" i="29"/>
  <c r="B3660" i="106" s="1"/>
  <c r="D3660" i="106" s="1"/>
  <c r="B1996" i="106"/>
  <c r="D1996" i="106" s="1"/>
  <c r="I26" i="12"/>
  <c r="B7741" i="106" s="1"/>
  <c r="D7741" i="106" s="1"/>
  <c r="J367" i="29"/>
  <c r="B7245" i="106" s="1"/>
  <c r="D7245" i="106" s="1"/>
  <c r="B7235" i="106"/>
  <c r="D7235" i="106" s="1"/>
  <c r="B3621" i="106"/>
  <c r="D3621" i="106" s="1"/>
  <c r="C367" i="29"/>
  <c r="B3622" i="106" s="1"/>
  <c r="D3622" i="106" s="1"/>
  <c r="C114" i="29"/>
  <c r="B757" i="106" s="1"/>
  <c r="D757" i="106" s="1"/>
  <c r="C173" i="5"/>
  <c r="B5223" i="106" s="1"/>
  <c r="D5223" i="106" s="1"/>
  <c r="C4" i="4"/>
  <c r="B2551" i="106" s="1"/>
  <c r="D2551" i="106" s="1"/>
  <c r="D19" i="7"/>
  <c r="B1775" i="106" s="1"/>
  <c r="D1775" i="106" s="1"/>
  <c r="B6024" i="106"/>
  <c r="D6024" i="106" s="1"/>
  <c r="G4" i="4"/>
  <c r="B2603" i="106" s="1"/>
  <c r="D2603" i="106" s="1"/>
  <c r="B1381" i="106"/>
  <c r="D138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2658" i="106"/>
  <c r="D2658" i="106" s="1"/>
  <c r="H10" i="4"/>
  <c r="B4127" i="106" s="1"/>
  <c r="D4127" i="106" s="1"/>
  <c r="D7" i="4"/>
  <c r="B5507" i="106"/>
  <c r="D5507" i="106" s="1"/>
  <c r="B7298" i="106"/>
  <c r="B7299" i="106"/>
  <c r="J8" i="4" l="1"/>
  <c r="K13" i="4"/>
  <c r="B3572" i="106" s="1"/>
  <c r="D3572" i="106" s="1"/>
  <c r="B3672" i="106"/>
  <c r="D3672" i="106" s="1"/>
  <c r="C6" i="4"/>
  <c r="B2553" i="106" s="1"/>
  <c r="D2553" i="106" s="1"/>
  <c r="G41" i="108"/>
  <c r="G44" i="108" s="1"/>
  <c r="G45" i="108" s="1"/>
  <c r="E41" i="108"/>
  <c r="E44" i="108" s="1"/>
  <c r="E45" i="108" s="1"/>
  <c r="F8" i="4"/>
  <c r="B2595" i="106" s="1"/>
  <c r="D259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8" i="4" l="1"/>
  <c r="D10" i="171"/>
  <c r="D19" i="171" s="1"/>
  <c r="D32" i="171" s="1"/>
  <c r="D49" i="171" s="1"/>
  <c r="F10" i="4"/>
  <c r="B4125" i="106" s="1"/>
  <c r="D4125" i="106" s="1"/>
  <c r="D8" i="146"/>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<sst xmlns="http://schemas.openxmlformats.org/spreadsheetml/2006/main" count="5068" uniqueCount="2123">
  <si>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</si>
  <si>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</si>
  <si>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</si>
  <si>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</si>
  <si>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</si>
  <si>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</si>
  <si>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</si>
  <si>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</si>
  <si>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</si>
  <si>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</si>
  <si>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</si>
  <si>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</si>
  <si>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</si>
  <si>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</si>
  <si>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</si>
  <si>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</si>
  <si>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</si>
  <si>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</si>
  <si>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</si>
  <si>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</si>
  <si>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</si>
  <si>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</si>
  <si>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</si>
  <si>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</si>
  <si>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</si>
  <si>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</si>
  <si>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</si>
  <si>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</si>
  <si>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</si>
  <si>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</si>
  <si>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</si>
  <si>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</si>
  <si>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</si>
  <si>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</si>
  <si>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</si>
  <si>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</si>
  <si>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</si>
  <si>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</si>
  <si>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</si>
  <si>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</si>
  <si>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</si>
  <si>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</si>
  <si>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</si>
  <si>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</si>
  <si>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</si>
  <si>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</si>
  <si>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</si>
  <si>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</si>
  <si>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</si>
  <si>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</si>
  <si>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</si>
  <si>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</si>
  <si>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</si>
  <si>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</si>
  <si>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</si>
  <si>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</si>
  <si>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</si>
  <si>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</si>
  <si>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</si>
  <si>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</si>
  <si>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</si>
  <si>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</si>
  <si>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</si>
  <si>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</si>
  <si>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</si>
  <si>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</si>
  <si>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</si>
  <si>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</si>
  <si>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</si>
  <si>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</si>
  <si>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</si>
  <si>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</si>
  <si>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</si>
  <si>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</si>
  <si>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</si>
  <si>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</si>
  <si>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</si>
  <si>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</si>
  <si>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</si>
  <si>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</si>
  <si>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</si>
  <si>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</si>
  <si>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</si>
  <si>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</si>
  <si>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</si>
  <si>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</si>
  <si>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</si>
  <si>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</si>
  <si>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</si>
  <si>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</si>
  <si>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</si>
  <si>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</si>
  <si>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</si>
  <si>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</si>
  <si>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</si>
  <si>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</si>
  <si>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</si>
  <si>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</si>
  <si>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</si>
  <si>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</si>
  <si>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</si>
  <si>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</si>
  <si>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</si>
  <si>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</si>
  <si>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</si>
  <si>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</si>
  <si>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</si>
  <si>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</si>
  <si>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</si>
  <si>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</si>
  <si>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</si>
  <si>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</si>
  <si>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</si>
  <si>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</si>
  <si>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</si>
  <si>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</si>
  <si>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</si>
  <si>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</si>
  <si>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</si>
  <si>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</si>
  <si>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</si>
  <si>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</si>
  <si>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</si>
  <si>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</si>
  <si>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</si>
  <si>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</si>
  <si>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</si>
  <si>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</si>
  <si>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</si>
  <si>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</si>
  <si>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</si>
  <si>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</si>
  <si>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</si>
  <si>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</si>
  <si>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</si>
  <si>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</si>
  <si>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</si>
  <si>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</si>
  <si>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</si>
  <si>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</si>
  <si>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</si>
  <si>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</si>
  <si>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</si>
  <si>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</si>
  <si>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</si>
  <si>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</si>
  <si>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</si>
  <si>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</si>
  <si>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</si>
  <si>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</si>
  <si>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</si>
  <si>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</si>
  <si>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</si>
  <si>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</si>
  <si>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</si>
  <si>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</si>
  <si>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</si>
  <si>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</si>
  <si>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</si>
  <si>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</si>
  <si>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</si>
  <si>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</si>
  <si>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</si>
  <si>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</si>
  <si>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</si>
  <si>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</si>
  <si>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</si>
  <si>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</si>
  <si>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</si>
  <si>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</si>
  <si>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</si>
  <si>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</si>
  <si>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</si>
  <si>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</si>
  <si>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</si>
  <si>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</si>
  <si>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</si>
  <si>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</si>
  <si>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</si>
  <si>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</si>
  <si>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</si>
  <si>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</si>
  <si>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</si>
  <si>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</si>
  <si>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</si>
  <si>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</si>
  <si>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</si>
  <si>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</si>
  <si>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</si>
  <si>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</si>
  <si>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</si>
  <si>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</si>
  <si>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</si>
  <si>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</si>
  <si>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</si>
  <si>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</si>
  <si>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</si>
  <si>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</si>
  <si>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</si>
  <si>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</si>
  <si>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</si>
  <si>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</si>
  <si>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</si>
  <si>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</si>
  <si>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</si>
  <si>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</si>
  <si>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</si>
  <si>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</si>
  <si>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</si>
  <si>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</si>
  <si>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</si>
  <si>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</si>
  <si>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</si>
  <si>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</si>
  <si>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</si>
  <si>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</si>
  <si>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</si>
  <si>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</si>
  <si>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</si>
  <si>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</si>
  <si>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</si>
  <si>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</si>
  <si>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</si>
  <si>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</si>
  <si>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</si>
  <si>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</si>
  <si>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</si>
  <si>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</si>
  <si>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</si>
  <si>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</si>
  <si>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</si>
  <si>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</si>
  <si>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</si>
  <si>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</si>
  <si>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</si>
  <si>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</si>
  <si>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</si>
  <si>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</si>
  <si>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</si>
  <si>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</si>
  <si>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</si>
  <si>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</si>
  <si>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</si>
  <si>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</si>
  <si>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</si>
  <si>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</si>
  <si>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</si>
  <si>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</si>
  <si>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</si>
  <si>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</si>
  <si>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</si>
  <si>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</si>
  <si>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</si>
  <si>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</si>
  <si>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</si>
  <si>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</si>
  <si>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</si>
  <si>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</si>
  <si>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</si>
  <si>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</si>
  <si>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</si>
  <si>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</si>
  <si>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</si>
  <si>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</si>
  <si>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</si>
  <si>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</si>
  <si>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</si>
  <si>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</si>
  <si>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</si>
  <si>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</si>
  <si>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</si>
  <si>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</si>
  <si>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</si>
  <si>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</si>
  <si>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</si>
  <si>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</si>
  <si>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</si>
  <si>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</si>
  <si>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</si>
  <si>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</si>
  <si>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</si>
  <si>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</si>
  <si>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</si>
  <si>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</si>
  <si>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</si>
  <si>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</si>
  <si>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</si>
  <si>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</si>
  <si>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</si>
  <si>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</si>
  <si>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</si>
  <si>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</si>
  <si>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</si>
  <si>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</si>
  <si>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</si>
  <si>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</si>
  <si>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</si>
  <si>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</si>
  <si>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</si>
  <si>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</si>
  <si>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</si>
  <si>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</si>
  <si>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</si>
  <si>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</si>
  <si>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</si>
  <si>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</si>
  <si>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</si>
  <si>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</si>
  <si>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</si>
  <si>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</si>
  <si>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</si>
  <si>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</si>
  <si>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</si>
  <si>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</si>
  <si>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</si>
  <si>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</si>
  <si>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</si>
  <si>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</si>
  <si>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</si>
  <si>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</si>
  <si>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</si>
  <si>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</si>
  <si>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</si>
  <si>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</si>
  <si>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</si>
  <si>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</si>
  <si>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</si>
  <si>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</si>
  <si>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</si>
  <si>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</si>
  <si>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</si>
  <si>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</si>
  <si>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</si>
  <si>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</si>
  <si>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</si>
  <si>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</si>
  <si>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</si>
  <si>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</si>
  <si>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</si>
  <si>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</si>
  <si>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</si>
  <si>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</si>
  <si>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</si>
  <si>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</si>
  <si>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</si>
  <si>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</si>
  <si>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</si>
  <si>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</si>
  <si>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</si>
  <si>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</si>
  <si>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</si>
  <si>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</si>
  <si>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</si>
  <si>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</si>
  <si>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</si>
  <si>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</si>
  <si>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</si>
  <si>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</si>
  <si>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</si>
  <si>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</si>
  <si>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</si>
  <si>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</si>
  <si>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</si>
  <si>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</si>
  <si>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</si>
  <si>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</si>
  <si>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</si>
  <si>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</si>
  <si>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</si>
  <si>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</si>
  <si>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</si>
  <si>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</si>
  <si>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</si>
  <si>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</si>
  <si>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</si>
  <si>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</si>
  <si>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</si>
  <si>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</si>
  <si>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</si>
  <si>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</si>
  <si>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</si>
  <si>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</si>
  <si>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</si>
  <si>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</si>
  <si>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</si>
  <si>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</si>
  <si>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</si>
  <si>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</si>
  <si>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</si>
  <si>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</si>
  <si>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</si>
  <si>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</si>
  <si>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</si>
  <si>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</si>
  <si>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</si>
  <si>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</si>
  <si>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</si>
  <si>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</si>
  <si>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</si>
  <si>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</si>
  <si>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</si>
  <si>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</si>
  <si>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</si>
  <si>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</si>
  <si>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</si>
  <si>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</si>
  <si>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</si>
  <si>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</si>
  <si>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</si>
  <si>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</si>
  <si>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</si>
  <si>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</si>
  <si>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</si>
  <si>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</si>
  <si>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</si>
  <si>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</si>
  <si>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</si>
  <si>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</si>
  <si>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</si>
  <si>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</si>
  <si>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</si>
  <si>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</si>
  <si>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</si>
  <si>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</si>
  <si>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</si>
  <si>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</si>
  <si>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</si>
  <si>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</si>
  <si>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</si>
  <si>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</si>
  <si>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</si>
  <si>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</si>
  <si>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</si>
  <si>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</si>
  <si>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</si>
  <si>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</si>
  <si>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</si>
  <si>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</si>
  <si>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</si>
  <si>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</si>
  <si>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</si>
  <si>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</si>
  <si>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</si>
  <si>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</si>
  <si>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</si>
  <si>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</si>
  <si>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</si>
  <si>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</si>
  <si>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</si>
  <si>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</si>
  <si>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</si>
  <si>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</si>
  <si>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</si>
  <si>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</si>
  <si>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</si>
  <si>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</si>
  <si>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</si>
  <si>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</si>
  <si>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</si>
  <si>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</si>
  <si>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</si>
  <si>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</si>
  <si>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</si>
  <si>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</si>
  <si>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</si>
  <si>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</si>
  <si>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</si>
  <si>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</si>
  <si>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</si>
  <si>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</si>
  <si>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</si>
  <si>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</si>
  <si>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</si>
  <si>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</si>
  <si>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</si>
  <si>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</si>
  <si>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</si>
  <si>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</si>
  <si>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</si>
  <si>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</si>
  <si>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</si>
  <si>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</si>
  <si>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</si>
  <si>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</si>
  <si>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</si>
  <si>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</si>
  <si>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</si>
  <si>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</si>
  <si>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</si>
  <si>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</si>
  <si>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</si>
  <si>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</si>
  <si>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</si>
  <si>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</si>
  <si>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</si>
  <si>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</si>
  <si>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</si>
  <si>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</si>
  <si>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</si>
  <si>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</si>
  <si>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</si>
  <si>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</si>
  <si>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</si>
  <si>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</si>
  <si>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</si>
  <si>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</si>
  <si>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</si>
  <si>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</si>
  <si>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</si>
  <si>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</si>
  <si>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</si>
  <si>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</si>
  <si>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</si>
  <si>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</si>
  <si>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</si>
  <si>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</si>
  <si>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</si>
  <si>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</si>
  <si>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</si>
  <si>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</si>
  <si>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</si>
  <si>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</si>
  <si>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</si>
  <si>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</si>
  <si>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</si>
  <si>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</si>
  <si>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</si>
  <si>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</si>
  <si>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</si>
  <si>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</si>
  <si>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</si>
  <si>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</si>
  <si>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</si>
  <si>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</si>
  <si>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</si>
  <si>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</si>
  <si>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</si>
  <si>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</si>
  <si>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</si>
  <si>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</si>
  <si>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</si>
  <si>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</si>
  <si>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</si>
  <si>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</si>
  <si>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</si>
  <si>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</si>
  <si>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</si>
  <si>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</si>
  <si>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</si>
  <si>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</si>
  <si>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</si>
  <si>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</si>
  <si>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</si>
  <si>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</si>
  <si>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</si>
  <si>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</si>
  <si>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</si>
  <si>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</si>
  <si>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</si>
  <si>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</si>
  <si>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</si>
  <si>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</si>
  <si>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</si>
  <si>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</si>
  <si>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</si>
  <si>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</si>
  <si>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</si>
  <si>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</si>
  <si>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</si>
  <si>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</si>
  <si>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</si>
  <si>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</si>
  <si>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</si>
  <si>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</si>
  <si>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</si>
  <si>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</si>
  <si>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</si>
  <si>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</si>
  <si>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</si>
  <si>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</si>
  <si>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</si>
  <si>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</si>
  <si>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</si>
  <si>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</si>
  <si>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</si>
  <si>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</si>
  <si>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</si>
  <si>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</si>
  <si>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</si>
  <si>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</si>
  <si>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</si>
  <si>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</si>
  <si>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</si>
  <si>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</si>
  <si>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</si>
  <si>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</si>
  <si>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</si>
  <si>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</si>
  <si>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</si>
  <si>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</si>
  <si>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</si>
  <si>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</si>
  <si>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</si>
  <si>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</si>
  <si>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</si>
  <si>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</si>
  <si>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</si>
  <si>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</si>
  <si>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</si>
  <si>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</si>
  <si>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</si>
  <si>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</si>
  <si>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</si>
  <si>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</si>
  <si>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</si>
  <si>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</si>
  <si>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</si>
  <si>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</si>
  <si>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</si>
  <si>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</si>
  <si>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</si>
  <si>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</si>
  <si>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</si>
  <si>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</si>
  <si>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</si>
  <si>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</si>
  <si>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</si>
  <si>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</si>
  <si>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</si>
  <si>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</si>
  <si>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</si>
  <si>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</si>
  <si>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</si>
  <si>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</si>
  <si>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</si>
  <si>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</si>
  <si>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</si>
  <si>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</si>
  <si>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</si>
  <si>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</si>
  <si>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</si>
  <si>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</si>
  <si>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</si>
  <si>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</si>
  <si>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</si>
  <si>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</si>
  <si>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</si>
  <si>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</si>
  <si>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</si>
  <si>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</si>
  <si>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</si>
  <si>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</si>
  <si>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</si>
  <si>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</si>
  <si>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</si>
  <si>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</si>
  <si>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</si>
  <si>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</si>
  <si>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</si>
  <si>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</si>
  <si>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</si>
  <si>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</si>
  <si>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</si>
  <si>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</si>
  <si>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</si>
  <si>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</si>
  <si>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</si>
  <si>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</si>
  <si>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</si>
  <si>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</si>
  <si>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</si>
  <si>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</si>
  <si>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</si>
  <si>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</si>
  <si>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</si>
  <si>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</si>
  <si>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</si>
  <si>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</si>
  <si>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</si>
  <si>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</si>
  <si>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</si>
  <si>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</si>
  <si>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</si>
  <si>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</si>
  <si>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</si>
  <si>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</si>
  <si>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</si>
  <si>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</si>
  <si>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</si>
  <si>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</si>
  <si>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</si>
  <si>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</si>
  <si>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</si>
  <si>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</si>
  <si>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</si>
  <si>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</si>
  <si>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</si>
  <si>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</si>
  <si>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</si>
  <si>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</si>
  <si>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</si>
  <si>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</si>
  <si>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</si>
  <si>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</si>
  <si>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</si>
  <si>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</si>
  <si>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</si>
  <si>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</si>
  <si>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</si>
  <si>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</si>
  <si>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</si>
  <si>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</si>
  <si>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</si>
  <si>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</si>
  <si>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</si>
  <si>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</si>
  <si>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</si>
  <si>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</si>
  <si>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</si>
  <si>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</si>
  <si>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</si>
  <si>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</si>
  <si>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</si>
  <si>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</si>
  <si>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</si>
  <si>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</si>
  <si>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</si>
  <si>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</si>
  <si>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</si>
  <si>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</si>
  <si>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</si>
  <si>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</si>
  <si>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</si>
  <si>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</si>
  <si>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</si>
  <si>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</si>
  <si>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</si>
  <si>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</si>
  <si>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</si>
  <si>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</si>
  <si>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</si>
  <si>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</si>
  <si>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</si>
  <si>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</si>
  <si>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</si>
  <si>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</si>
  <si>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</si>
  <si>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</si>
  <si>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</si>
  <si>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</si>
  <si>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</si>
  <si>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</si>
  <si>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</si>
  <si>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</si>
  <si>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</si>
  <si>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</si>
  <si>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</si>
  <si>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</si>
  <si>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</si>
  <si>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</si>
  <si>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</si>
  <si>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</si>
  <si>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</si>
  <si>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</si>
  <si>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</si>
  <si>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</si>
  <si>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</si>
  <si>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</si>
  <si>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</si>
  <si>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</si>
  <si>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</si>
  <si>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</si>
  <si>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</si>
  <si>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</si>
  <si>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</si>
  <si>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</si>
  <si>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</si>
  <si>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</si>
  <si>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</si>
  <si>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</si>
  <si>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</si>
  <si>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</si>
  <si>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</si>
  <si>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</si>
  <si>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</si>
  <si>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</si>
  <si>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</si>
  <si>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</si>
  <si>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</si>
  <si>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</si>
  <si>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</si>
  <si>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</si>
  <si>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</si>
  <si>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</si>
  <si>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</si>
  <si>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</si>
  <si>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</si>
  <si>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</si>
  <si>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</si>
  <si>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</si>
  <si>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</si>
  <si>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</si>
  <si>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</si>
  <si>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</si>
  <si>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</si>
  <si>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</si>
  <si>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</si>
  <si>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</si>
  <si>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</si>
  <si>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</si>
  <si>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</si>
  <si>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</si>
  <si>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</si>
  <si>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</si>
  <si>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</si>
  <si>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</si>
  <si>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</si>
  <si>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</si>
  <si>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</si>
  <si>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</si>
  <si>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</si>
  <si>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</si>
  <si>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</si>
  <si>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</si>
  <si>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</si>
  <si>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</si>
  <si>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</si>
  <si>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</si>
  <si>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</si>
  <si>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</si>
  <si>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</si>
  <si>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</si>
  <si>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</si>
  <si>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</si>
  <si>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</si>
  <si>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</si>
  <si>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</si>
  <si>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</si>
  <si>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</si>
  <si>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</si>
  <si>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</si>
  <si>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</si>
  <si>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</si>
  <si>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</si>
  <si>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</si>
  <si>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</si>
  <si>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</si>
  <si>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</si>
  <si>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</si>
  <si>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</si>
  <si>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</si>
  <si>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</si>
  <si>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</si>
  <si>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</si>
  <si>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</si>
  <si>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</si>
  <si>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</si>
  <si>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</si>
  <si>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</si>
  <si>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</si>
  <si>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</si>
  <si>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</si>
  <si>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</si>
  <si>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</si>
  <si>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</si>
  <si>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</si>
  <si>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</si>
  <si>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</si>
  <si>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</si>
  <si>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</si>
  <si>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</si>
  <si>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</si>
  <si>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</si>
  <si>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</si>
  <si>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</si>
  <si>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</si>
  <si>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</si>
  <si>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</si>
  <si>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</si>
  <si>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</si>
  <si>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</si>
  <si>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</si>
  <si>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</si>
  <si>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</si>
  <si>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</si>
  <si>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</si>
  <si>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</si>
  <si>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</si>
  <si>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</si>
  <si>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</si>
  <si>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</si>
  <si>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</si>
  <si>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</si>
  <si>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</si>
  <si>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</si>
  <si>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</si>
  <si>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</si>
  <si>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</si>
  <si>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</si>
  <si>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</si>
  <si>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</si>
  <si>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</si>
  <si>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</si>
  <si>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</si>
  <si>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</si>
  <si>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</si>
  <si>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</si>
  <si>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</si>
  <si>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</si>
  <si>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</si>
  <si>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</si>
  <si>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</si>
  <si>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</si>
  <si>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</si>
  <si>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</si>
  <si>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</si>
  <si>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</si>
  <si>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</si>
  <si>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</si>
  <si>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</si>
  <si>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</si>
  <si>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</si>
  <si>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</si>
  <si>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</si>
  <si>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</si>
  <si>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</si>
  <si>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</si>
  <si>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</si>
  <si>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</si>
  <si>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</si>
  <si>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</si>
  <si>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</si>
  <si>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</si>
  <si>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</si>
  <si>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</si>
  <si>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</si>
  <si>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</si>
  <si>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</si>
  <si>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</si>
  <si>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</si>
  <si>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</si>
  <si>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</si>
  <si>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</si>
  <si>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</si>
  <si>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</si>
  <si>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</si>
  <si>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</si>
  <si>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</si>
  <si>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</si>
  <si>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</si>
  <si>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</si>
  <si>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</si>
  <si>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</si>
  <si>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</si>
  <si>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</si>
  <si>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</si>
  <si>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</si>
  <si>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</si>
  <si>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</si>
  <si>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</si>
  <si>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</si>
  <si>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</si>
  <si>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</si>
  <si>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</si>
  <si>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</si>
  <si>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</si>
  <si>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</si>
  <si>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</si>
  <si>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</si>
  <si>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</si>
  <si>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</si>
  <si>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</si>
  <si>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</si>
  <si>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</si>
  <si>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</si>
  <si>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</si>
  <si>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</si>
  <si>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</si>
  <si>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</si>
  <si>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</si>
  <si>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</si>
  <si>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</si>
  <si>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</si>
  <si>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</si>
  <si>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</si>
  <si>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</si>
  <si>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</si>
  <si>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</si>
  <si>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</si>
  <si>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</si>
  <si>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</si>
  <si>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</si>
  <si>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</si>
  <si>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</si>
  <si>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</si>
  <si>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</si>
  <si>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</si>
  <si>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</si>
  <si>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</si>
  <si>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</si>
  <si>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</si>
  <si>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</si>
  <si>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</si>
  <si>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</si>
  <si>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</si>
  <si>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</si>
  <si>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</si>
  <si>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</si>
  <si>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</si>
  <si>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</si>
  <si>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</si>
  <si>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</si>
  <si>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</si>
  <si>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</si>
  <si>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</si>
  <si>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</si>
  <si>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</si>
  <si>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</si>
  <si>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</si>
  <si>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</si>
  <si>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</si>
  <si>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</si>
  <si>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</si>
  <si>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</si>
  <si>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</si>
  <si>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</si>
  <si>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</si>
  <si>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</si>
  <si>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</si>
  <si>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</si>
  <si>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</si>
  <si>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</si>
  <si>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</si>
  <si>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</si>
  <si>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</si>
  <si>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</si>
  <si>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</si>
  <si>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</si>
  <si>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</si>
  <si>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</si>
  <si>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</si>
  <si>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</si>
  <si>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</si>
  <si>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</si>
  <si>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</si>
  <si>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</si>
  <si>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</si>
  <si>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</si>
  <si>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</si>
  <si>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</si>
  <si>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</si>
  <si>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</si>
  <si>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</si>
  <si>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</si>
  <si>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</si>
  <si>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</si>
  <si>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</si>
  <si>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</si>
  <si>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</si>
  <si>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</si>
  <si>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</si>
  <si>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</si>
  <si>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</si>
  <si>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</si>
  <si>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</si>
  <si>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</si>
  <si>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</si>
  <si>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</si>
  <si>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</si>
  <si>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</si>
  <si>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</si>
  <si>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</si>
  <si>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</si>
  <si>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</si>
  <si>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</si>
  <si>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</si>
  <si>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</si>
  <si>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</si>
  <si>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</si>
  <si>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</si>
  <si>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</si>
  <si>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</si>
  <si>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</si>
  <si>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</si>
  <si>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</si>
  <si>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</si>
  <si>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</si>
  <si>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</si>
  <si>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</si>
  <si>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</si>
  <si>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</si>
  <si>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</si>
  <si>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</si>
  <si>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</si>
  <si>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</si>
  <si>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</si>
  <si>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</si>
  <si>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</si>
  <si>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</si>
  <si>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</si>
  <si>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</si>
  <si>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</si>
  <si>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</si>
  <si>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</si>
  <si>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</si>
  <si>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</si>
  <si>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</si>
  <si>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</si>
  <si>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</si>
  <si>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</si>
  <si>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</si>
  <si>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</si>
  <si>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</si>
  <si>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</si>
  <si>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</si>
  <si>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</si>
  <si>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</si>
  <si>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</si>
  <si>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</si>
  <si>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</si>
  <si>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</si>
  <si>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</si>
  <si>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</si>
  <si>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</si>
  <si>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</si>
  <si>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</si>
  <si>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</si>
  <si>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</si>
  <si>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</si>
  <si>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</si>
  <si>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</si>
  <si>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</si>
  <si>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</si>
  <si>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</si>
  <si>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</si>
  <si>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</si>
  <si>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</si>
  <si>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</si>
  <si>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</si>
  <si>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</si>
  <si>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</si>
  <si>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</si>
  <si>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</si>
  <si>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</si>
  <si>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</si>
  <si>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</si>
  <si>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</si>
  <si>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</si>
  <si>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</si>
  <si>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</si>
  <si>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</si>
  <si>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</si>
  <si>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</si>
  <si>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</si>
  <si>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</si>
  <si>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</si>
  <si>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</si>
  <si>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</si>
  <si>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</si>
  <si>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</si>
  <si>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</si>
  <si>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</si>
  <si>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</si>
  <si>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</si>
  <si>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</si>
  <si>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</si>
  <si>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</si>
  <si>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</si>
  <si>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</si>
  <si>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</si>
  <si>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</si>
  <si>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</si>
  <si>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</si>
  <si>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</si>
  <si>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</si>
  <si>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</si>
  <si>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</si>
  <si>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</si>
  <si>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</si>
  <si>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</si>
  <si>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</si>
  <si>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</si>
  <si>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</si>
  <si>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</si>
  <si>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</si>
  <si>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</si>
  <si>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</si>
  <si>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</si>
  <si>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</si>
  <si>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</si>
  <si>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</si>
  <si>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</si>
  <si>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</si>
  <si>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</si>
  <si>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</si>
  <si>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</si>
  <si>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</si>
  <si>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</si>
  <si>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</si>
  <si>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</si>
  <si>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</si>
  <si>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</si>
  <si>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</si>
  <si>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</si>
  <si>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</si>
  <si>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</si>
  <si>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</si>
  <si>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</si>
  <si>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</si>
  <si>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</si>
  <si>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</si>
  <si>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</si>
  <si>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</si>
  <si>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</si>
  <si>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</si>
  <si>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</si>
  <si>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</si>
  <si>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</si>
  <si>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</si>
  <si>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</si>
  <si>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</si>
  <si>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</si>
  <si>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</si>
  <si>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</si>
  <si>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</si>
  <si>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</si>
  <si>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</si>
  <si>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</si>
  <si>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</si>
  <si>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</si>
  <si>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</si>
  <si>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</si>
  <si>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</si>
  <si>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</si>
  <si>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</si>
  <si>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</si>
  <si>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</si>
  <si>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</si>
  <si>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</si>
  <si>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</si>
  <si>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</si>
  <si>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</si>
  <si>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</si>
  <si>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</si>
  <si>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</si>
  <si>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</si>
  <si>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</si>
  <si>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</si>
  <si>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</si>
  <si>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</si>
  <si>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</si>
  <si>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</si>
  <si>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</si>
  <si>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</si>
  <si>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</si>
  <si>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</si>
  <si>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</si>
  <si>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</si>
  <si>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</si>
  <si>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</si>
  <si>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</si>
  <si>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</si>
  <si>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</si>
  <si>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</si>
  <si>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</si>
  <si>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</si>
  <si>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</si>
  <si>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</si>
  <si>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</si>
  <si>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</si>
  <si>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</si>
  <si>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</si>
  <si>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</si>
  <si>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</si>
  <si>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</si>
  <si>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</si>
  <si>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</si>
  <si>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</si>
  <si>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</si>
  <si>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</si>
  <si>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</si>
  <si>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</si>
  <si>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</si>
  <si>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</si>
  <si>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</si>
  <si>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</si>
  <si>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</si>
  <si>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</si>
  <si>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</si>
  <si>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</si>
  <si>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</si>
  <si>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</si>
  <si>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</si>
  <si>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</si>
  <si>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</si>
  <si>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</si>
  <si>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</si>
  <si>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</si>
  <si>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</si>
  <si>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</si>
  <si>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</si>
  <si>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</si>
  <si>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</si>
  <si>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</si>
  <si>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</si>
  <si>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</si>
  <si>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</si>
  <si>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</si>
  <si>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</si>
  <si>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</si>
  <si>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</si>
  <si>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</si>
  <si>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</si>
  <si>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</si>
  <si>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</si>
  <si>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</si>
  <si>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</si>
  <si>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</si>
  <si>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</si>
  <si>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</si>
  <si>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</si>
  <si>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</si>
  <si>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</si>
  <si>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</si>
  <si>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</si>
  <si>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</si>
  <si>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</si>
  <si>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</si>
  <si>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</si>
  <si>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</si>
  <si>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</si>
  <si>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</si>
  <si>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</si>
  <si>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</si>
  <si>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</si>
  <si>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</si>
  <si>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</si>
  <si>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</si>
  <si>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</si>
  <si>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</si>
  <si>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</si>
  <si>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</si>
  <si>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</si>
  <si>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</si>
  <si>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</si>
  <si>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</si>
  <si>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</si>
  <si>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</si>
  <si>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</si>
  <si>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</si>
  <si>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</si>
  <si>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</si>
  <si>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</si>
  <si>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</si>
  <si>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</si>
  <si>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</si>
  <si>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</si>
  <si>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</si>
  <si>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</si>
  <si>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</si>
  <si>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</si>
  <si>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</si>
  <si>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</si>
  <si>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</si>
  <si>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</si>
  <si>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</si>
  <si>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</si>
  <si>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</si>
  <si>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</si>
  <si>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</si>
  <si>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</si>
  <si>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</si>
  <si>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</si>
  <si>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</si>
  <si>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</si>
  <si>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</si>
  <si>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</si>
  <si>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</si>
  <si>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</si>
  <si>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</si>
  <si>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</si>
  <si>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</si>
  <si>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</si>
  <si>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</si>
  <si>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</si>
  <si>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</si>
  <si>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</si>
  <si>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</si>
  <si>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</si>
  <si>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</si>
  <si>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</si>
  <si>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</si>
  <si>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</si>
  <si>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</si>
  <si>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</si>
  <si>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</si>
  <si>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</si>
  <si>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</si>
  <si>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</si>
  <si>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</si>
  <si>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</si>
  <si>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</si>
  <si>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</si>
  <si>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</si>
  <si>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</si>
  <si>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</si>
  <si>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</si>
  <si>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</si>
  <si>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</si>
  <si>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</si>
  <si>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</si>
  <si>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</si>
  <si>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</si>
  <si>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</si>
  <si>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</si>
  <si>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</si>
  <si>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</si>
  <si>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</si>
  <si>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</si>
  <si>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</si>
  <si>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</si>
  <si>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</si>
  <si>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</si>
  <si>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</si>
  <si>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</si>
  <si>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</si>
  <si>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</si>
  <si>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</si>
  <si>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</si>
  <si>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</si>
  <si>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</si>
  <si>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</si>
  <si>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</si>
  <si>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</si>
  <si>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</si>
  <si>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</si>
  <si>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</si>
  <si>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</si>
  <si>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</si>
  <si>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</si>
  <si>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</si>
  <si>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</si>
  <si>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</si>
  <si>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</si>
  <si>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</si>
  <si>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</si>
  <si>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</si>
  <si>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</si>
  <si>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</si>
  <si>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</si>
  <si>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</si>
  <si>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</si>
  <si>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</si>
  <si>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</si>
  <si>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</si>
  <si>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</si>
  <si>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</si>
  <si>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</si>
  <si>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</si>
  <si>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</si>
  <si>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</si>
  <si>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</si>
  <si>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</si>
  <si>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</si>
  <si>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</si>
  <si>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</si>
  <si>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</si>
  <si>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</si>
  <si>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</si>
  <si>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</si>
  <si>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</si>
  <si>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</si>
  <si>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</si>
  <si>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</si>
  <si>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</si>
  <si>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</si>
  <si>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</si>
  <si>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</si>
  <si>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</si>
  <si>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</si>
  <si>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</si>
  <si>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</si>
  <si>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</si>
  <si>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</si>
  <si>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</si>
  <si>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</si>
  <si>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</si>
  <si>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</si>
  <si>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</si>
  <si>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</si>
  <si>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</si>
  <si>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</si>
  <si>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</si>
  <si>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</si>
  <si>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</si>
  <si>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</si>
  <si>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</si>
  <si>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</si>
  <si>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</si>
  <si>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</si>
  <si>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</si>
  <si>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</si>
  <si>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</si>
  <si>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</si>
  <si>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</si>
  <si>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</si>
  <si>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</si>
  <si>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</si>
  <si>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</si>
  <si>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</si>
  <si>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</si>
  <si>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</si>
  <si>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</si>
  <si>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</si>
  <si>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</si>
  <si>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</si>
  <si>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</si>
  <si>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</si>
  <si>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</si>
  <si>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</si>
  <si>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</si>
  <si>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</si>
  <si>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</si>
  <si>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</si>
  <si>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</si>
  <si>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</si>
  <si>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</si>
  <si>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</si>
  <si>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</si>
  <si>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</si>
  <si>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</si>
  <si>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</si>
  <si>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</si>
  <si>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</si>
  <si>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</si>
  <si>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</si>
  <si>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</si>
  <si>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</si>
  <si>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</si>
  <si>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</si>
  <si>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</si>
  <si>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</si>
  <si>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</si>
  <si>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</si>
  <si>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</si>
  <si>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</si>
  <si>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</si>
  <si>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</si>
  <si>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</si>
  <si>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</si>
  <si>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</si>
  <si>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</si>
  <si>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</si>
  <si>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</si>
  <si>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</si>
  <si>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</si>
  <si>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</si>
  <si>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</si>
  <si>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</si>
  <si>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</si>
  <si>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</si>
  <si>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</si>
  <si>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</si>
  <si>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</si>
  <si>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</si>
  <si>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</si>
  <si>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</si>
  <si>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</si>
  <si>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</si>
  <si>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</si>
  <si>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</si>
  <si>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</si>
  <si>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</si>
  <si>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</si>
  <si>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</si>
  <si>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</si>
  <si>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</si>
  <si>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</si>
  <si>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</si>
  <si>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</si>
  <si>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</si>
  <si>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</si>
  <si>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</si>
  <si>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</si>
  <si>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</si>
  <si>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</si>
  <si>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</si>
  <si>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</si>
  <si>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</si>
  <si>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</si>
  <si>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</si>
  <si>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</si>
  <si>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</si>
  <si>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</si>
  <si>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</si>
  <si>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</si>
  <si>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</si>
  <si>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</si>
  <si>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</si>
  <si>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</si>
  <si>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</si>
  <si>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</si>
  <si>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</si>
  <si>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</si>
  <si>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</si>
  <si>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</si>
  <si>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</si>
  <si>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</si>
  <si>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</si>
  <si>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</si>
  <si>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</si>
  <si>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</si>
  <si>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</si>
  <si>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</si>
  <si>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</si>
  <si>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</si>
  <si>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</si>
  <si>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</si>
  <si>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</si>
  <si>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</si>
  <si>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</si>
  <si>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</si>
  <si>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</si>
  <si>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</si>
  <si>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</si>
  <si>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</si>
  <si>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</si>
  <si>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</si>
  <si>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</si>
  <si>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</si>
  <si>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</si>
  <si>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</si>
  <si>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</si>
  <si>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</si>
  <si>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</si>
  <si>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</si>
  <si>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</si>
  <si>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</si>
  <si>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</si>
  <si>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</si>
  <si>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</si>
  <si>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</si>
  <si>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</si>
  <si>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</si>
  <si>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</si>
  <si>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</si>
  <si>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</si>
  <si>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</si>
  <si>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</si>
  <si>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</si>
  <si>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</si>
  <si>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</si>
  <si>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</si>
  <si>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</si>
  <si>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</si>
  <si>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</si>
  <si>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</si>
  <si>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</si>
  <si>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</si>
  <si>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</si>
  <si>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</si>
  <si>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</si>
  <si>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</si>
  <si>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</si>
  <si>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</si>
  <si>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</si>
  <si>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</si>
  <si>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</si>
  <si>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</si>
  <si>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</si>
  <si>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</si>
  <si>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</si>
  <si>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</si>
  <si>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</si>
  <si>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</si>
  <si>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</si>
  <si>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</si>
  <si>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</si>
  <si>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</si>
  <si>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</si>
  <si>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</si>
  <si>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</si>
  <si>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</si>
  <si>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</si>
  <si>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</si>
  <si>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</si>
  <si>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</si>
  <si>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</si>
  <si>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</si>
  <si>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</si>
  <si>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</si>
  <si>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</si>
  <si>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</si>
  <si>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</si>
  <si>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</si>
  <si>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</si>
  <si>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</si>
  <si>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</si>
  <si>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</si>
  <si>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</si>
  <si>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</si>
  <si>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</si>
  <si>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</si>
  <si>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</si>
  <si>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</si>
  <si>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</si>
  <si>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</si>
  <si>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</si>
  <si>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</si>
  <si>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</si>
  <si>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</si>
  <si>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</si>
  <si>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</si>
  <si>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</si>
  <si>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</si>
  <si>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</si>
  <si>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</si>
  <si>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</si>
  <si>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</si>
  <si>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</si>
  <si>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</si>
  <si>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</si>
  <si>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</si>
  <si>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</si>
  <si>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</si>
  <si>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</si>
  <si>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</si>
  <si>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</si>
  <si>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</si>
  <si>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</si>
  <si>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</si>
  <si>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</si>
  <si>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</si>
  <si>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</si>
  <si>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</si>
  <si>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</si>
  <si>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</si>
  <si>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</si>
  <si>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</si>
  <si>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</si>
  <si>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</si>
  <si>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</si>
  <si>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</si>
  <si>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</si>
  <si>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</si>
  <si>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</si>
  <si>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</si>
  <si>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</si>
  <si>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</si>
  <si>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</si>
  <si>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</si>
  <si>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</si>
  <si>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</si>
  <si>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</si>
  <si>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</si>
  <si>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</si>
  <si>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</si>
  <si>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</si>
  <si>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</si>
  <si>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</si>
  <si>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</si>
  <si>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</si>
  <si>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</si>
  <si>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</si>
  <si>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</si>
  <si>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</si>
  <si>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</si>
  <si>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</si>
  <si>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</si>
  <si>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</si>
  <si>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</si>
  <si>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</si>
  <si>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</si>
  <si>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</si>
  <si>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</si>
  <si>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</si>
  <si>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</si>
  <si>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</si>
  <si>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</si>
  <si>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</si>
  <si>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</si>
  <si>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</si>
  <si>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</si>
  <si>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</si>
  <si>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</si>
  <si>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</si>
  <si>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</si>
  <si>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</si>
  <si>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</si>
  <si>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</si>
  <si>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</si>
  <si>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</si>
  <si>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</si>
  <si>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</si>
  <si>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</si>
  <si>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</si>
  <si>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</si>
  <si>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</si>
  <si>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</si>
  <si>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</si>
  <si>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</si>
  <si>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</si>
  <si>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</si>
  <si>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</si>
  <si>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</si>
  <si>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</si>
  <si>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</si>
  <si>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</si>
  <si>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</si>
  <si>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</si>
  <si>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</si>
  <si>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</si>
  <si>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</si>
  <si>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</si>
  <si>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</si>
  <si>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</si>
  <si>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</si>
  <si>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</si>
  <si>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</si>
  <si>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</si>
  <si>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</si>
  <si>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</si>
  <si>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</si>
  <si>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</si>
  <si>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</si>
  <si>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</si>
  <si>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</si>
  <si>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</si>
  <si>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</si>
  <si>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</si>
  <si>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</si>
  <si>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</si>
  <si>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</si>
  <si>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</si>
  <si>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</si>
  <si>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</si>
  <si>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</si>
  <si>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</si>
  <si>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</si>
  <si>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</si>
  <si>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</si>
  <si>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</si>
  <si>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</si>
  <si>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</si>
  <si>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</si>
  <si>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</si>
  <si>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</si>
  <si>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</si>
  <si>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</si>
  <si>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</si>
  <si>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</si>
  <si>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</si>
  <si>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</si>
  <si>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</si>
  <si>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</si>
  <si>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</si>
  <si>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</si>
  <si>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</si>
  <si>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</si>
  <si>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</si>
  <si>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</si>
  <si>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</si>
  <si>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</si>
  <si>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</si>
  <si>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</si>
  <si>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</si>
  <si>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</si>
  <si>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</si>
  <si>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</si>
  <si>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</si>
  <si>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</si>
  <si>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</si>
  <si>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</si>
  <si>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</si>
  <si>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</si>
  <si>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</si>
  <si>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</si>
  <si>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</si>
  <si>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</si>
  <si>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</si>
  <si>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</si>
  <si>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</si>
  <si>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</si>
  <si>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</si>
  <si>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</si>
  <si>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</si>
  <si>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</si>
  <si>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</si>
  <si>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</si>
  <si>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</si>
  <si>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</si>
  <si>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</si>
  <si>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</si>
  <si>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</si>
  <si>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</si>
  <si>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</si>
  <si>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</si>
  <si>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</si>
  <si>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</si>
  <si>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</si>
  <si>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</si>
  <si>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</si>
  <si>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</si>
  <si>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</si>
  <si>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</si>
  <si>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</si>
  <si>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</si>
  <si>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</si>
  <si>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</si>
  <si>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</si>
  <si>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</si>
  <si>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</si>
  <si>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</si>
  <si>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</si>
  <si>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</si>
  <si>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</si>
  <si>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</si>
  <si>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</si>
  <si>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</si>
  <si>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</si>
  <si>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</si>
  <si>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</si>
  <si>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</si>
  <si>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</si>
  <si>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</si>
  <si>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</si>
  <si>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</si>
  <si>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</si>
  <si>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</si>
  <si>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</si>
  <si>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</si>
  <si>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</si>
  <si>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</si>
  <si>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</si>
  <si>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</si>
  <si>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</si>
  <si>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</si>
  <si>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</si>
  <si>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</si>
  <si>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</si>
  <si>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</si>
  <si>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</si>
  <si>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</si>
  <si>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</si>
  <si>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</si>
  <si>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</si>
  <si>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</si>
  <si>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</si>
  <si>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</si>
  <si>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</si>
  <si>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</si>
  <si>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</si>
  <si>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</si>
  <si>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</si>
  <si>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</si>
  <si>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</si>
  <si>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</si>
  <si>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</si>
  <si>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</si>
  <si>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</si>
  <si>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</si>
  <si>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</si>
  <si>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</si>
  <si>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</si>
  <si>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</si>
  <si>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</si>
  <si>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</si>
  <si>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</si>
  <si>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</si>
  <si>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</si>
  <si>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</si>
  <si>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</si>
  <si>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</si>
  <si>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</si>
  <si>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</si>
  <si>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</si>
  <si>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</si>
  <si>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</si>
  <si>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</si>
  <si>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</si>
  <si>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</si>
  <si>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</si>
  <si>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</si>
  <si>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</si>
  <si>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</si>
  <si>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</si>
  <si>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</si>
  <si>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</si>
  <si>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</si>
  <si>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</si>
  <si>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</si>
  <si>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</si>
  <si>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</si>
  <si>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</si>
  <si>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</si>
  <si>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</si>
  <si>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</si>
  <si>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</si>
  <si>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</si>
  <si>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</si>
  <si>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</si>
  <si>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</si>
  <si>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</si>
  <si>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</si>
  <si>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</si>
  <si>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</si>
  <si>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</si>
  <si>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</si>
  <si>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</si>
  <si>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</si>
  <si>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</si>
  <si>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</si>
  <si>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</si>
  <si>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</si>
  <si>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</si>
  <si>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</si>
  <si>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</si>
  <si>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</si>
  <si>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</si>
  <si>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</si>
  <si>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</si>
  <si>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</si>
  <si>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</si>
  <si>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</si>
  <si>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</si>
  <si>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</si>
  <si>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</si>
  <si>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</si>
  <si>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</si>
  <si>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</si>
  <si>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</si>
  <si>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</si>
  <si>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</si>
  <si>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</si>
  <si>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</si>
  <si>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</si>
  <si>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</si>
  <si>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</si>
  <si>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</si>
  <si>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</si>
  <si>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</si>
  <si>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</si>
  <si>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</si>
  <si>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</si>
  <si>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</si>
  <si>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</si>
  <si>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</si>
  <si>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</si>
  <si>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</si>
  <si>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</si>
  <si>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</si>
  <si>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</si>
  <si>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</si>
  <si>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</si>
  <si>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</si>
  <si>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</si>
  <si>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</si>
  <si>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</si>
  <si>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</si>
  <si>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</si>
  <si>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</si>
  <si>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</si>
  <si>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</si>
  <si>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</si>
  <si>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</si>
  <si>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</si>
  <si>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</si>
  <si>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</si>
  <si>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</si>
  <si>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</si>
  <si>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</si>
  <si>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</si>
  <si>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</si>
  <si>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</si>
  <si>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</si>
  <si>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</si>
  <si>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</si>
  <si>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</si>
  <si>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34-049-0700-02</t>
  </si>
  <si>
    <t>LAKE</t>
  </si>
  <si>
    <t>LIBERTYVILLE SCHOOL DISTRICT NO. 70</t>
  </si>
  <si>
    <t>1441 LAKE STREET</t>
  </si>
  <si>
    <t xml:space="preserve">LIBERTYVILLE </t>
  </si>
  <si>
    <t>EVOY, KAMSCHULTE, JACOBS &amp; CO., LLP</t>
  </si>
  <si>
    <t>KEVIN KINNAVY</t>
  </si>
  <si>
    <t>2122 YEOMAN STREET</t>
  </si>
  <si>
    <t>WAUKEGAN</t>
  </si>
  <si>
    <t>IL</t>
  </si>
  <si>
    <t>847-662-8300</t>
  </si>
  <si>
    <t>847-662-8305</t>
  </si>
  <si>
    <t>066-033289</t>
  </si>
  <si>
    <t>kkinnavy@ekjllp.com</t>
  </si>
  <si>
    <t>x</t>
  </si>
  <si>
    <t>NORTHERN ILLINOIS HEALTH INSURANCE POOL</t>
  </si>
  <si>
    <t>COLLECTIVE LIABILITY INSURANCE POOL</t>
  </si>
  <si>
    <t>ISDLAF</t>
  </si>
  <si>
    <t>SPECIAL EDUCATION DISTRICT OF LAKE COUNTY</t>
  </si>
  <si>
    <t>CAPITAL LEASES</t>
  </si>
  <si>
    <t>EDUC-CURRICULUM-PROFESSIONAL SERVICES</t>
  </si>
  <si>
    <t>12-2210-310</t>
  </si>
  <si>
    <t>ROSETTA STONE</t>
  </si>
  <si>
    <t>EDUC- INSTRUCTION-OTHER</t>
  </si>
  <si>
    <t>CONNECTIONS ACADEMY</t>
  </si>
  <si>
    <t>TRANS-TRANSPORTATION-OTHER</t>
  </si>
  <si>
    <t>TRANS-TRANSPORTATION-TRANS SERVS</t>
  </si>
  <si>
    <t>OM-OPERS/MAINT-PROFESSIONAL SERVICES</t>
  </si>
  <si>
    <t>EDUC-FOOD SERVICE-PROFESSIONAL SERVICE</t>
  </si>
  <si>
    <t>CITICARE TRANSPORTATION</t>
  </si>
  <si>
    <t>THE COVE SCHOOL</t>
  </si>
  <si>
    <t>WINSTON KNOLLS GROUP</t>
  </si>
  <si>
    <t>SAFE HAVEN SCHOOL</t>
  </si>
  <si>
    <t>GRAVES DESIGN GROUP</t>
  </si>
  <si>
    <t>OCONOMOWOC DEV TRAINING CNT</t>
  </si>
  <si>
    <t>CHARTWELLS</t>
  </si>
  <si>
    <t>LAKESIDE TRANSPORTATION</t>
  </si>
  <si>
    <t>40-2550-300</t>
  </si>
  <si>
    <t>10-2560-300</t>
  </si>
  <si>
    <t>20-2540-300</t>
  </si>
  <si>
    <t>HEARING ITINERANT TEACHER, SCHOOL BUSINESS OFFICIAL</t>
  </si>
  <si>
    <t>Ed Fund Other Local Revenue - Shared Services = 190,960 Refunds = 31,795</t>
  </si>
  <si>
    <t>Oper Fund Other Local Revenue - Lake Cty Circuit Crt = 2500 Refunds = 3,470</t>
  </si>
  <si>
    <t>Ed Fund Other Restricted  Revenue State Sources = Library Grant</t>
  </si>
  <si>
    <t>Evoy, Kamschulte, Jacobs &amp; Co. LLP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</si>
</sst>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733425</xdr:colOff>
          <xdr:row>3</xdr:row>
          <xdr:rowOff>28575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7" zoomScale="110" zoomScaleNormal="110" workbookViewId="0">
      <selection activeCell="A24" sqref="A2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2077</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2077</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t="s">
        <v>2078</v>
      </c>
      <c r="B13" s="2037"/>
      <c r="C13" s="2037"/>
      <c r="D13" s="2037"/>
      <c r="E13" s="2037"/>
      <c r="F13" s="2037"/>
      <c r="G13" s="2037"/>
      <c r="H13" s="2038"/>
      <c r="I13" s="31"/>
      <c r="J13" s="30"/>
      <c r="K13" s="28"/>
      <c r="L13" s="30"/>
      <c r="M13" s="30"/>
      <c r="N13" s="30"/>
      <c r="O13" s="30"/>
      <c r="P13" s="30"/>
      <c r="Q13" s="30"/>
      <c r="R13" s="30"/>
      <c r="S13" s="30"/>
      <c r="T13" s="2041" t="s">
        <v>2083</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2079</v>
      </c>
      <c r="B15" s="2039"/>
      <c r="C15" s="2039"/>
      <c r="D15" s="2039"/>
      <c r="E15" s="2039"/>
      <c r="F15" s="2039"/>
      <c r="G15" s="2039"/>
      <c r="H15" s="2040"/>
      <c r="T15" s="2045" t="s">
        <v>2084</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2080</v>
      </c>
      <c r="B17" s="1996"/>
      <c r="C17" s="1996"/>
      <c r="D17" s="1996"/>
      <c r="E17" s="1996"/>
      <c r="F17" s="1996"/>
      <c r="G17" s="1996"/>
      <c r="H17" s="2021"/>
      <c r="T17" s="2052" t="s">
        <v>2085</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2081</v>
      </c>
      <c r="B19" s="1981"/>
      <c r="C19" s="1981"/>
      <c r="D19" s="1981"/>
      <c r="E19" s="1981"/>
      <c r="F19" s="1981"/>
      <c r="G19" s="1981"/>
      <c r="H19" s="1961"/>
      <c r="I19" s="30"/>
      <c r="J19" s="99"/>
      <c r="K19" s="40"/>
      <c r="L19" s="38"/>
      <c r="M19" s="112" t="s">
        <v>333</v>
      </c>
      <c r="P19" s="27"/>
      <c r="Q19" s="27"/>
      <c r="R19" s="27"/>
      <c r="S19" s="31"/>
      <c r="T19" s="2035" t="s">
        <v>2086</v>
      </c>
      <c r="U19" s="1960"/>
      <c r="V19" s="1960"/>
      <c r="W19" s="1961"/>
      <c r="X19" s="2050" t="s">
        <v>2087</v>
      </c>
      <c r="Y19" s="2051"/>
      <c r="Z19" s="2048">
        <v>60087</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2082</v>
      </c>
      <c r="B21" s="1960"/>
      <c r="C21" s="1960"/>
      <c r="D21" s="1960"/>
      <c r="E21" s="1960"/>
      <c r="F21" s="1960"/>
      <c r="G21" s="1960"/>
      <c r="H21" s="1961"/>
      <c r="I21" s="2015" t="s">
        <v>699</v>
      </c>
      <c r="J21" s="2010"/>
      <c r="K21" s="2010"/>
      <c r="L21" s="2010"/>
      <c r="M21" s="2010"/>
      <c r="N21" s="2010"/>
      <c r="O21" s="2010"/>
      <c r="P21" s="2010"/>
      <c r="Q21" s="2010"/>
      <c r="R21" s="2010"/>
      <c r="S21" s="2016"/>
      <c r="T21" s="2059" t="s">
        <v>2088</v>
      </c>
      <c r="U21" s="2060"/>
      <c r="V21" s="2060"/>
      <c r="W21" s="2060"/>
      <c r="X21" s="2065" t="s">
        <v>2089</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c r="B23" s="2013"/>
      <c r="C23" s="2013"/>
      <c r="D23" s="2013"/>
      <c r="E23" s="2013"/>
      <c r="F23" s="2013"/>
      <c r="G23" s="2013"/>
      <c r="H23" s="2014"/>
      <c r="T23" s="1995" t="s">
        <v>2090</v>
      </c>
      <c r="U23" s="2058"/>
      <c r="V23" s="2058"/>
      <c r="W23" s="2058"/>
      <c r="X23" s="2062">
        <v>43434</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60048</v>
      </c>
      <c r="B25" s="1960"/>
      <c r="C25" s="1960"/>
      <c r="D25" s="1960"/>
      <c r="E25" s="1960"/>
      <c r="F25" s="1960"/>
      <c r="G25" s="1960"/>
      <c r="H25" s="1961"/>
      <c r="I25" s="113"/>
      <c r="J25" s="1984"/>
      <c r="K25" s="1984"/>
      <c r="L25" s="1984"/>
      <c r="M25" s="1984"/>
      <c r="N25" s="1984"/>
      <c r="O25" s="1984"/>
      <c r="P25" s="1984"/>
      <c r="Q25" s="1984"/>
      <c r="R25" s="1984"/>
      <c r="S25" s="1985"/>
      <c r="T25" s="2055" t="s">
        <v>2091</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c r="B42" s="1979"/>
      <c r="C42" s="1980"/>
      <c r="D42" s="1978"/>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24903957</v>
      </c>
      <c r="C4" s="1546">
        <v>13675402</v>
      </c>
      <c r="D4" s="1774">
        <f>B4-C4</f>
        <v>11228555</v>
      </c>
      <c r="E4" s="1546">
        <v>23846885</v>
      </c>
      <c r="F4" s="1774">
        <f>E4-C4</f>
        <v>10171483</v>
      </c>
    </row>
    <row r="5" spans="1:6" ht="13.7" customHeight="1" x14ac:dyDescent="0.2">
      <c r="A5" s="716" t="s">
        <v>925</v>
      </c>
      <c r="B5" s="1772">
        <f>'Revenues 9-14'!D5</f>
        <v>4404273</v>
      </c>
      <c r="C5" s="585">
        <v>2413194</v>
      </c>
      <c r="D5" s="1775">
        <f t="shared" ref="D5:D18" si="0">B5-C5</f>
        <v>1991079</v>
      </c>
      <c r="E5" s="585">
        <v>4208079</v>
      </c>
      <c r="F5" s="1775">
        <f>E5-C5</f>
        <v>1794885</v>
      </c>
    </row>
    <row r="6" spans="1:6" ht="13.7" customHeight="1" x14ac:dyDescent="0.2">
      <c r="A6" s="716" t="s">
        <v>431</v>
      </c>
      <c r="B6" s="1772">
        <f>'Revenues 9-14'!E5</f>
        <v>848413</v>
      </c>
      <c r="C6" s="585">
        <v>44910</v>
      </c>
      <c r="D6" s="1775">
        <f t="shared" si="0"/>
        <v>803503</v>
      </c>
      <c r="E6" s="585">
        <v>782801</v>
      </c>
      <c r="F6" s="1775">
        <f t="shared" ref="F6:F18" si="1">E6-C6</f>
        <v>737891</v>
      </c>
    </row>
    <row r="7" spans="1:6" ht="13.7" customHeight="1" x14ac:dyDescent="0.2">
      <c r="A7" s="716" t="s">
        <v>157</v>
      </c>
      <c r="B7" s="1772">
        <f>'Revenues 9-14'!F5</f>
        <v>991859</v>
      </c>
      <c r="C7" s="585">
        <v>555074</v>
      </c>
      <c r="D7" s="1775">
        <f t="shared" si="0"/>
        <v>436785</v>
      </c>
      <c r="E7" s="585">
        <v>967927</v>
      </c>
      <c r="F7" s="1775">
        <f t="shared" si="1"/>
        <v>412853</v>
      </c>
    </row>
    <row r="8" spans="1:6" ht="13.7" customHeight="1" x14ac:dyDescent="0.2">
      <c r="A8" s="716" t="s">
        <v>1241</v>
      </c>
      <c r="B8" s="1772">
        <f>'Revenues 9-14'!G5</f>
        <v>235843</v>
      </c>
      <c r="C8" s="585">
        <v>143372</v>
      </c>
      <c r="D8" s="1775">
        <f t="shared" si="0"/>
        <v>92471</v>
      </c>
      <c r="E8" s="585">
        <v>250009</v>
      </c>
      <c r="F8" s="1775">
        <f t="shared" si="1"/>
        <v>106637</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106144</v>
      </c>
      <c r="C10" s="585">
        <v>57353</v>
      </c>
      <c r="D10" s="1775">
        <f t="shared" si="0"/>
        <v>48791</v>
      </c>
      <c r="E10" s="585">
        <v>100010</v>
      </c>
      <c r="F10" s="1775">
        <f t="shared" si="1"/>
        <v>42657</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81245</v>
      </c>
      <c r="C14" s="585">
        <v>57353</v>
      </c>
      <c r="D14" s="1775">
        <f t="shared" si="0"/>
        <v>23892</v>
      </c>
      <c r="E14" s="585">
        <v>77164</v>
      </c>
      <c r="F14" s="1775">
        <f t="shared" si="1"/>
        <v>19811</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235843</v>
      </c>
      <c r="C16" s="585">
        <v>143372</v>
      </c>
      <c r="D16" s="1775">
        <f t="shared" si="0"/>
        <v>92471</v>
      </c>
      <c r="E16" s="585">
        <v>250009</v>
      </c>
      <c r="F16" s="1775">
        <f t="shared" si="1"/>
        <v>106637</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31807577</v>
      </c>
      <c r="C19" s="1773">
        <f>SUM(C4:C18)</f>
        <v>17090030</v>
      </c>
      <c r="D19" s="1773">
        <f>SUM(D4:D18)</f>
        <v>14717547</v>
      </c>
      <c r="E19" s="1773">
        <f>SUM(E4:E18)</f>
        <v>30482884</v>
      </c>
      <c r="F19" s="1773">
        <f>SUM(F4:F18)</f>
        <v>13392854</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16" colorId="8" zoomScale="110" zoomScaleNormal="110" workbookViewId="0">
      <selection activeCell="J34" sqref="J3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8" t="s">
        <v>2038</v>
      </c>
      <c r="D2" s="724" t="s">
        <v>2045</v>
      </c>
      <c r="E2" s="724" t="s">
        <v>2046</v>
      </c>
      <c r="F2" s="1908" t="s">
        <v>2039</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09" t="s">
        <v>604</v>
      </c>
      <c r="D30" s="1909" t="s">
        <v>1772</v>
      </c>
      <c r="E30" s="1909" t="s">
        <v>2040</v>
      </c>
      <c r="F30" s="1909" t="s">
        <v>2041</v>
      </c>
      <c r="G30" s="1909" t="s">
        <v>2044</v>
      </c>
      <c r="H30" s="1909" t="s">
        <v>2042</v>
      </c>
      <c r="I30" s="1909" t="s">
        <v>2043</v>
      </c>
      <c r="J30" s="1910" t="s">
        <v>2</v>
      </c>
      <c r="K30" s="732"/>
    </row>
    <row r="31" spans="1:11" ht="12" customHeight="1" x14ac:dyDescent="0.2">
      <c r="A31" s="733"/>
      <c r="B31" s="734">
        <v>39934</v>
      </c>
      <c r="C31" s="735">
        <v>5310000</v>
      </c>
      <c r="D31" s="736">
        <v>6</v>
      </c>
      <c r="E31" s="735">
        <v>2625000</v>
      </c>
      <c r="F31" s="735"/>
      <c r="G31" s="735"/>
      <c r="H31" s="735">
        <v>965000</v>
      </c>
      <c r="I31" s="1778">
        <f>((E31+F31)-H31)+G31</f>
        <v>1660000</v>
      </c>
      <c r="J31" s="735">
        <v>1660000</v>
      </c>
      <c r="K31" s="737"/>
    </row>
    <row r="32" spans="1:11" ht="12" customHeight="1" x14ac:dyDescent="0.2">
      <c r="A32" s="733"/>
      <c r="B32" s="734">
        <v>40764</v>
      </c>
      <c r="C32" s="735">
        <v>4270000</v>
      </c>
      <c r="D32" s="736">
        <v>2</v>
      </c>
      <c r="E32" s="735">
        <v>1885000</v>
      </c>
      <c r="F32" s="735"/>
      <c r="G32" s="735"/>
      <c r="H32" s="735">
        <v>445000</v>
      </c>
      <c r="I32" s="1778">
        <f>((E32+F32)-H32)+G32</f>
        <v>1440000</v>
      </c>
      <c r="J32" s="735">
        <v>1659312</v>
      </c>
      <c r="K32" s="737"/>
    </row>
    <row r="33" spans="1:11" ht="12" customHeight="1" x14ac:dyDescent="0.2">
      <c r="A33" s="733"/>
      <c r="B33" s="734">
        <v>42535</v>
      </c>
      <c r="C33" s="735">
        <v>6000000</v>
      </c>
      <c r="D33" s="736">
        <v>1</v>
      </c>
      <c r="E33" s="735">
        <v>5975000</v>
      </c>
      <c r="F33" s="735"/>
      <c r="G33" s="735"/>
      <c r="H33" s="735"/>
      <c r="I33" s="1778">
        <f t="shared" ref="I33:I48" si="1">((E33+F33)-H33)+G33</f>
        <v>5975000</v>
      </c>
      <c r="J33" s="735">
        <v>6005625</v>
      </c>
      <c r="K33" s="737"/>
    </row>
    <row r="34" spans="1:11" ht="12" customHeight="1" x14ac:dyDescent="0.2">
      <c r="A34" s="733"/>
      <c r="B34" s="734">
        <v>42775</v>
      </c>
      <c r="C34" s="735">
        <v>5495000</v>
      </c>
      <c r="D34" s="736">
        <v>3</v>
      </c>
      <c r="E34" s="735">
        <v>5495000</v>
      </c>
      <c r="F34" s="735"/>
      <c r="G34" s="735"/>
      <c r="H34" s="735">
        <v>550000</v>
      </c>
      <c r="I34" s="1778">
        <f t="shared" si="1"/>
        <v>4945000</v>
      </c>
      <c r="J34" s="735">
        <v>4642318</v>
      </c>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t="s">
        <v>2097</v>
      </c>
      <c r="B36" s="734"/>
      <c r="C36" s="735"/>
      <c r="D36" s="736">
        <v>7</v>
      </c>
      <c r="E36" s="735">
        <v>357133</v>
      </c>
      <c r="F36" s="735"/>
      <c r="G36" s="735">
        <v>448992</v>
      </c>
      <c r="H36" s="735">
        <v>393025</v>
      </c>
      <c r="I36" s="1778">
        <f t="shared" si="1"/>
        <v>413100</v>
      </c>
      <c r="J36" s="735">
        <v>413100</v>
      </c>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21075000</v>
      </c>
      <c r="D49" s="746"/>
      <c r="E49" s="1778">
        <f t="shared" ref="E49:J49" si="2">SUM(E31:E48)</f>
        <v>16337133</v>
      </c>
      <c r="F49" s="1778">
        <f t="shared" si="2"/>
        <v>0</v>
      </c>
      <c r="G49" s="1778">
        <f t="shared" si="2"/>
        <v>448992</v>
      </c>
      <c r="H49" s="1778">
        <f t="shared" si="2"/>
        <v>2353025</v>
      </c>
      <c r="I49" s="1778">
        <f t="shared" si="2"/>
        <v>14433100</v>
      </c>
      <c r="J49" s="1778">
        <f t="shared" si="2"/>
        <v>14380355</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1" colorId="8" zoomScale="110" zoomScaleNormal="110" workbookViewId="0">
      <selection activeCell="G40" sqref="G4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c r="H3" s="765"/>
      <c r="I3" s="765"/>
      <c r="J3" s="766"/>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5" t="s">
        <v>1920</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0</v>
      </c>
      <c r="I12" s="1780">
        <f>SUM(I5:I11)</f>
        <v>0</v>
      </c>
      <c r="J12" s="1780">
        <f>SUM(J5:J11)</f>
        <v>0</v>
      </c>
      <c r="K12" s="1780">
        <f>SUM(K5:K11)</f>
        <v>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c r="I14" s="772"/>
      <c r="J14" s="774"/>
      <c r="K14" s="766"/>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1916</v>
      </c>
      <c r="B19" s="2244"/>
      <c r="C19" s="2244"/>
      <c r="D19" s="2244"/>
      <c r="E19" s="2245"/>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1922</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0</v>
      </c>
      <c r="I23" s="1780">
        <f>SUM(I14:I16,I21,I22)</f>
        <v>0</v>
      </c>
      <c r="J23" s="1780">
        <f>SUM(J14:J16,J21,J22)</f>
        <v>0</v>
      </c>
      <c r="K23" s="1780">
        <f>SUM(K14:K16,K21,K22)</f>
        <v>0</v>
      </c>
    </row>
    <row r="24" spans="1:11" ht="14.25" thickTop="1" thickBot="1" x14ac:dyDescent="0.25">
      <c r="A24" s="2266" t="s">
        <v>2026</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2036</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v>85521</v>
      </c>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v>91438</v>
      </c>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B1" colorId="8" zoomScale="110" zoomScaleNormal="110" workbookViewId="0">
      <selection activeCell="D14" sqref="D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313824</v>
      </c>
      <c r="D5" s="842"/>
      <c r="E5" s="842"/>
      <c r="F5" s="1782">
        <f>(C5+D5)-E5</f>
        <v>313824</v>
      </c>
      <c r="G5" s="838"/>
      <c r="H5" s="843"/>
      <c r="I5" s="843"/>
      <c r="J5" s="843"/>
      <c r="K5" s="794"/>
      <c r="L5" s="1791">
        <f>F5-K5</f>
        <v>313824</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56859874</v>
      </c>
      <c r="D8" s="845">
        <v>5529217</v>
      </c>
      <c r="E8" s="845"/>
      <c r="F8" s="1782">
        <f>(C8+D8)-E8</f>
        <v>62389091</v>
      </c>
      <c r="G8" s="844">
        <v>50</v>
      </c>
      <c r="H8" s="766">
        <v>14424469</v>
      </c>
      <c r="I8" s="766">
        <v>1192490</v>
      </c>
      <c r="J8" s="766"/>
      <c r="K8" s="1791">
        <f>(H8+I8)-J8</f>
        <v>15616959</v>
      </c>
      <c r="L8" s="1791">
        <f>F8-K8</f>
        <v>46772132</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1781874</v>
      </c>
      <c r="D10" s="847"/>
      <c r="E10" s="847"/>
      <c r="F10" s="1786">
        <f>(C10+D10)-E10</f>
        <v>1781874</v>
      </c>
      <c r="G10" s="844">
        <v>20</v>
      </c>
      <c r="H10" s="848">
        <v>825023</v>
      </c>
      <c r="I10" s="848">
        <v>61862</v>
      </c>
      <c r="J10" s="848"/>
      <c r="K10" s="1791">
        <f>(H10+I10)-J10</f>
        <v>886885</v>
      </c>
      <c r="L10" s="1791">
        <f>F10-K10</f>
        <v>894989</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12989471</v>
      </c>
      <c r="D12" s="845">
        <v>666250</v>
      </c>
      <c r="E12" s="845"/>
      <c r="F12" s="1782">
        <f>(C12+D12)-E12</f>
        <v>13655721</v>
      </c>
      <c r="G12" s="844">
        <v>10</v>
      </c>
      <c r="H12" s="766">
        <v>9965013</v>
      </c>
      <c r="I12" s="766">
        <v>652196</v>
      </c>
      <c r="J12" s="766"/>
      <c r="K12" s="1791">
        <f>(H12+I12)-J12</f>
        <v>10617209</v>
      </c>
      <c r="L12" s="1791">
        <f>F12-K12</f>
        <v>3038512</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71945043</v>
      </c>
      <c r="D16" s="1782">
        <f>SUM(D3,D5:D6,D8:D10,D12:D15)</f>
        <v>6195467</v>
      </c>
      <c r="E16" s="1782">
        <f>SUM(E3,E5:E6,E8:E10,E12:E15)</f>
        <v>0</v>
      </c>
      <c r="F16" s="1782">
        <f>SUM(F3,F5:F6,F8:F10,F12:F15)</f>
        <v>78140510</v>
      </c>
      <c r="G16" s="844"/>
      <c r="H16" s="1782">
        <f>SUM(H3,H6,H8:H10,H12:H14,)</f>
        <v>25214505</v>
      </c>
      <c r="I16" s="1782">
        <f>SUM(I3,I6,I8:I10,I12:I14,)</f>
        <v>1906548</v>
      </c>
      <c r="J16" s="1782">
        <f>SUM(J3,J6,J8:J10,J12:J14,)</f>
        <v>0</v>
      </c>
      <c r="K16" s="1782">
        <f>(H16+I16)-J16</f>
        <v>27121053</v>
      </c>
      <c r="L16" s="1782">
        <f>F16-K16</f>
        <v>51019457</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1906548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3" activePane="bottomLeft" state="frozen"/>
      <selection activeCell="A47" sqref="A47"/>
      <selection pane="bottomLeft" activeCell="F175" sqref="F175"/>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27737456</v>
      </c>
      <c r="G8" s="866"/>
    </row>
    <row r="9" spans="1:7" x14ac:dyDescent="0.2">
      <c r="A9" s="870" t="s">
        <v>480</v>
      </c>
      <c r="B9" s="871" t="s">
        <v>1989</v>
      </c>
      <c r="C9" s="872"/>
      <c r="D9" s="870" t="s">
        <v>522</v>
      </c>
      <c r="E9" s="869"/>
      <c r="F9" s="1934">
        <f>'Expenditures 15-22'!K151</f>
        <v>2971031</v>
      </c>
      <c r="G9" s="873"/>
    </row>
    <row r="10" spans="1:7" x14ac:dyDescent="0.2">
      <c r="A10" s="870" t="s">
        <v>520</v>
      </c>
      <c r="B10" s="871" t="s">
        <v>1990</v>
      </c>
      <c r="C10" s="872"/>
      <c r="D10" s="870" t="s">
        <v>522</v>
      </c>
      <c r="E10" s="869"/>
      <c r="F10" s="1934">
        <f>'Expenditures 15-22'!K174</f>
        <v>2892707</v>
      </c>
      <c r="G10" s="873"/>
    </row>
    <row r="11" spans="1:7" x14ac:dyDescent="0.2">
      <c r="A11" s="870" t="s">
        <v>481</v>
      </c>
      <c r="B11" s="871" t="s">
        <v>1991</v>
      </c>
      <c r="C11" s="872"/>
      <c r="D11" s="870" t="s">
        <v>522</v>
      </c>
      <c r="E11" s="869"/>
      <c r="F11" s="1934">
        <f>'Expenditures 15-22'!K210</f>
        <v>2295846</v>
      </c>
      <c r="G11" s="873"/>
    </row>
    <row r="12" spans="1:7" x14ac:dyDescent="0.2">
      <c r="A12" s="870" t="s">
        <v>482</v>
      </c>
      <c r="B12" s="871" t="s">
        <v>1992</v>
      </c>
      <c r="C12" s="872"/>
      <c r="D12" s="870" t="s">
        <v>522</v>
      </c>
      <c r="E12" s="869"/>
      <c r="F12" s="1934">
        <f>'Expenditures 15-22'!K295</f>
        <v>938073</v>
      </c>
      <c r="G12" s="873"/>
    </row>
    <row r="13" spans="1:7" x14ac:dyDescent="0.2">
      <c r="A13" s="870" t="s">
        <v>108</v>
      </c>
      <c r="B13" s="871" t="s">
        <v>1993</v>
      </c>
      <c r="C13" s="872"/>
      <c r="D13" s="870" t="s">
        <v>522</v>
      </c>
      <c r="E13" s="869"/>
      <c r="F13" s="1934">
        <f>'Expenditures 15-22'!K342</f>
        <v>0</v>
      </c>
      <c r="G13" s="874"/>
    </row>
    <row r="14" spans="1:7" ht="12" customHeight="1" thickBot="1" x14ac:dyDescent="0.25">
      <c r="A14" s="1792"/>
      <c r="B14" s="1793"/>
      <c r="C14" s="1794"/>
      <c r="D14" s="1795" t="s">
        <v>522</v>
      </c>
      <c r="E14" s="1796" t="s">
        <v>1015</v>
      </c>
      <c r="F14" s="1797">
        <f>SUM(F8:F13)</f>
        <v>36835113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580424</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67966</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283695</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365696</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74214</v>
      </c>
      <c r="G52" s="866"/>
    </row>
    <row r="53" spans="1:7" x14ac:dyDescent="0.2">
      <c r="A53" s="870" t="s">
        <v>479</v>
      </c>
      <c r="B53" s="870" t="s">
        <v>1551</v>
      </c>
      <c r="C53" s="890">
        <f>'Expenditures 15-22'!B102</f>
        <v>4000</v>
      </c>
      <c r="D53" s="889" t="str">
        <f>'Expenditures 15-22'!A102</f>
        <v>Total Payments to Other Govt Units</v>
      </c>
      <c r="E53" s="869"/>
      <c r="F53" s="1938">
        <f>'Expenditures 15-22'!K102</f>
        <v>534643</v>
      </c>
      <c r="G53" s="866"/>
    </row>
    <row r="54" spans="1:7" x14ac:dyDescent="0.2">
      <c r="A54" s="870" t="s">
        <v>479</v>
      </c>
      <c r="B54" s="870" t="s">
        <v>1552</v>
      </c>
      <c r="C54" s="890" t="s">
        <v>1039</v>
      </c>
      <c r="D54" s="886" t="s">
        <v>1157</v>
      </c>
      <c r="E54" s="869"/>
      <c r="F54" s="1938">
        <f>'Expenditures 15-22'!G114</f>
        <v>217258</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8">
        <f>'Expenditures 15-22'!K139</f>
        <v>96139</v>
      </c>
      <c r="G57" s="866"/>
    </row>
    <row r="58" spans="1:7" x14ac:dyDescent="0.2">
      <c r="A58" s="870" t="s">
        <v>480</v>
      </c>
      <c r="B58" s="870" t="s">
        <v>1995</v>
      </c>
      <c r="C58" s="887" t="s">
        <v>1039</v>
      </c>
      <c r="D58" s="886" t="s">
        <v>1157</v>
      </c>
      <c r="E58" s="869"/>
      <c r="F58" s="1940">
        <f>'Expenditures 15-22'!G151</f>
        <v>402998</v>
      </c>
      <c r="G58" s="866"/>
    </row>
    <row r="59" spans="1:7" x14ac:dyDescent="0.2">
      <c r="A59" s="894" t="s">
        <v>480</v>
      </c>
      <c r="B59" s="857" t="s">
        <v>1996</v>
      </c>
      <c r="C59" s="895" t="s">
        <v>1039</v>
      </c>
      <c r="D59" s="857" t="s">
        <v>309</v>
      </c>
      <c r="F59" s="1941">
        <f>'Expenditures 15-22'!I151</f>
        <v>0</v>
      </c>
      <c r="G59" s="866"/>
    </row>
    <row r="60" spans="1:7" x14ac:dyDescent="0.2">
      <c r="A60" s="894" t="s">
        <v>520</v>
      </c>
      <c r="B60" s="857" t="s">
        <v>1997</v>
      </c>
      <c r="C60" s="895">
        <v>4000</v>
      </c>
      <c r="D60" s="857" t="s">
        <v>330</v>
      </c>
      <c r="F60" s="1939">
        <f>'Expenditures 15-22'!K160</f>
        <v>0</v>
      </c>
      <c r="G60" s="866"/>
    </row>
    <row r="61" spans="1:7" x14ac:dyDescent="0.2">
      <c r="A61" s="896" t="s">
        <v>520</v>
      </c>
      <c r="B61" s="896" t="s">
        <v>1998</v>
      </c>
      <c r="C61" s="897" t="str">
        <f>'Expenditures 15-22'!B170</f>
        <v>5300</v>
      </c>
      <c r="D61" s="898" t="s">
        <v>329</v>
      </c>
      <c r="E61" s="880"/>
      <c r="F61" s="1938">
        <f>'Expenditures 15-22'!K170</f>
        <v>2353025</v>
      </c>
      <c r="G61" s="866"/>
    </row>
    <row r="62" spans="1:7" x14ac:dyDescent="0.2">
      <c r="A62" s="870" t="s">
        <v>481</v>
      </c>
      <c r="B62" s="870" t="s">
        <v>1999</v>
      </c>
      <c r="C62" s="887">
        <f>'Expenditures 15-22'!B185</f>
        <v>3000</v>
      </c>
      <c r="D62" s="877" t="s">
        <v>469</v>
      </c>
      <c r="E62" s="869"/>
      <c r="F62" s="1938">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2001</v>
      </c>
      <c r="C64" s="897" t="str">
        <f>'Expenditures 15-22'!B206</f>
        <v>5300</v>
      </c>
      <c r="D64" s="893" t="s">
        <v>329</v>
      </c>
      <c r="E64" s="869"/>
      <c r="F64" s="1938">
        <f>'Expenditures 15-22'!K206</f>
        <v>0</v>
      </c>
      <c r="G64" s="866"/>
    </row>
    <row r="65" spans="1:8" x14ac:dyDescent="0.2">
      <c r="A65" s="870" t="s">
        <v>481</v>
      </c>
      <c r="B65" s="870" t="s">
        <v>2002</v>
      </c>
      <c r="C65" s="887" t="s">
        <v>1039</v>
      </c>
      <c r="D65" s="886" t="s">
        <v>1157</v>
      </c>
      <c r="E65" s="869"/>
      <c r="F65" s="1938">
        <f>'Expenditures 15-22'!G210</f>
        <v>0</v>
      </c>
      <c r="G65" s="866"/>
    </row>
    <row r="66" spans="1:8" x14ac:dyDescent="0.2">
      <c r="A66" s="870" t="s">
        <v>481</v>
      </c>
      <c r="B66" s="870" t="s">
        <v>2003</v>
      </c>
      <c r="C66" s="887" t="s">
        <v>1039</v>
      </c>
      <c r="D66" s="886" t="s">
        <v>309</v>
      </c>
      <c r="E66" s="869"/>
      <c r="F66" s="1938">
        <f>'Expenditures 15-22'!I210</f>
        <v>0</v>
      </c>
      <c r="G66" s="866"/>
    </row>
    <row r="67" spans="1:8" x14ac:dyDescent="0.2">
      <c r="A67" s="870" t="s">
        <v>482</v>
      </c>
      <c r="B67" s="870" t="s">
        <v>2004</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803</v>
      </c>
      <c r="G68" s="866"/>
    </row>
    <row r="69" spans="1:8" x14ac:dyDescent="0.2">
      <c r="A69" s="870" t="s">
        <v>482</v>
      </c>
      <c r="B69" s="870" t="s">
        <v>2005</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2006</v>
      </c>
      <c r="C70" s="887">
        <f>'Expenditures 15-22'!B221</f>
        <v>1300</v>
      </c>
      <c r="D70" s="888" t="str">
        <f>'Expenditures 15-22'!A221</f>
        <v>Adult/Continuing Education Programs</v>
      </c>
      <c r="E70" s="869"/>
      <c r="F70" s="1938">
        <f>'Expenditures 15-22'!K221</f>
        <v>0</v>
      </c>
      <c r="G70" s="866"/>
    </row>
    <row r="71" spans="1:8" x14ac:dyDescent="0.2">
      <c r="A71" s="870" t="s">
        <v>482</v>
      </c>
      <c r="B71" s="870" t="s">
        <v>2007</v>
      </c>
      <c r="C71" s="887">
        <f>'Expenditures 15-22'!B224</f>
        <v>1600</v>
      </c>
      <c r="D71" s="888" t="str">
        <f>'Expenditures 15-22'!A224</f>
        <v>Summer School Programs</v>
      </c>
      <c r="E71" s="869"/>
      <c r="F71" s="1938">
        <f>'Expenditures 15-22'!K224</f>
        <v>9655</v>
      </c>
      <c r="G71" s="866"/>
    </row>
    <row r="72" spans="1:8" x14ac:dyDescent="0.2">
      <c r="A72" s="870" t="s">
        <v>482</v>
      </c>
      <c r="B72" s="870" t="s">
        <v>2008</v>
      </c>
      <c r="C72" s="887">
        <f>'Expenditures 15-22'!B280</f>
        <v>3000</v>
      </c>
      <c r="D72" s="877" t="s">
        <v>469</v>
      </c>
      <c r="E72" s="869"/>
      <c r="F72" s="1938">
        <f>'Expenditures 15-22'!K280</f>
        <v>468</v>
      </c>
      <c r="G72" s="866"/>
    </row>
    <row r="73" spans="1:8" x14ac:dyDescent="0.2">
      <c r="A73" s="870" t="s">
        <v>482</v>
      </c>
      <c r="B73" s="870" t="s">
        <v>2009</v>
      </c>
      <c r="C73" s="887" t="str">
        <f>'Expenditures 15-22'!B285</f>
        <v>4000</v>
      </c>
      <c r="D73" s="888" t="str">
        <f>'Expenditures 15-22'!A285</f>
        <v>Total Payments to Other Govt Units</v>
      </c>
      <c r="E73" s="869"/>
      <c r="F73" s="1938">
        <f>'Expenditures 15-22'!K285</f>
        <v>76781</v>
      </c>
      <c r="G73" s="866"/>
    </row>
    <row r="74" spans="1:8" x14ac:dyDescent="0.2">
      <c r="A74" s="870" t="s">
        <v>456</v>
      </c>
      <c r="B74" s="870" t="s">
        <v>2010</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5063765</v>
      </c>
      <c r="G76" s="866"/>
    </row>
    <row r="77" spans="1:8" s="894" customFormat="1" ht="12" customHeight="1" thickTop="1" thickBot="1" x14ac:dyDescent="0.25">
      <c r="A77" s="1801"/>
      <c r="B77" s="1798"/>
      <c r="C77" s="1794"/>
      <c r="D77" s="1799" t="s">
        <v>2012</v>
      </c>
      <c r="E77" s="1796"/>
      <c r="F77" s="1802">
        <f>(F14-F76)</f>
        <v>31771348</v>
      </c>
      <c r="G77" s="870"/>
    </row>
    <row r="78" spans="1:8" s="894" customFormat="1" ht="12" customHeight="1" thickTop="1" x14ac:dyDescent="0.2">
      <c r="A78" s="1803"/>
      <c r="B78" s="1798"/>
      <c r="C78" s="1794"/>
      <c r="D78" s="1799" t="s">
        <v>2059</v>
      </c>
      <c r="E78" s="1796"/>
      <c r="F78" s="899">
        <v>2165.0300000000002</v>
      </c>
      <c r="G78" s="900"/>
      <c r="H78" s="870"/>
    </row>
    <row r="79" spans="1:8" s="894" customFormat="1" ht="12" customHeight="1" thickBot="1" x14ac:dyDescent="0.25">
      <c r="A79" s="1804"/>
      <c r="B79" s="1798"/>
      <c r="C79" s="1794"/>
      <c r="D79" s="1799" t="s">
        <v>2013</v>
      </c>
      <c r="E79" s="1796" t="s">
        <v>1015</v>
      </c>
      <c r="F79" s="1805">
        <f>IF(F78&gt;0,F77/F78," Complete Line 78")</f>
        <v>14674.784183129101</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2413</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355931</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299022</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53496</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638267</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672840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3293</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118237</v>
      </c>
      <c r="G130" s="931"/>
    </row>
    <row r="131" spans="1:7" x14ac:dyDescent="0.2">
      <c r="A131" s="928" t="s">
        <v>689</v>
      </c>
      <c r="B131" s="928" t="s">
        <v>805</v>
      </c>
      <c r="C131" s="933">
        <v>4400</v>
      </c>
      <c r="D131" s="934" t="str">
        <f>'Revenues 9-14'!A216</f>
        <v>Total Title IV</v>
      </c>
      <c r="E131" s="907"/>
      <c r="F131" s="1811">
        <f>SUM('Revenues 9-14'!C216,'Revenues 9-14'!D216,'Revenues 9-14'!F216,'Revenues 9-14'!G216)</f>
        <v>3992</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4555</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47049</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50404</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72779</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2058</v>
      </c>
      <c r="C175" s="1945">
        <v>3100</v>
      </c>
      <c r="D175" s="1946" t="s">
        <v>2061</v>
      </c>
      <c r="E175" s="907"/>
      <c r="F175" s="1930">
        <v>763675</v>
      </c>
      <c r="G175" s="928"/>
    </row>
    <row r="176" spans="1:7" x14ac:dyDescent="0.2">
      <c r="A176" s="1943" t="s">
        <v>685</v>
      </c>
      <c r="B176" s="1944" t="s">
        <v>2058</v>
      </c>
      <c r="C176" s="1945">
        <v>3300</v>
      </c>
      <c r="D176" s="1946" t="s">
        <v>2062</v>
      </c>
      <c r="E176" s="907"/>
      <c r="F176" s="1930">
        <v>23</v>
      </c>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3085976</v>
      </c>
    </row>
    <row r="179" spans="1:7" ht="12" customHeight="1" x14ac:dyDescent="0.2">
      <c r="A179" s="1792"/>
      <c r="B179" s="1806"/>
      <c r="C179" s="1807"/>
      <c r="D179" s="1808" t="s">
        <v>2015</v>
      </c>
      <c r="E179" s="1809"/>
      <c r="F179" s="1811">
        <f>'PCTC-OEPP 27-28'!F77-F178</f>
        <v>28685372</v>
      </c>
    </row>
    <row r="180" spans="1:7" ht="12" customHeight="1" x14ac:dyDescent="0.2">
      <c r="A180" s="1792"/>
      <c r="B180" s="1806"/>
      <c r="C180" s="1807"/>
      <c r="D180" s="1808" t="s">
        <v>1924</v>
      </c>
      <c r="E180" s="1809"/>
      <c r="F180" s="1811">
        <f>'Cap Outlay Deprec 26'!I18</f>
        <v>1906548</v>
      </c>
    </row>
    <row r="181" spans="1:7" ht="12" customHeight="1" x14ac:dyDescent="0.2">
      <c r="A181" s="1792"/>
      <c r="B181" s="1806"/>
      <c r="C181" s="1807"/>
      <c r="D181" s="1808" t="s">
        <v>2016</v>
      </c>
      <c r="E181" s="1809"/>
      <c r="F181" s="1811">
        <f>F179+F180</f>
        <v>30591920</v>
      </c>
    </row>
    <row r="182" spans="1:7" ht="12" customHeight="1" x14ac:dyDescent="0.2">
      <c r="A182" s="1792"/>
      <c r="B182" s="1812"/>
      <c r="C182" s="1807"/>
      <c r="D182" s="1808" t="str">
        <f>D78</f>
        <v>9 Month ADA from District Average Daily Attendance/Prior General State Aid Inquiry 2017-2018</v>
      </c>
      <c r="E182" s="1809"/>
      <c r="F182" s="1813">
        <f>'PCTC-OEPP 27-28'!F78</f>
        <v>2165.0300000000002</v>
      </c>
      <c r="G182" s="931"/>
    </row>
    <row r="183" spans="1:7" ht="12" customHeight="1" thickBot="1" x14ac:dyDescent="0.25">
      <c r="A183" s="1792"/>
      <c r="B183" s="1812"/>
      <c r="C183" s="1807"/>
      <c r="D183" s="1808" t="s">
        <v>2017</v>
      </c>
      <c r="E183" s="1809" t="s">
        <v>1626</v>
      </c>
      <c r="F183" s="1814">
        <f>F181/F182</f>
        <v>14130.021293007487</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7" customFormat="1" ht="12.2" customHeight="1" x14ac:dyDescent="0.2">
      <c r="A186" s="1947" t="s">
        <v>2065</v>
      </c>
      <c r="B186" s="1948"/>
      <c r="C186" s="1949"/>
      <c r="D186" s="1948"/>
      <c r="E186" s="1949"/>
      <c r="F186" s="1948"/>
      <c r="G186" s="1948"/>
    </row>
    <row r="187" spans="1:7" s="1947" customFormat="1" ht="12.2" customHeight="1" x14ac:dyDescent="0.2">
      <c r="A187" s="1950" t="s">
        <v>2066</v>
      </c>
      <c r="C187" s="1949"/>
      <c r="D187" s="1948"/>
      <c r="E187" s="1949"/>
      <c r="F187" s="1948"/>
      <c r="G187" s="1948"/>
    </row>
    <row r="188" spans="1:7" ht="12" customHeight="1" x14ac:dyDescent="0.2">
      <c r="C188" s="950"/>
      <c r="D188" s="931"/>
      <c r="E188" s="950"/>
      <c r="F188" s="931"/>
      <c r="G188" s="931"/>
    </row>
    <row r="189" spans="1:7" x14ac:dyDescent="0.2">
      <c r="A189" s="1951" t="s">
        <v>2064</v>
      </c>
      <c r="B189" s="1952"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8" activePane="bottomLeft" state="frozen"/>
      <selection pane="bottomLeft" activeCell="C24" sqref="C24"/>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t="s">
        <v>2098</v>
      </c>
      <c r="B17" s="1956" t="s">
        <v>2099</v>
      </c>
      <c r="C17" s="1957" t="s">
        <v>2100</v>
      </c>
      <c r="D17" s="1867">
        <v>26120</v>
      </c>
      <c r="E17" s="1562">
        <f t="shared" ref="E17:E141" si="1">IF(D17&lt;=25000,D17,IF(D17&gt;25000,25000,0))</f>
        <v>25000</v>
      </c>
      <c r="F17" s="1815">
        <f t="shared" si="0"/>
        <v>0</v>
      </c>
      <c r="G17" s="1816">
        <f>IF(F17=0,0,D17-F17)</f>
        <v>0</v>
      </c>
      <c r="H17" s="1669"/>
    </row>
    <row r="18" spans="1:8" x14ac:dyDescent="0.25">
      <c r="A18" s="1955" t="s">
        <v>2101</v>
      </c>
      <c r="B18" s="1956" t="s">
        <v>1931</v>
      </c>
      <c r="C18" s="1957" t="s">
        <v>2102</v>
      </c>
      <c r="D18" s="1867">
        <v>40064</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15064</v>
      </c>
    </row>
    <row r="19" spans="1:8" x14ac:dyDescent="0.25">
      <c r="A19" s="1955" t="s">
        <v>2103</v>
      </c>
      <c r="B19" s="1958" t="s">
        <v>2115</v>
      </c>
      <c r="C19" s="1957" t="s">
        <v>2107</v>
      </c>
      <c r="D19" s="1867">
        <v>42837</v>
      </c>
      <c r="E19" s="1562">
        <f t="shared" si="2"/>
        <v>25000</v>
      </c>
      <c r="F19" s="1815">
        <f t="shared" si="3"/>
        <v>25000</v>
      </c>
      <c r="G19" s="1816">
        <f t="shared" si="4"/>
        <v>17837</v>
      </c>
    </row>
    <row r="20" spans="1:8" x14ac:dyDescent="0.25">
      <c r="A20" s="1955" t="s">
        <v>2101</v>
      </c>
      <c r="B20" s="1956" t="s">
        <v>1931</v>
      </c>
      <c r="C20" s="1957" t="s">
        <v>2108</v>
      </c>
      <c r="D20" s="1867">
        <v>48177</v>
      </c>
      <c r="E20" s="1562">
        <f t="shared" si="2"/>
        <v>25000</v>
      </c>
      <c r="F20" s="1815">
        <f t="shared" si="3"/>
        <v>25000</v>
      </c>
      <c r="G20" s="1816">
        <f t="shared" si="4"/>
        <v>23177</v>
      </c>
    </row>
    <row r="21" spans="1:8" x14ac:dyDescent="0.25">
      <c r="A21" s="1955" t="s">
        <v>2101</v>
      </c>
      <c r="B21" s="1956" t="s">
        <v>1931</v>
      </c>
      <c r="C21" s="1957" t="s">
        <v>2109</v>
      </c>
      <c r="D21" s="1867">
        <v>51702</v>
      </c>
      <c r="E21" s="1562">
        <f t="shared" si="2"/>
        <v>25000</v>
      </c>
      <c r="F21" s="1815">
        <f t="shared" si="3"/>
        <v>25000</v>
      </c>
      <c r="G21" s="1816">
        <f t="shared" si="4"/>
        <v>26702</v>
      </c>
    </row>
    <row r="22" spans="1:8" x14ac:dyDescent="0.25">
      <c r="A22" s="1955" t="s">
        <v>2101</v>
      </c>
      <c r="B22" s="1956" t="s">
        <v>1931</v>
      </c>
      <c r="C22" s="1957" t="s">
        <v>2110</v>
      </c>
      <c r="D22" s="1867">
        <v>86648</v>
      </c>
      <c r="E22" s="1562">
        <f t="shared" si="2"/>
        <v>25000</v>
      </c>
      <c r="F22" s="1815">
        <f t="shared" si="3"/>
        <v>25000</v>
      </c>
      <c r="G22" s="1816">
        <f t="shared" si="4"/>
        <v>61648</v>
      </c>
    </row>
    <row r="23" spans="1:8" x14ac:dyDescent="0.25">
      <c r="A23" s="1955" t="s">
        <v>2105</v>
      </c>
      <c r="B23" s="1958" t="s">
        <v>2117</v>
      </c>
      <c r="C23" s="1957" t="s">
        <v>2111</v>
      </c>
      <c r="D23" s="1867">
        <v>88806</v>
      </c>
      <c r="E23" s="1562">
        <f t="shared" si="2"/>
        <v>25000</v>
      </c>
      <c r="F23" s="1815">
        <f t="shared" si="3"/>
        <v>25000</v>
      </c>
      <c r="G23" s="1816">
        <f t="shared" si="4"/>
        <v>63806</v>
      </c>
    </row>
    <row r="24" spans="1:8" x14ac:dyDescent="0.25">
      <c r="A24" s="1955" t="s">
        <v>2101</v>
      </c>
      <c r="B24" s="1956" t="s">
        <v>1931</v>
      </c>
      <c r="C24" s="1957" t="s">
        <v>2112</v>
      </c>
      <c r="D24" s="1867">
        <v>108262</v>
      </c>
      <c r="E24" s="1562">
        <f t="shared" si="2"/>
        <v>25000</v>
      </c>
      <c r="F24" s="1815">
        <f t="shared" si="3"/>
        <v>25000</v>
      </c>
      <c r="G24" s="1816">
        <f t="shared" si="4"/>
        <v>83262</v>
      </c>
    </row>
    <row r="25" spans="1:8" x14ac:dyDescent="0.25">
      <c r="A25" s="1955" t="s">
        <v>2106</v>
      </c>
      <c r="B25" s="1958" t="s">
        <v>2116</v>
      </c>
      <c r="C25" s="1957" t="s">
        <v>2113</v>
      </c>
      <c r="D25" s="1867">
        <v>418657</v>
      </c>
      <c r="E25" s="1562">
        <f t="shared" si="2"/>
        <v>25000</v>
      </c>
      <c r="F25" s="1815">
        <f t="shared" si="3"/>
        <v>25000</v>
      </c>
      <c r="G25" s="1816">
        <f t="shared" si="4"/>
        <v>393657</v>
      </c>
    </row>
    <row r="26" spans="1:8" x14ac:dyDescent="0.25">
      <c r="A26" s="1955" t="s">
        <v>2104</v>
      </c>
      <c r="B26" s="1958" t="s">
        <v>2115</v>
      </c>
      <c r="C26" s="1957" t="s">
        <v>2114</v>
      </c>
      <c r="D26" s="1867">
        <v>1325888</v>
      </c>
      <c r="E26" s="1562">
        <f t="shared" si="2"/>
        <v>25000</v>
      </c>
      <c r="F26" s="1815">
        <f t="shared" si="3"/>
        <v>25000</v>
      </c>
      <c r="G26" s="1816">
        <f t="shared" si="4"/>
        <v>1300888</v>
      </c>
    </row>
    <row r="27" spans="1:8" x14ac:dyDescent="0.25">
      <c r="A27" s="1675"/>
      <c r="B27" s="1868"/>
      <c r="C27" s="1676"/>
      <c r="D27" s="1867"/>
      <c r="E27" s="1562">
        <f t="shared" si="2"/>
        <v>0</v>
      </c>
      <c r="F27" s="1815">
        <f t="shared" si="3"/>
        <v>0</v>
      </c>
      <c r="G27" s="1816">
        <f t="shared" si="4"/>
        <v>0</v>
      </c>
    </row>
    <row r="28" spans="1:8" x14ac:dyDescent="0.25">
      <c r="A28" s="1675"/>
      <c r="B28" s="1868"/>
      <c r="C28" s="1676"/>
      <c r="D28" s="1867"/>
      <c r="E28" s="1562">
        <f t="shared" si="2"/>
        <v>0</v>
      </c>
      <c r="F28" s="1815">
        <f t="shared" si="3"/>
        <v>0</v>
      </c>
      <c r="G28" s="1816">
        <f t="shared" si="4"/>
        <v>0</v>
      </c>
    </row>
    <row r="29" spans="1:8" x14ac:dyDescent="0.25">
      <c r="A29" s="1675"/>
      <c r="B29" s="1868"/>
      <c r="C29" s="1676"/>
      <c r="D29" s="1867"/>
      <c r="E29" s="1562">
        <f t="shared" si="2"/>
        <v>0</v>
      </c>
      <c r="F29" s="1815">
        <f t="shared" si="3"/>
        <v>0</v>
      </c>
      <c r="G29" s="1816">
        <f t="shared" si="4"/>
        <v>0</v>
      </c>
    </row>
    <row r="30" spans="1:8" x14ac:dyDescent="0.25">
      <c r="A30" s="1675"/>
      <c r="B30" s="1868"/>
      <c r="C30" s="1676"/>
      <c r="D30" s="1867"/>
      <c r="E30" s="1562">
        <f t="shared" si="2"/>
        <v>0</v>
      </c>
      <c r="F30" s="1815">
        <f t="shared" si="3"/>
        <v>0</v>
      </c>
      <c r="G30" s="1816">
        <f t="shared" si="4"/>
        <v>0</v>
      </c>
    </row>
    <row r="31" spans="1:8" x14ac:dyDescent="0.25">
      <c r="A31" s="1675"/>
      <c r="B31" s="1868"/>
      <c r="C31" s="1676"/>
      <c r="D31" s="1867"/>
      <c r="E31" s="1562">
        <f t="shared" si="2"/>
        <v>0</v>
      </c>
      <c r="F31" s="1815">
        <f t="shared" si="3"/>
        <v>0</v>
      </c>
      <c r="G31" s="1816">
        <f t="shared" si="4"/>
        <v>0</v>
      </c>
    </row>
    <row r="32" spans="1:8" x14ac:dyDescent="0.25">
      <c r="A32" s="1675"/>
      <c r="B32" s="1868"/>
      <c r="C32" s="1676"/>
      <c r="D32" s="1867"/>
      <c r="E32" s="1562">
        <f t="shared" si="2"/>
        <v>0</v>
      </c>
      <c r="F32" s="1815">
        <f t="shared" si="3"/>
        <v>0</v>
      </c>
      <c r="G32" s="1816">
        <f t="shared" si="4"/>
        <v>0</v>
      </c>
    </row>
    <row r="33" spans="1:7" x14ac:dyDescent="0.25">
      <c r="A33" s="1675"/>
      <c r="B33" s="1868"/>
      <c r="C33" s="1676"/>
      <c r="D33" s="1867"/>
      <c r="E33" s="1562">
        <f t="shared" si="2"/>
        <v>0</v>
      </c>
      <c r="F33" s="1815">
        <f t="shared" si="3"/>
        <v>0</v>
      </c>
      <c r="G33" s="1816">
        <f t="shared" si="4"/>
        <v>0</v>
      </c>
    </row>
    <row r="34" spans="1:7" x14ac:dyDescent="0.25">
      <c r="A34" s="1675"/>
      <c r="B34" s="1868"/>
      <c r="C34" s="1676"/>
      <c r="D34" s="1867"/>
      <c r="E34" s="1562">
        <f t="shared" si="2"/>
        <v>0</v>
      </c>
      <c r="F34" s="1815">
        <f t="shared" si="3"/>
        <v>0</v>
      </c>
      <c r="G34" s="1816">
        <f t="shared" si="4"/>
        <v>0</v>
      </c>
    </row>
    <row r="35" spans="1:7" x14ac:dyDescent="0.25">
      <c r="A35" s="1675"/>
      <c r="B35" s="1868"/>
      <c r="C35" s="1676"/>
      <c r="D35" s="1867"/>
      <c r="E35" s="1562">
        <f t="shared" si="2"/>
        <v>0</v>
      </c>
      <c r="F35" s="1815">
        <f t="shared" si="3"/>
        <v>0</v>
      </c>
      <c r="G35" s="1816">
        <f t="shared" si="4"/>
        <v>0</v>
      </c>
    </row>
    <row r="36" spans="1:7" x14ac:dyDescent="0.25">
      <c r="A36" s="1675"/>
      <c r="B36" s="1868"/>
      <c r="C36" s="1676"/>
      <c r="D36" s="1867"/>
      <c r="E36" s="1562">
        <f t="shared" si="2"/>
        <v>0</v>
      </c>
      <c r="F36" s="1815">
        <f t="shared" si="3"/>
        <v>0</v>
      </c>
      <c r="G36" s="1816">
        <f t="shared" si="4"/>
        <v>0</v>
      </c>
    </row>
    <row r="37" spans="1:7" x14ac:dyDescent="0.25">
      <c r="A37" s="1675"/>
      <c r="B37" s="1868"/>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2237161</v>
      </c>
      <c r="E141" s="1563">
        <f t="shared" si="1"/>
        <v>25000</v>
      </c>
      <c r="F141" s="1817">
        <f>SUM(F17:F140)</f>
        <v>225000</v>
      </c>
      <c r="G141" s="1818">
        <f>SUM(G17:G140)</f>
        <v>1986041</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10" sqref="A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5" t="s">
        <v>1945</v>
      </c>
      <c r="B11" s="2306"/>
      <c r="C11" s="2306"/>
      <c r="D11" s="2307"/>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18126650</v>
      </c>
      <c r="F19" s="1822"/>
      <c r="G19" s="1824">
        <f>'Expenditures 15-22'!K33-SUM('Expenditures 15-22'!G33,'Expenditures 15-22'!I33)+'Expenditures 15-22'!D229</f>
        <v>18126650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2536998</v>
      </c>
      <c r="F21" s="1825"/>
      <c r="G21" s="1828">
        <f>'Expenditures 15-22'!K42-SUM('Expenditures 15-22'!G42,'Expenditures 15-22'!I42)+'Expenditures 15-22'!K120-SUM('Expenditures 15-22'!G120,'Expenditures 15-22'!I120)+'Expenditures 15-22'!K180-SUM('Expenditures 15-22'!G180,'Expenditures 15-22'!I180)+'Expenditures 15-22'!D238</f>
        <v>2536998</v>
      </c>
      <c r="H21" s="988"/>
      <c r="I21" s="162"/>
    </row>
    <row r="22" spans="1:9" s="669" customFormat="1" ht="12" customHeight="1" x14ac:dyDescent="0.2">
      <c r="A22" s="995" t="s">
        <v>585</v>
      </c>
      <c r="B22" s="996"/>
      <c r="C22" s="994">
        <v>2200</v>
      </c>
      <c r="D22" s="1825"/>
      <c r="E22" s="1827">
        <f>'Expenditures 15-22'!K47-SUM('Expenditures 15-22'!G47,'Expenditures 15-22'!I47)+'Expenditures 15-22'!D243</f>
        <v>1545066</v>
      </c>
      <c r="F22" s="1825"/>
      <c r="G22" s="1828">
        <f>'Expenditures 15-22'!K47-SUM('Expenditures 15-22'!G47,'Expenditures 15-22'!I47)+'Expenditures 15-22'!D243</f>
        <v>1545066</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1025808</v>
      </c>
      <c r="F23" s="1825"/>
      <c r="G23" s="1827">
        <f>'Expenditures 15-22'!K53-SUM('Expenditures 15-22'!G53,'Expenditures 15-22'!I53)+'Expenditures 15-22'!D257+'Expenditures 15-22'!K330-SUM('Expenditures 15-22'!G330,'Expenditures 15-22'!I330)</f>
        <v>1025808</v>
      </c>
      <c r="H23" s="988"/>
      <c r="I23" s="162"/>
    </row>
    <row r="24" spans="1:9" s="669" customFormat="1" ht="12" customHeight="1" x14ac:dyDescent="0.2">
      <c r="A24" s="995" t="s">
        <v>587</v>
      </c>
      <c r="B24" s="996"/>
      <c r="C24" s="994">
        <v>2400</v>
      </c>
      <c r="D24" s="1825"/>
      <c r="E24" s="1827">
        <f>'Expenditures 15-22'!K57-SUM('Expenditures 15-22'!G57,'Expenditures 15-22'!I57)+'Expenditures 15-22'!D261</f>
        <v>1448988</v>
      </c>
      <c r="F24" s="1825"/>
      <c r="G24" s="1828">
        <f>'Expenditures 15-22'!K57-SUM('Expenditures 15-22'!G57,'Expenditures 15-22'!I57)+'Expenditures 15-22'!D261</f>
        <v>1448988</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388231</v>
      </c>
      <c r="E26" s="1827">
        <f>'Expenditures 15-22'!K122-SUM('Expenditures 15-22'!G122,'Expenditures 15-22'!I122)+E7</f>
        <v>0</v>
      </c>
      <c r="F26" s="1827">
        <f>'Expenditures 15-22'!K59-SUM('Expenditures 15-22'!G59,'Expenditures 15-22'!I59)+'Expenditures 15-22'!D263-E7</f>
        <v>388231</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441930</v>
      </c>
      <c r="E27" s="1827">
        <f>E8</f>
        <v>0</v>
      </c>
      <c r="F27" s="1827">
        <f>'Expenditures 15-22'!K60-SUM('Expenditures 15-22'!G60,'Expenditures 15-22'!I60)+'Expenditures 15-22'!D264-E8</f>
        <v>441930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2696242</v>
      </c>
      <c r="F28" s="1829">
        <f>'Expenditures 15-22'!K61-SUM('Expenditures 15-22'!G61,'Expenditures 15-22'!I61)+'Expenditures 15-22'!K124-SUM('Expenditures 15-22'!G124,'Expenditures 15-22'!I124)+'Expenditures 15-22'!D266-E9</f>
        <v>2696242</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2295846</v>
      </c>
      <c r="F29" s="1825"/>
      <c r="G29" s="1828">
        <f>'Expenditures 15-22'!K62-SUM('Expenditures 15-22'!G62,'Expenditures 15-22'!I62)+'Expenditures 15-22'!K125-SUM('Expenditures 15-22'!G125,'Expenditures 15-22'!I125)+'Expenditures 15-22'!K182-SUM('Expenditures 15-22'!G182,'Expenditures 15-22'!I182)+'Expenditures 15-22'!D267</f>
        <v>2295846</v>
      </c>
      <c r="H29" s="986"/>
    </row>
    <row r="30" spans="1:9" ht="12" customHeight="1" x14ac:dyDescent="0.2">
      <c r="A30" s="995" t="s">
        <v>102</v>
      </c>
      <c r="B30" s="998"/>
      <c r="C30" s="994">
        <v>2560</v>
      </c>
      <c r="D30" s="1825"/>
      <c r="E30" s="1827">
        <f>'Expenditures 15-22'!K63-SUM('Expenditures 15-22'!G63,'Expenditures 15-22'!I63)+'Expenditures 15-22'!D268-E10</f>
        <v>528748</v>
      </c>
      <c r="F30" s="1825"/>
      <c r="G30" s="1827">
        <f>'Expenditures 15-22'!K63-SUM('Expenditures 15-22'!G63,'Expenditures 15-22'!I63)+'Expenditures 15-22'!D268-E10</f>
        <v>528748</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108866</v>
      </c>
      <c r="F35" s="1825"/>
      <c r="G35" s="1827">
        <f>'Expenditures 15-22'!K69-SUM('Expenditures 15-22'!G69,'Expenditures 15-22'!I69)+'Expenditures 15-22'!D274</f>
        <v>108866</v>
      </c>
    </row>
    <row r="36" spans="1:7" ht="12" customHeight="1" x14ac:dyDescent="0.2">
      <c r="A36" s="995" t="s">
        <v>423</v>
      </c>
      <c r="B36" s="998"/>
      <c r="C36" s="994">
        <v>2640</v>
      </c>
      <c r="D36" s="1827">
        <f>'Expenditures 15-22'!K70-SUM('Expenditures 15-22'!G70,'Expenditures 15-22'!I70)+'Expenditures 15-22'!D275-E13</f>
        <v>307731</v>
      </c>
      <c r="E36" s="1827">
        <f>E13</f>
        <v>0</v>
      </c>
      <c r="F36" s="1827">
        <f>'Expenditures 15-22'!K70-SUM('Expenditures 15-22'!G70,'Expenditures 15-22'!I70)+'Expenditures 15-22'!D275-E13</f>
        <v>307731</v>
      </c>
      <c r="G36" s="1827">
        <f>E13</f>
        <v>0</v>
      </c>
    </row>
    <row r="37" spans="1:7" ht="12" customHeight="1" x14ac:dyDescent="0.2">
      <c r="A37" s="995" t="s">
        <v>424</v>
      </c>
      <c r="B37" s="998"/>
      <c r="C37" s="994">
        <v>2660</v>
      </c>
      <c r="D37" s="1827">
        <f>'Expenditures 15-22'!K71-SUM('Expenditures 15-22'!G71,'Expenditures 15-22'!I71)+'Expenditures 15-22'!D276-E14</f>
        <v>1088801</v>
      </c>
      <c r="E37" s="1827">
        <f>E14</f>
        <v>0</v>
      </c>
      <c r="F37" s="1827">
        <f>'Expenditures 15-22'!K71-SUM('Expenditures 15-22'!G71,'Expenditures 15-22'!I71)+'Expenditures 15-22'!D276-E14</f>
        <v>1088801</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74682</v>
      </c>
      <c r="F39" s="1825"/>
      <c r="G39" s="1827">
        <f>'Expenditures 15-22'!K75-SUM('Expenditures 15-22'!G75,'Expenditures 15-22'!I75)+'Expenditures 15-22'!K130-SUM('Expenditures 15-22'!G130,'Expenditures 15-22'!I130)+'Expenditures 15-22'!K185-SUM('Expenditures 15-22'!G185,'Expenditures 15-22'!I185)+'Expenditures 15-22'!D280</f>
        <v>74682</v>
      </c>
    </row>
    <row r="40" spans="1:7" ht="12" customHeight="1" x14ac:dyDescent="0.2">
      <c r="A40" s="991" t="s">
        <v>1930</v>
      </c>
      <c r="B40" s="992"/>
      <c r="C40" s="994"/>
      <c r="D40" s="1825"/>
      <c r="E40" s="1829">
        <f>-'Contracts Paid in CY 29'!G141</f>
        <v>-1986041</v>
      </c>
      <c r="F40" s="1825"/>
      <c r="G40" s="1829">
        <f>-'Contracts Paid in CY 29'!G141</f>
        <v>-1986041</v>
      </c>
    </row>
    <row r="41" spans="1:7" ht="12" customHeight="1" x14ac:dyDescent="0.2">
      <c r="A41" s="999" t="s">
        <v>158</v>
      </c>
      <c r="B41" s="1000"/>
      <c r="C41" s="1001"/>
      <c r="D41" s="1829">
        <f>SUM(D19:D39)</f>
        <v>2226693</v>
      </c>
      <c r="E41" s="1829">
        <f>SUM(E19:E40)</f>
        <v>28401853</v>
      </c>
      <c r="F41" s="1829">
        <f>SUM(F19:F39)</f>
        <v>4922935</v>
      </c>
      <c r="G41" s="1829">
        <f>SUM(G19:G40)</f>
        <v>25705611</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2226693</v>
      </c>
      <c r="F43" s="1830" t="s">
        <v>495</v>
      </c>
      <c r="G43" s="1831">
        <f>F41</f>
        <v>4922935</v>
      </c>
    </row>
    <row r="44" spans="1:7" ht="12" customHeight="1" x14ac:dyDescent="0.2">
      <c r="A44" s="988"/>
      <c r="B44" s="162"/>
      <c r="C44" s="1002"/>
      <c r="D44" s="1830" t="s">
        <v>494</v>
      </c>
      <c r="E44" s="1831">
        <f>E41</f>
        <v>28401853</v>
      </c>
      <c r="F44" s="1830" t="s">
        <v>494</v>
      </c>
      <c r="G44" s="1831">
        <f>G41</f>
        <v>25705611</v>
      </c>
    </row>
    <row r="45" spans="1:7" ht="12" customHeight="1" x14ac:dyDescent="0.2">
      <c r="A45" s="988"/>
      <c r="B45" s="162"/>
      <c r="C45" s="162"/>
      <c r="D45" s="1832" t="s">
        <v>1063</v>
      </c>
      <c r="E45" s="1833">
        <f>(E43/E44)</f>
        <v>7.8399567802847236E-2</v>
      </c>
      <c r="F45" s="1832" t="s">
        <v>1063</v>
      </c>
      <c r="G45" s="1833">
        <f>(G43/G44)</f>
        <v>0.19151207882201282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F27" sqref="F27"/>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22" t="s">
        <v>1446</v>
      </c>
      <c r="B1" s="2322"/>
      <c r="C1" s="2322"/>
      <c r="D1" s="2322"/>
      <c r="E1" s="2322"/>
      <c r="F1" s="2322"/>
    </row>
    <row r="2" spans="1:10" x14ac:dyDescent="0.2">
      <c r="A2" s="1911" t="s">
        <v>2048</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23" t="s">
        <v>1627</v>
      </c>
      <c r="B5" s="2324"/>
      <c r="C5" s="2325"/>
      <c r="D5" s="2325"/>
      <c r="E5" s="2325"/>
      <c r="F5" s="2325"/>
    </row>
    <row r="6" spans="1:10" ht="12" customHeight="1" x14ac:dyDescent="0.25">
      <c r="A6" s="1874"/>
      <c r="B6" s="1875"/>
      <c r="C6" s="2326" t="str">
        <f>COVER!A17</f>
        <v>LIBERTYVILLE SCHOOL DISTRICT NO. 70</v>
      </c>
      <c r="D6" s="2326"/>
      <c r="E6" s="2326"/>
      <c r="F6" s="1876"/>
    </row>
    <row r="7" spans="1:10" ht="11.25" customHeight="1" thickBot="1" x14ac:dyDescent="0.3">
      <c r="A7" s="1874"/>
      <c r="B7" s="1875"/>
      <c r="C7" s="2327" t="str">
        <f>COVER!A13</f>
        <v>34-049-0700-02</v>
      </c>
      <c r="D7" s="2327"/>
      <c r="E7" s="2327"/>
      <c r="F7" s="1876"/>
    </row>
    <row r="8" spans="1:10" ht="25.5" customHeight="1" thickBot="1" x14ac:dyDescent="0.25">
      <c r="A8" s="1917" t="s">
        <v>2025</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t="s">
        <v>2092</v>
      </c>
      <c r="D14" s="1889" t="s">
        <v>2092</v>
      </c>
      <c r="E14" s="1892" t="s">
        <v>2092</v>
      </c>
      <c r="F14" s="1891" t="s">
        <v>2093</v>
      </c>
      <c r="H14" s="1902">
        <f t="shared" si="0"/>
        <v>5</v>
      </c>
      <c r="I14" s="1902">
        <f t="shared" si="1"/>
        <v>5</v>
      </c>
      <c r="J14" s="1902">
        <f t="shared" si="2"/>
        <v>5</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t="s">
        <v>2077</v>
      </c>
      <c r="D19" s="1889" t="s">
        <v>2077</v>
      </c>
      <c r="E19" s="1892" t="s">
        <v>2092</v>
      </c>
      <c r="F19" s="1891" t="s">
        <v>2094</v>
      </c>
      <c r="H19" s="1902">
        <f t="shared" si="0"/>
        <v>5</v>
      </c>
      <c r="I19" s="1902">
        <f t="shared" si="1"/>
        <v>5</v>
      </c>
      <c r="J19" s="1902">
        <f t="shared" si="2"/>
        <v>5</v>
      </c>
    </row>
    <row r="20" spans="1:12" ht="12" customHeight="1" x14ac:dyDescent="0.2">
      <c r="A20" s="1887" t="s">
        <v>1609</v>
      </c>
      <c r="B20" s="1888"/>
      <c r="C20" s="1889" t="s">
        <v>2077</v>
      </c>
      <c r="D20" s="1889" t="s">
        <v>2077</v>
      </c>
      <c r="E20" s="1892" t="s">
        <v>2092</v>
      </c>
      <c r="F20" s="1891" t="s">
        <v>2095</v>
      </c>
      <c r="H20" s="1902">
        <f t="shared" si="0"/>
        <v>5</v>
      </c>
      <c r="I20" s="1902">
        <f t="shared" si="1"/>
        <v>5</v>
      </c>
      <c r="J20" s="1902">
        <f t="shared" si="2"/>
        <v>5</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t="s">
        <v>2092</v>
      </c>
      <c r="D25" s="1889" t="s">
        <v>2092</v>
      </c>
      <c r="E25" s="1892" t="s">
        <v>2092</v>
      </c>
      <c r="F25" s="1891" t="s">
        <v>2118</v>
      </c>
      <c r="H25" s="1902">
        <f t="shared" si="0"/>
        <v>5</v>
      </c>
      <c r="I25" s="1902">
        <f t="shared" si="1"/>
        <v>5</v>
      </c>
      <c r="J25" s="1902">
        <f t="shared" si="2"/>
        <v>5</v>
      </c>
    </row>
    <row r="26" spans="1:12" ht="12" customHeight="1" x14ac:dyDescent="0.2">
      <c r="A26" s="1887" t="s">
        <v>1615</v>
      </c>
      <c r="B26" s="1888"/>
      <c r="C26" s="1889" t="s">
        <v>2077</v>
      </c>
      <c r="D26" s="1889" t="s">
        <v>2077</v>
      </c>
      <c r="E26" s="1892" t="s">
        <v>2092</v>
      </c>
      <c r="F26" s="1891" t="s">
        <v>2096</v>
      </c>
      <c r="H26" s="1902">
        <f t="shared" si="0"/>
        <v>5</v>
      </c>
      <c r="I26" s="1902">
        <f t="shared" si="1"/>
        <v>5</v>
      </c>
      <c r="J26" s="1902">
        <f t="shared" si="2"/>
        <v>5</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25</v>
      </c>
      <c r="I34" s="1902">
        <f>SUM(I11:I32)</f>
        <v>25</v>
      </c>
      <c r="J34" s="1902">
        <f>SUM(J11:J32)</f>
        <v>25</v>
      </c>
      <c r="K34" s="1902">
        <f>SUM(H34:J34)</f>
        <v>75</v>
      </c>
    </row>
    <row r="35" spans="1:11" ht="12" customHeight="1" x14ac:dyDescent="0.2">
      <c r="A35" s="1895" t="s">
        <v>1459</v>
      </c>
      <c r="B35" s="1896"/>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7"/>
      <c r="B39" s="1897"/>
      <c r="C39" s="1897"/>
      <c r="D39" s="1897"/>
      <c r="E39" s="1897"/>
      <c r="F39" s="1897"/>
    </row>
    <row r="40" spans="1:11" s="1894" customFormat="1" ht="12" customHeight="1" x14ac:dyDescent="0.25">
      <c r="A40" s="1898" t="s">
        <v>1458</v>
      </c>
      <c r="B40" s="1899"/>
      <c r="C40" s="2317"/>
      <c r="D40" s="2317"/>
      <c r="E40" s="2317"/>
      <c r="F40" s="2318"/>
      <c r="H40" s="1903"/>
      <c r="I40" s="1903"/>
      <c r="J40" s="1903"/>
      <c r="K40" s="1903"/>
    </row>
    <row r="41" spans="1:11" s="1894" customFormat="1" ht="12" customHeight="1" x14ac:dyDescent="0.25">
      <c r="A41" s="2319"/>
      <c r="B41" s="2320"/>
      <c r="C41" s="2320"/>
      <c r="D41" s="2320"/>
      <c r="E41" s="2320"/>
      <c r="F41" s="2321"/>
      <c r="H41" s="1903"/>
      <c r="I41" s="1903"/>
      <c r="J41" s="1903"/>
      <c r="K41" s="1903"/>
    </row>
    <row r="42" spans="1:11" s="1894" customFormat="1" ht="12" customHeight="1" x14ac:dyDescent="0.25">
      <c r="A42" s="2319"/>
      <c r="B42" s="2320"/>
      <c r="C42" s="2320"/>
      <c r="D42" s="2320"/>
      <c r="E42" s="2320"/>
      <c r="F42" s="2321"/>
      <c r="H42" s="1903"/>
      <c r="I42" s="1903"/>
      <c r="J42" s="1903"/>
      <c r="K42" s="1903"/>
    </row>
    <row r="43" spans="1:11" s="1894" customFormat="1" ht="15" x14ac:dyDescent="0.25">
      <c r="A43" s="2308"/>
      <c r="B43" s="2309"/>
      <c r="C43" s="2309"/>
      <c r="D43" s="2309"/>
      <c r="E43" s="2309"/>
      <c r="F43" s="2310"/>
      <c r="H43" s="1903"/>
      <c r="I43" s="1903"/>
      <c r="J43" s="1903"/>
      <c r="K43" s="1903"/>
    </row>
    <row r="44" spans="1:11" s="1894" customFormat="1" ht="12" hidden="1" customHeight="1" x14ac:dyDescent="0.25">
      <c r="A44" s="2308"/>
      <c r="B44" s="2309"/>
      <c r="C44" s="2309"/>
      <c r="D44" s="2309"/>
      <c r="E44" s="2309"/>
      <c r="F44" s="2310"/>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J24" sqref="J2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5" t="str">
        <f>COVER!A17</f>
        <v>LIBERTYVILLE SCHOOL DISTRICT NO. 70</v>
      </c>
      <c r="J6" s="2336"/>
      <c r="Q6" s="1686"/>
    </row>
    <row r="7" spans="1:17" x14ac:dyDescent="0.2">
      <c r="A7" s="2337" t="s">
        <v>924</v>
      </c>
      <c r="B7" s="2338"/>
      <c r="C7" s="2338"/>
      <c r="D7" s="2338"/>
      <c r="E7" s="2339"/>
      <c r="F7" s="1018"/>
      <c r="G7" s="1010"/>
      <c r="H7" s="1017" t="s">
        <v>390</v>
      </c>
      <c r="I7" s="2340" t="str">
        <f>COVER!A13</f>
        <v>34-049-0700-02</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390283</v>
      </c>
      <c r="F12" s="1040"/>
      <c r="G12" s="1834">
        <f t="shared" ref="G12:G18" si="0">SUM(E12:F12)</f>
        <v>390283</v>
      </c>
      <c r="H12" s="1041">
        <v>420900</v>
      </c>
      <c r="I12" s="1040"/>
      <c r="J12" s="1834">
        <f t="shared" ref="J12:J18" si="1">SUM(H12:I12)</f>
        <v>420900</v>
      </c>
    </row>
    <row r="13" spans="1:17" ht="15" customHeight="1" x14ac:dyDescent="0.2">
      <c r="A13" s="1036">
        <v>2</v>
      </c>
      <c r="B13" s="1037" t="s">
        <v>44</v>
      </c>
      <c r="C13" s="1038"/>
      <c r="D13" s="1039">
        <v>2330</v>
      </c>
      <c r="E13" s="1834">
        <f>'Expenditures 15-22'!K51</f>
        <v>245248</v>
      </c>
      <c r="F13" s="1040"/>
      <c r="G13" s="1834">
        <f t="shared" si="0"/>
        <v>245248</v>
      </c>
      <c r="H13" s="1041">
        <v>238700</v>
      </c>
      <c r="I13" s="1040"/>
      <c r="J13" s="1834">
        <f t="shared" si="1"/>
        <v>238700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372832</v>
      </c>
      <c r="F15" s="1834">
        <f>'Expenditures 15-22'!K122</f>
        <v>0</v>
      </c>
      <c r="G15" s="1834">
        <f t="shared" si="0"/>
        <v>372832</v>
      </c>
      <c r="H15" s="1041">
        <v>415800</v>
      </c>
      <c r="I15" s="1041"/>
      <c r="J15" s="1834">
        <f t="shared" si="1"/>
        <v>415800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v>22983</v>
      </c>
      <c r="I18" s="1041"/>
      <c r="J18" s="1834">
        <f t="shared" si="1"/>
        <v>22983</v>
      </c>
    </row>
    <row r="19" spans="1:10" ht="12.75" customHeight="1" thickBot="1" x14ac:dyDescent="0.25">
      <c r="A19" s="1036">
        <v>8</v>
      </c>
      <c r="B19" s="1045" t="s">
        <v>1223</v>
      </c>
      <c r="D19" s="1046"/>
      <c r="E19" s="1836">
        <f t="shared" ref="E19:J19" si="2">SUM(E12:E17)-E18</f>
        <v>1008363</v>
      </c>
      <c r="F19" s="1836">
        <f t="shared" si="2"/>
        <v>0</v>
      </c>
      <c r="G19" s="1836">
        <f t="shared" si="2"/>
        <v>1008363</v>
      </c>
      <c r="H19" s="1836">
        <f t="shared" si="2"/>
        <v>1052417</v>
      </c>
      <c r="I19" s="1836">
        <f t="shared" si="2"/>
        <v>0</v>
      </c>
      <c r="J19" s="1836">
        <f t="shared" si="2"/>
        <v>1052417</v>
      </c>
    </row>
    <row r="20" spans="1:10" ht="13.5" thickTop="1" x14ac:dyDescent="0.2">
      <c r="A20" s="1036">
        <v>9</v>
      </c>
      <c r="B20" s="2347" t="s">
        <v>1703</v>
      </c>
      <c r="C20" s="2347"/>
      <c r="D20" s="2348"/>
      <c r="E20" s="1047"/>
      <c r="F20" s="1047"/>
      <c r="G20" s="1047"/>
      <c r="H20" s="1047"/>
      <c r="I20" s="1047"/>
      <c r="J20" s="1837">
        <f>IF(AND(G19&gt;0,J19&gt;0),(((J19-G19)/G19)),"Enter Budget Data")</f>
        <v>4.3688631970827965E-2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9" sqref="B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2119</v>
      </c>
    </row>
    <row r="6" spans="1:2" x14ac:dyDescent="0.2">
      <c r="A6" s="1069">
        <v>2</v>
      </c>
      <c r="B6" s="329" t="s">
        <v>2120</v>
      </c>
    </row>
    <row r="7" spans="1:2" x14ac:dyDescent="0.2">
      <c r="A7" s="1069">
        <v>3</v>
      </c>
      <c r="B7" s="329" t="s">
        <v>2121</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LIBERTYVILLE SCHOOL DISTRICT NO. 70</v>
      </c>
    </row>
    <row r="65" spans="2:2" x14ac:dyDescent="0.2">
      <c r="B65" s="1071" t="str">
        <f>COVER!A13</f>
        <v>34-049-0700-02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0</xdr:col>
                <xdr:colOff>0</xdr:colOff>
                <xdr:row>0</xdr:row>
                <xdr:rowOff>0</xdr:rowOff>
              </from>
              <to>
                <xdr:col>1</xdr:col>
                <xdr:colOff>733425</xdr:colOff>
                <xdr:row>3</xdr:row>
                <xdr:rowOff>28575</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2056</v>
      </c>
      <c r="B4" s="2375"/>
      <c r="C4" s="2375"/>
      <c r="D4" s="2375"/>
      <c r="E4" s="2375"/>
      <c r="F4" s="2376"/>
      <c r="G4" s="1075"/>
      <c r="H4" s="1075"/>
    </row>
    <row r="5" spans="1:8" ht="14.25" customHeight="1" x14ac:dyDescent="0.2">
      <c r="A5" s="2377" t="s">
        <v>2057</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29276085</v>
      </c>
      <c r="C8" s="1838">
        <f>'Acct Summary 7-8'!D8</f>
        <v>4490538</v>
      </c>
      <c r="D8" s="1838">
        <f>'Acct Summary 7-8'!F8</f>
        <v>2250632</v>
      </c>
      <c r="E8" s="1838">
        <f>'Acct Summary 7-8'!I8</f>
        <v>213895</v>
      </c>
      <c r="F8" s="1838">
        <f>SUM(B8:E8)</f>
        <v>36231150</v>
      </c>
    </row>
    <row r="9" spans="1:8" s="1080" customFormat="1" ht="14.25" customHeight="1" thickBot="1" x14ac:dyDescent="0.25">
      <c r="A9" s="1079" t="s">
        <v>1436</v>
      </c>
      <c r="B9" s="1839">
        <f>'Acct Summary 7-8'!C17</f>
        <v>27737456</v>
      </c>
      <c r="C9" s="1839">
        <f>'Acct Summary 7-8'!D17</f>
        <v>2971031</v>
      </c>
      <c r="D9" s="1839">
        <f>'Acct Summary 7-8'!F17</f>
        <v>2295846</v>
      </c>
      <c r="E9" s="1838"/>
      <c r="F9" s="1838">
        <f>SUM(B9:E9)</f>
        <v>33004333</v>
      </c>
    </row>
    <row r="10" spans="1:8" s="1080" customFormat="1" ht="14.25" thickTop="1" thickBot="1" x14ac:dyDescent="0.25">
      <c r="A10" s="1081" t="s">
        <v>1437</v>
      </c>
      <c r="B10" s="1840">
        <f>(B8-B9)</f>
        <v>1538629</v>
      </c>
      <c r="C10" s="1840">
        <f>(C8-C9)</f>
        <v>1519507</v>
      </c>
      <c r="D10" s="1840">
        <f>(D8-D9)</f>
        <v>-45214</v>
      </c>
      <c r="E10" s="1839">
        <f>(E8-E9)</f>
        <v>213895</v>
      </c>
      <c r="F10" s="1841">
        <f>SUM(F8-F9)</f>
        <v>3226817</v>
      </c>
    </row>
    <row r="11" spans="1:8" s="1080" customFormat="1" ht="14.25" thickTop="1" thickBot="1" x14ac:dyDescent="0.25">
      <c r="A11" s="1082" t="s">
        <v>1785</v>
      </c>
      <c r="B11" s="1842">
        <f>'Acct Summary 7-8'!C81</f>
        <v>13222985</v>
      </c>
      <c r="C11" s="1842">
        <f>'Acct Summary 7-8'!D81</f>
        <v>1686560</v>
      </c>
      <c r="D11" s="1842">
        <f>'Acct Summary 7-8'!F81</f>
        <v>331288</v>
      </c>
      <c r="E11" s="1842">
        <f>'Acct Summary 7-8'!I81</f>
        <v>5530149</v>
      </c>
      <c r="F11" s="1843">
        <f>SUM(B11:E11)</f>
        <v>20770982</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17" colorId="8" zoomScale="110" zoomScaleNormal="110" workbookViewId="0">
      <selection activeCell="C45" sqref="C45"/>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34-049-0700-02</v>
      </c>
    </row>
    <row r="3" spans="1:2" x14ac:dyDescent="0.2">
      <c r="A3" t="s">
        <v>1013</v>
      </c>
      <c r="B3" s="138" t="str">
        <f>COVER!A15</f>
        <v>LAKE</v>
      </c>
    </row>
    <row r="4" spans="1:2" x14ac:dyDescent="0.2">
      <c r="A4" t="s">
        <v>1064</v>
      </c>
      <c r="B4" s="138" t="str">
        <f>COVER!A17</f>
        <v>LIBERTYVILLE SCHOOL DISTRICT NO. 70</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066-033289</v>
      </c>
    </row>
    <row r="16" spans="1:2" x14ac:dyDescent="0.2">
      <c r="A16" t="s">
        <v>442</v>
      </c>
      <c r="B16" s="138" t="str">
        <f>COVER!T13</f>
        <v>EVOY, KAMSCHULTE, JACOBS &amp; CO., LLP</v>
      </c>
    </row>
    <row r="17" spans="1:2" x14ac:dyDescent="0.2">
      <c r="A17" t="s">
        <v>939</v>
      </c>
      <c r="B17" s="138" t="str">
        <f>COVER!T15</f>
        <v>KEVIN KINNAVY</v>
      </c>
    </row>
    <row r="18" spans="1:2" x14ac:dyDescent="0.2">
      <c r="A18" t="s">
        <v>1212</v>
      </c>
      <c r="B18" s="138" t="str">
        <f>COVER!T17</f>
        <v>2122 YEOMAN STREET</v>
      </c>
    </row>
    <row r="19" spans="1:2" x14ac:dyDescent="0.2">
      <c r="A19" t="s">
        <v>941</v>
      </c>
      <c r="B19" s="138" t="str">
        <f>COVER!T25</f>
        <v>kkinnavy@ekjllp.com</v>
      </c>
    </row>
    <row r="20" spans="1:2" x14ac:dyDescent="0.2">
      <c r="A20" t="s">
        <v>942</v>
      </c>
      <c r="B20" s="138" t="str">
        <f>COVER!T19</f>
        <v>WAUKEGAN</v>
      </c>
    </row>
    <row r="21" spans="1:2" x14ac:dyDescent="0.2">
      <c r="A21" t="s">
        <v>500</v>
      </c>
      <c r="B21" s="138" t="str">
        <f>COVER!X19</f>
        <v>IL</v>
      </c>
    </row>
    <row r="22" spans="1:2" x14ac:dyDescent="0.2">
      <c r="A22" t="s">
        <v>943</v>
      </c>
      <c r="B22" s="138">
        <f>COVER!Z19</f>
        <v>60087</v>
      </c>
    </row>
    <row r="23" spans="1:2" x14ac:dyDescent="0.2">
      <c r="A23" t="s">
        <v>1214</v>
      </c>
      <c r="B23" s="138" t="str">
        <f>COVER!T21</f>
        <v>847-662-8300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33604</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14296979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1073994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1073994</v>
      </c>
      <c r="C91" s="2" t="s">
        <v>594</v>
      </c>
      <c r="D91" s="2" t="str">
        <f t="shared" si="0"/>
        <v>Error?</v>
      </c>
    </row>
    <row r="92" spans="1:4" x14ac:dyDescent="0.2">
      <c r="A92" s="5">
        <v>31</v>
      </c>
      <c r="B92" s="138">
        <f>'Assets-Liab 5-6'!C39</f>
        <v>13222985</v>
      </c>
      <c r="D92" s="2" t="str">
        <f t="shared" si="0"/>
        <v>Error?</v>
      </c>
    </row>
    <row r="93" spans="1:4" x14ac:dyDescent="0.2">
      <c r="A93" s="5">
        <v>32</v>
      </c>
      <c r="B93" s="138">
        <f>'Assets-Liab 5-6'!C41</f>
        <v>14296979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1686880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320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320</v>
      </c>
      <c r="C122" s="2" t="s">
        <v>594</v>
      </c>
      <c r="D122" s="2" t="str">
        <f t="shared" si="0"/>
        <v>Error?</v>
      </c>
    </row>
    <row r="123" spans="1:4" x14ac:dyDescent="0.2">
      <c r="A123" s="5">
        <v>62</v>
      </c>
      <c r="B123" s="138">
        <f>'Assets-Liab 5-6'!D39</f>
        <v>1686560</v>
      </c>
      <c r="D123" s="2" t="str">
        <f t="shared" si="0"/>
        <v>Error?</v>
      </c>
    </row>
    <row r="124" spans="1:4" x14ac:dyDescent="0.2">
      <c r="A124" s="5">
        <v>63</v>
      </c>
      <c r="B124" s="138">
        <f>'Assets-Liab 5-6'!D41</f>
        <v>1686880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52745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52745</v>
      </c>
      <c r="D140" s="2" t="str">
        <f t="shared" si="1"/>
        <v>Error?</v>
      </c>
    </row>
    <row r="141" spans="1:4" x14ac:dyDescent="0.2">
      <c r="A141" s="5">
        <v>80</v>
      </c>
      <c r="B141" s="138">
        <f>'Assets-Liab 5-6'!E41</f>
        <v>52745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331288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331288</v>
      </c>
      <c r="D170" s="2" t="str">
        <f t="shared" si="1"/>
        <v>Error?</v>
      </c>
    </row>
    <row r="171" spans="1:4" x14ac:dyDescent="0.2">
      <c r="A171" s="5">
        <v>110</v>
      </c>
      <c r="B171" s="138">
        <f>'Assets-Liab 5-6'!F41</f>
        <v>331288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509163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509163</v>
      </c>
      <c r="D189" s="2" t="str">
        <f t="shared" si="1"/>
        <v>Error?</v>
      </c>
    </row>
    <row r="190" spans="1:4" x14ac:dyDescent="0.2">
      <c r="A190" s="5">
        <v>129</v>
      </c>
      <c r="B190" s="138">
        <f>'Assets-Liab 5-6'!G41</f>
        <v>509163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313824</v>
      </c>
      <c r="D273" s="2" t="str">
        <f t="shared" si="3"/>
        <v>Error?</v>
      </c>
    </row>
    <row r="274" spans="1:4" x14ac:dyDescent="0.2">
      <c r="A274" s="5">
        <v>213</v>
      </c>
      <c r="B274" s="138">
        <f>'Assets-Liab 5-6'!M17</f>
        <v>46772132</v>
      </c>
      <c r="D274" s="2" t="str">
        <f t="shared" si="3"/>
        <v>Error?</v>
      </c>
    </row>
    <row r="275" spans="1:4" x14ac:dyDescent="0.2">
      <c r="A275" s="5">
        <v>214</v>
      </c>
      <c r="B275" s="138">
        <f>'Assets-Liab 5-6'!M18</f>
        <v>894989</v>
      </c>
      <c r="D275" s="2" t="str">
        <f t="shared" si="3"/>
        <v>Error?</v>
      </c>
    </row>
    <row r="276" spans="1:4" x14ac:dyDescent="0.2">
      <c r="A276" s="5">
        <v>215</v>
      </c>
      <c r="B276" s="138">
        <f>'Assets-Liab 5-6'!M19</f>
        <v>3038512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51019457</v>
      </c>
      <c r="C279" s="2" t="s">
        <v>594</v>
      </c>
      <c r="D279" s="2" t="str">
        <f t="shared" si="3"/>
        <v>Error?</v>
      </c>
    </row>
    <row r="280" spans="1:4" x14ac:dyDescent="0.2">
      <c r="A280" s="5">
        <v>219</v>
      </c>
      <c r="B280" s="138">
        <f>'Assets-Liab 5-6'!M40</f>
        <v>51019457</v>
      </c>
      <c r="D280" s="2" t="str">
        <f t="shared" si="3"/>
        <v>Error?</v>
      </c>
    </row>
    <row r="281" spans="1:4" x14ac:dyDescent="0.2">
      <c r="A281" s="5">
        <v>220</v>
      </c>
      <c r="B281" s="138">
        <f>'Assets-Liab 5-6'!M41</f>
        <v>51019457</v>
      </c>
      <c r="C281" s="2" t="s">
        <v>594</v>
      </c>
      <c r="D281" s="2" t="str">
        <f t="shared" si="3"/>
        <v>Error?</v>
      </c>
    </row>
    <row r="282" spans="1:4" x14ac:dyDescent="0.2">
      <c r="A282" s="5">
        <v>221</v>
      </c>
      <c r="B282" s="138">
        <f>'Assets-Liab 5-6'!N21</f>
        <v>52745</v>
      </c>
      <c r="D282" s="2" t="str">
        <f t="shared" si="3"/>
        <v>Error?</v>
      </c>
    </row>
    <row r="283" spans="1:4" x14ac:dyDescent="0.2">
      <c r="A283" s="5">
        <v>222</v>
      </c>
      <c r="B283" s="138">
        <f>'Assets-Liab 5-6'!N22</f>
        <v>14380355</v>
      </c>
      <c r="D283" s="2" t="str">
        <f t="shared" si="3"/>
        <v>Error?</v>
      </c>
    </row>
    <row r="284" spans="1:4" x14ac:dyDescent="0.2">
      <c r="A284" s="5">
        <v>223</v>
      </c>
      <c r="B284" s="138">
        <f>'Assets-Liab 5-6'!N23</f>
        <v>14433100</v>
      </c>
      <c r="C284" s="2" t="s">
        <v>594</v>
      </c>
      <c r="D284" s="2" t="str">
        <f t="shared" si="3"/>
        <v>Error?</v>
      </c>
    </row>
    <row r="285" spans="1:4" x14ac:dyDescent="0.2">
      <c r="A285" s="5">
        <v>224</v>
      </c>
      <c r="B285" s="138">
        <f>'Assets-Liab 5-6'!N36</f>
        <v>14433100</v>
      </c>
      <c r="D285" s="2" t="str">
        <f t="shared" si="3"/>
        <v>Error?</v>
      </c>
    </row>
    <row r="286" spans="1:4" x14ac:dyDescent="0.2">
      <c r="A286" s="10">
        <v>225</v>
      </c>
      <c r="D286" s="2" t="str">
        <f t="shared" si="3"/>
        <v>OK</v>
      </c>
    </row>
    <row r="287" spans="1:4" x14ac:dyDescent="0.2">
      <c r="A287" s="5">
        <v>226</v>
      </c>
      <c r="B287" s="138">
        <f>'Assets-Liab 5-6'!N37</f>
        <v>14433100</v>
      </c>
      <c r="C287" s="2" t="s">
        <v>594</v>
      </c>
      <c r="D287" s="2" t="str">
        <f t="shared" si="3"/>
        <v>Error?</v>
      </c>
    </row>
    <row r="288" spans="1:4" x14ac:dyDescent="0.2">
      <c r="A288" s="5">
        <v>227</v>
      </c>
      <c r="B288" s="138">
        <f>'Assets-Liab 5-6'!N41</f>
        <v>14433100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11411249</v>
      </c>
      <c r="D705" s="2" t="str">
        <f t="shared" si="10"/>
        <v>Error?</v>
      </c>
    </row>
    <row r="706" spans="1:4" x14ac:dyDescent="0.2">
      <c r="A706" s="5">
        <v>645</v>
      </c>
      <c r="B706" s="138">
        <f>'Expenditures 15-22'!C16</f>
        <v>385981</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201908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455885</v>
      </c>
      <c r="D718" s="2" t="str">
        <f t="shared" si="10"/>
        <v>Error?</v>
      </c>
    </row>
    <row r="719" spans="1:4" x14ac:dyDescent="0.2">
      <c r="A719" s="5">
        <v>658</v>
      </c>
      <c r="B719" s="138">
        <f>'Expenditures 15-22'!C15</f>
        <v>268662</v>
      </c>
      <c r="D719" s="2" t="str">
        <f t="shared" si="10"/>
        <v>Error?</v>
      </c>
    </row>
    <row r="720" spans="1:4" x14ac:dyDescent="0.2">
      <c r="A720" s="5">
        <v>659</v>
      </c>
      <c r="B720" s="138">
        <f>'Expenditures 15-22'!C33</f>
        <v>14461953</v>
      </c>
      <c r="C720" s="2" t="s">
        <v>594</v>
      </c>
      <c r="D720" s="2" t="str">
        <f t="shared" si="10"/>
        <v>Error?</v>
      </c>
    </row>
    <row r="721" spans="1:4" x14ac:dyDescent="0.2">
      <c r="A721" s="5">
        <v>660</v>
      </c>
      <c r="B721" s="138">
        <f>'Expenditures 15-22'!C36</f>
        <v>564299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397027</v>
      </c>
      <c r="D723" s="2" t="str">
        <f t="shared" si="10"/>
        <v>Error?</v>
      </c>
    </row>
    <row r="724" spans="1:4" x14ac:dyDescent="0.2">
      <c r="A724" s="5">
        <v>663</v>
      </c>
      <c r="B724" s="138">
        <f>'Expenditures 15-22'!C39</f>
        <v>362452</v>
      </c>
      <c r="D724" s="2" t="str">
        <f t="shared" si="10"/>
        <v>Error?</v>
      </c>
    </row>
    <row r="725" spans="1:4" x14ac:dyDescent="0.2">
      <c r="A725" s="5">
        <v>664</v>
      </c>
      <c r="B725" s="138">
        <f>'Expenditures 15-22'!C40</f>
        <v>806123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2129901</v>
      </c>
      <c r="C727" s="2" t="s">
        <v>594</v>
      </c>
      <c r="D727" s="2" t="str">
        <f t="shared" si="10"/>
        <v>Error?</v>
      </c>
    </row>
    <row r="728" spans="1:4" x14ac:dyDescent="0.2">
      <c r="A728" s="5">
        <v>667</v>
      </c>
      <c r="B728" s="138">
        <f>'Expenditures 15-22'!C44</f>
        <v>256007</v>
      </c>
      <c r="D728" s="2" t="str">
        <f t="shared" si="10"/>
        <v>Error?</v>
      </c>
    </row>
    <row r="729" spans="1:4" x14ac:dyDescent="0.2">
      <c r="A729" s="5">
        <v>668</v>
      </c>
      <c r="B729" s="138">
        <f>'Expenditures 15-22'!C45</f>
        <v>566063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822070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341362</v>
      </c>
      <c r="D733" s="2" t="str">
        <f t="shared" si="10"/>
        <v>Error?</v>
      </c>
    </row>
    <row r="734" spans="1:4" x14ac:dyDescent="0.2">
      <c r="A734" s="5">
        <v>673</v>
      </c>
      <c r="B734" s="138">
        <f>'Expenditures 15-22'!C53</f>
        <v>533676</v>
      </c>
      <c r="C734" s="2" t="s">
        <v>594</v>
      </c>
      <c r="D734" s="2" t="str">
        <f t="shared" si="10"/>
        <v>Error?</v>
      </c>
    </row>
    <row r="735" spans="1:4" x14ac:dyDescent="0.2">
      <c r="A735" s="5">
        <v>674</v>
      </c>
      <c r="B735" s="138">
        <f>'Expenditures 15-22'!C55</f>
        <v>1153046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1153046</v>
      </c>
      <c r="C737" s="2" t="s">
        <v>594</v>
      </c>
      <c r="D737" s="2" t="str">
        <f t="shared" si="10"/>
        <v>Error?</v>
      </c>
    </row>
    <row r="738" spans="1:4" x14ac:dyDescent="0.2">
      <c r="A738" s="5">
        <v>677</v>
      </c>
      <c r="B738" s="138">
        <f>'Expenditures 15-22'!C59</f>
        <v>320903</v>
      </c>
      <c r="D738" s="2" t="str">
        <f t="shared" si="10"/>
        <v>Error?</v>
      </c>
    </row>
    <row r="739" spans="1:4" x14ac:dyDescent="0.2">
      <c r="A739" s="5">
        <v>678</v>
      </c>
      <c r="B739" s="138">
        <f>'Expenditures 15-22'!C60</f>
        <v>145461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108464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574828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72390</v>
      </c>
      <c r="D748" s="2" t="str">
        <f t="shared" si="10"/>
        <v>Error?</v>
      </c>
    </row>
    <row r="749" spans="1:4" x14ac:dyDescent="0.2">
      <c r="A749" s="5">
        <v>688</v>
      </c>
      <c r="B749" s="138">
        <f>'Expenditures 15-22'!C70</f>
        <v>226399</v>
      </c>
      <c r="D749" s="2" t="str">
        <f t="shared" si="10"/>
        <v>Error?</v>
      </c>
    </row>
    <row r="750" spans="1:4" x14ac:dyDescent="0.2">
      <c r="A750" s="10">
        <v>689</v>
      </c>
      <c r="D750" s="2" t="str">
        <f t="shared" si="10"/>
        <v>OK</v>
      </c>
    </row>
    <row r="751" spans="1:4" x14ac:dyDescent="0.2">
      <c r="A751" s="5">
        <v>690</v>
      </c>
      <c r="B751" s="138">
        <f>'Expenditures 15-22'!C71</f>
        <v>613737</v>
      </c>
      <c r="D751" s="2" t="str">
        <f t="shared" si="10"/>
        <v>Error?</v>
      </c>
    </row>
    <row r="752" spans="1:4" x14ac:dyDescent="0.2">
      <c r="A752" s="10">
        <v>691</v>
      </c>
      <c r="D752" s="2" t="str">
        <f t="shared" si="10"/>
        <v>OK</v>
      </c>
    </row>
    <row r="753" spans="1:4" x14ac:dyDescent="0.2">
      <c r="A753" s="5">
        <v>692</v>
      </c>
      <c r="B753" s="138">
        <f>'Expenditures 15-22'!C72</f>
        <v>912526</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6126047</v>
      </c>
      <c r="C755" s="2" t="s">
        <v>594</v>
      </c>
      <c r="D755" s="2" t="str">
        <f t="shared" si="10"/>
        <v>Error?</v>
      </c>
    </row>
    <row r="756" spans="1:4" x14ac:dyDescent="0.2">
      <c r="A756" s="5">
        <v>695</v>
      </c>
      <c r="B756" s="138">
        <f>'Expenditures 15-22'!C75</f>
        <v>34871</v>
      </c>
      <c r="D756" s="2" t="str">
        <f t="shared" si="10"/>
        <v>Error?</v>
      </c>
    </row>
    <row r="757" spans="1:4" x14ac:dyDescent="0.2">
      <c r="A757" s="5">
        <v>696</v>
      </c>
      <c r="B757" s="138">
        <f>'Expenditures 15-22'!C114</f>
        <v>20622871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1953072</v>
      </c>
      <c r="D763" s="2" t="str">
        <f t="shared" si="10"/>
        <v>Error?</v>
      </c>
    </row>
    <row r="764" spans="1:4" x14ac:dyDescent="0.2">
      <c r="A764" s="5">
        <v>703</v>
      </c>
      <c r="B764" s="138">
        <f>'Expenditures 15-22'!D16</f>
        <v>85290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32255</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6300</v>
      </c>
      <c r="D776" s="2" t="str">
        <f t="shared" si="11"/>
        <v>Error?</v>
      </c>
    </row>
    <row r="777" spans="1:4" x14ac:dyDescent="0.2">
      <c r="A777" s="5">
        <v>716</v>
      </c>
      <c r="B777" s="138">
        <f>'Expenditures 15-22'!D15</f>
        <v>2732</v>
      </c>
      <c r="D777" s="2" t="str">
        <f t="shared" si="11"/>
        <v>Error?</v>
      </c>
    </row>
    <row r="778" spans="1:4" x14ac:dyDescent="0.2">
      <c r="A778" s="5">
        <v>717</v>
      </c>
      <c r="B778" s="138">
        <f>'Expenditures 15-22'!D33</f>
        <v>2540861</v>
      </c>
      <c r="C778" s="2" t="s">
        <v>594</v>
      </c>
      <c r="D778" s="2" t="str">
        <f t="shared" si="11"/>
        <v>Error?</v>
      </c>
    </row>
    <row r="779" spans="1:4" x14ac:dyDescent="0.2">
      <c r="A779" s="5">
        <v>718</v>
      </c>
      <c r="B779" s="138">
        <f>'Expenditures 15-22'!D36</f>
        <v>74467</v>
      </c>
      <c r="D779" s="2" t="str">
        <f t="shared" si="11"/>
        <v>Error?</v>
      </c>
    </row>
    <row r="780" spans="1:4" x14ac:dyDescent="0.2">
      <c r="A780" s="5">
        <v>719</v>
      </c>
      <c r="B780" s="138">
        <f>'Expenditures 15-22'!D37</f>
        <v>0</v>
      </c>
      <c r="D780" s="2" t="str">
        <f t="shared" si="11"/>
        <v>Error?</v>
      </c>
    </row>
    <row r="781" spans="1:4" x14ac:dyDescent="0.2">
      <c r="A781" s="5">
        <v>720</v>
      </c>
      <c r="B781" s="138">
        <f>'Expenditures 15-22'!D38</f>
        <v>42466</v>
      </c>
      <c r="D781" s="2" t="str">
        <f t="shared" si="11"/>
        <v>Error?</v>
      </c>
    </row>
    <row r="782" spans="1:4" x14ac:dyDescent="0.2">
      <c r="A782" s="5">
        <v>721</v>
      </c>
      <c r="B782" s="138">
        <f>'Expenditures 15-22'!D39</f>
        <v>57983</v>
      </c>
      <c r="D782" s="2" t="str">
        <f t="shared" si="11"/>
        <v>Error?</v>
      </c>
    </row>
    <row r="783" spans="1:4" x14ac:dyDescent="0.2">
      <c r="A783" s="5">
        <v>722</v>
      </c>
      <c r="B783" s="138">
        <f>'Expenditures 15-22'!D40</f>
        <v>125761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300677</v>
      </c>
      <c r="C785" s="2" t="s">
        <v>594</v>
      </c>
      <c r="D785" s="2" t="str">
        <f t="shared" si="11"/>
        <v>Error?</v>
      </c>
    </row>
    <row r="786" spans="1:4" x14ac:dyDescent="0.2">
      <c r="A786" s="5">
        <v>725</v>
      </c>
      <c r="B786" s="138">
        <f>'Expenditures 15-22'!D44</f>
        <v>46150</v>
      </c>
      <c r="D786" s="2" t="str">
        <f t="shared" si="11"/>
        <v>Error?</v>
      </c>
    </row>
    <row r="787" spans="1:4" x14ac:dyDescent="0.2">
      <c r="A787" s="5">
        <v>726</v>
      </c>
      <c r="B787" s="138">
        <f>'Expenditures 15-22'!D45</f>
        <v>118727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164877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35930</v>
      </c>
      <c r="D791" s="2" t="str">
        <f t="shared" si="11"/>
        <v>Error?</v>
      </c>
    </row>
    <row r="792" spans="1:4" x14ac:dyDescent="0.2">
      <c r="A792" s="5">
        <v>731</v>
      </c>
      <c r="B792" s="138">
        <f>'Expenditures 15-22'!D53</f>
        <v>74321</v>
      </c>
      <c r="C792" s="2" t="s">
        <v>594</v>
      </c>
      <c r="D792" s="2" t="str">
        <f t="shared" si="11"/>
        <v>Error?</v>
      </c>
    </row>
    <row r="793" spans="1:4" x14ac:dyDescent="0.2">
      <c r="A793" s="5">
        <v>732</v>
      </c>
      <c r="B793" s="138">
        <f>'Expenditures 15-22'!D55</f>
        <v>188036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188036</v>
      </c>
      <c r="C795" s="2" t="s">
        <v>594</v>
      </c>
      <c r="D795" s="2" t="str">
        <f t="shared" si="11"/>
        <v>Error?</v>
      </c>
    </row>
    <row r="796" spans="1:4" x14ac:dyDescent="0.2">
      <c r="A796" s="5">
        <v>735</v>
      </c>
      <c r="B796" s="138">
        <f>'Expenditures 15-22'!D59</f>
        <v>40562</v>
      </c>
      <c r="D796" s="2" t="str">
        <f t="shared" si="11"/>
        <v>Error?</v>
      </c>
    </row>
    <row r="797" spans="1:4" x14ac:dyDescent="0.2">
      <c r="A797" s="5">
        <v>736</v>
      </c>
      <c r="B797" s="138">
        <f>'Expenditures 15-22'!D60</f>
        <v>10676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9048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60286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16825</v>
      </c>
      <c r="D806" s="2" t="str">
        <f t="shared" si="11"/>
        <v>Error?</v>
      </c>
    </row>
    <row r="807" spans="1:4" x14ac:dyDescent="0.2">
      <c r="A807" s="5">
        <v>746</v>
      </c>
      <c r="B807" s="138">
        <f>'Expenditures 15-22'!D70</f>
        <v>36222</v>
      </c>
      <c r="D807" s="2" t="str">
        <f t="shared" si="11"/>
        <v>Error?</v>
      </c>
    </row>
    <row r="808" spans="1:4" x14ac:dyDescent="0.2">
      <c r="A808" s="10">
        <v>747</v>
      </c>
      <c r="D808" s="2" t="str">
        <f t="shared" si="11"/>
        <v>OK</v>
      </c>
    </row>
    <row r="809" spans="1:4" x14ac:dyDescent="0.2">
      <c r="A809" s="5">
        <v>748</v>
      </c>
      <c r="B809" s="138">
        <f>'Expenditures 15-22'!D71</f>
        <v>88382</v>
      </c>
      <c r="D809" s="2" t="str">
        <f t="shared" si="11"/>
        <v>Error?</v>
      </c>
    </row>
    <row r="810" spans="1:4" x14ac:dyDescent="0.2">
      <c r="A810" s="10">
        <v>749</v>
      </c>
      <c r="D810" s="2" t="str">
        <f t="shared" si="11"/>
        <v>OK</v>
      </c>
    </row>
    <row r="811" spans="1:4" x14ac:dyDescent="0.2">
      <c r="A811" s="5">
        <v>750</v>
      </c>
      <c r="B811" s="138">
        <f>'Expenditures 15-22'!D72</f>
        <v>141429</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929626</v>
      </c>
      <c r="C813" s="2" t="s">
        <v>594</v>
      </c>
      <c r="D813" s="2" t="str">
        <f t="shared" si="11"/>
        <v>Error?</v>
      </c>
    </row>
    <row r="814" spans="1:4" x14ac:dyDescent="0.2">
      <c r="A814" s="5">
        <v>753</v>
      </c>
      <c r="B814" s="138">
        <f>'Expenditures 15-22'!D75</f>
        <v>1534</v>
      </c>
      <c r="D814" s="2" t="str">
        <f t="shared" si="11"/>
        <v>Error?</v>
      </c>
    </row>
    <row r="815" spans="1:4" x14ac:dyDescent="0.2">
      <c r="A815" s="5">
        <v>754</v>
      </c>
      <c r="B815" s="138">
        <f>'Expenditures 15-22'!D114</f>
        <v>3472021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42170</v>
      </c>
      <c r="D821" s="2" t="str">
        <f t="shared" si="11"/>
        <v>Error?</v>
      </c>
    </row>
    <row r="822" spans="1:4" x14ac:dyDescent="0.2">
      <c r="A822" s="5">
        <v>761</v>
      </c>
      <c r="B822" s="138">
        <f>'Expenditures 15-22'!E16</f>
        <v>5300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6354</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9428</v>
      </c>
      <c r="D834" s="2" t="str">
        <f t="shared" si="12"/>
        <v>Error?</v>
      </c>
    </row>
    <row r="835" spans="1:4" x14ac:dyDescent="0.2">
      <c r="A835" s="5">
        <v>774</v>
      </c>
      <c r="B835" s="138">
        <f>'Expenditures 15-22'!E15</f>
        <v>2570</v>
      </c>
      <c r="D835" s="2" t="str">
        <f t="shared" si="12"/>
        <v>Error?</v>
      </c>
    </row>
    <row r="836" spans="1:4" x14ac:dyDescent="0.2">
      <c r="A836" s="5">
        <v>775</v>
      </c>
      <c r="B836" s="138">
        <f>'Expenditures 15-22'!E33</f>
        <v>106341</v>
      </c>
      <c r="C836" s="2" t="s">
        <v>594</v>
      </c>
      <c r="D836" s="2" t="str">
        <f t="shared" si="12"/>
        <v>Error?</v>
      </c>
    </row>
    <row r="837" spans="1:4" x14ac:dyDescent="0.2">
      <c r="A837" s="5">
        <v>776</v>
      </c>
      <c r="B837" s="138">
        <f>'Expenditures 15-22'!E36</f>
        <v>451</v>
      </c>
      <c r="D837" s="2" t="str">
        <f t="shared" si="12"/>
        <v>Error?</v>
      </c>
    </row>
    <row r="838" spans="1:4" x14ac:dyDescent="0.2">
      <c r="A838" s="5">
        <v>777</v>
      </c>
      <c r="B838" s="138">
        <f>'Expenditures 15-22'!E37</f>
        <v>0</v>
      </c>
      <c r="D838" s="2" t="str">
        <f t="shared" si="12"/>
        <v>Error?</v>
      </c>
    </row>
    <row r="839" spans="1:4" x14ac:dyDescent="0.2">
      <c r="A839" s="5">
        <v>778</v>
      </c>
      <c r="B839" s="138">
        <f>'Expenditures 15-22'!E38</f>
        <v>9455</v>
      </c>
      <c r="D839" s="2" t="str">
        <f t="shared" si="12"/>
        <v>Error?</v>
      </c>
    </row>
    <row r="840" spans="1:4" x14ac:dyDescent="0.2">
      <c r="A840" s="5">
        <v>779</v>
      </c>
      <c r="B840" s="138">
        <f>'Expenditures 15-22'!E39</f>
        <v>4653</v>
      </c>
      <c r="D840" s="2" t="str">
        <f t="shared" si="12"/>
        <v>Error?</v>
      </c>
    </row>
    <row r="841" spans="1:4" x14ac:dyDescent="0.2">
      <c r="A841" s="5">
        <v>780</v>
      </c>
      <c r="B841" s="138">
        <f>'Expenditures 15-22'!E40</f>
        <v>2533</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17092</v>
      </c>
      <c r="C843" s="2" t="s">
        <v>594</v>
      </c>
      <c r="D843" s="2" t="str">
        <f t="shared" si="12"/>
        <v>Error?</v>
      </c>
    </row>
    <row r="844" spans="1:4" x14ac:dyDescent="0.2">
      <c r="A844" s="5">
        <v>783</v>
      </c>
      <c r="B844" s="138">
        <f>'Expenditures 15-22'!E44</f>
        <v>152492</v>
      </c>
      <c r="D844" s="2" t="str">
        <f t="shared" si="12"/>
        <v>Error?</v>
      </c>
    </row>
    <row r="845" spans="1:4" x14ac:dyDescent="0.2">
      <c r="A845" s="5">
        <v>784</v>
      </c>
      <c r="B845" s="138">
        <f>'Expenditures 15-22'!E45</f>
        <v>5084</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157576</v>
      </c>
      <c r="C847" s="2" t="s">
        <v>594</v>
      </c>
      <c r="D847" s="2" t="str">
        <f t="shared" si="12"/>
        <v>Error?</v>
      </c>
    </row>
    <row r="848" spans="1:4" x14ac:dyDescent="0.2">
      <c r="A848" s="5">
        <v>787</v>
      </c>
      <c r="B848" s="138">
        <f>'Expenditures 15-22'!E49</f>
        <v>359624</v>
      </c>
      <c r="D848" s="2" t="str">
        <f t="shared" si="12"/>
        <v>Error?</v>
      </c>
    </row>
    <row r="849" spans="1:4" x14ac:dyDescent="0.2">
      <c r="A849" s="5">
        <v>788</v>
      </c>
      <c r="B849" s="138">
        <f>'Expenditures 15-22'!E50</f>
        <v>8643</v>
      </c>
      <c r="D849" s="2" t="str">
        <f t="shared" si="12"/>
        <v>Error?</v>
      </c>
    </row>
    <row r="850" spans="1:4" x14ac:dyDescent="0.2">
      <c r="A850" s="5">
        <v>789</v>
      </c>
      <c r="B850" s="138">
        <f>'Expenditures 15-22'!E53</f>
        <v>380458</v>
      </c>
      <c r="C850" s="2" t="s">
        <v>594</v>
      </c>
      <c r="D850" s="2" t="str">
        <f t="shared" si="12"/>
        <v>Error?</v>
      </c>
    </row>
    <row r="851" spans="1:4" x14ac:dyDescent="0.2">
      <c r="A851" s="5">
        <v>790</v>
      </c>
      <c r="B851" s="138">
        <f>'Expenditures 15-22'!E55</f>
        <v>40011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40011</v>
      </c>
      <c r="C853" s="2" t="s">
        <v>594</v>
      </c>
      <c r="D853" s="2" t="str">
        <f t="shared" si="12"/>
        <v>Error?</v>
      </c>
    </row>
    <row r="854" spans="1:4" x14ac:dyDescent="0.2">
      <c r="A854" s="5">
        <v>793</v>
      </c>
      <c r="B854" s="138">
        <f>'Expenditures 15-22'!E59</f>
        <v>9728</v>
      </c>
      <c r="D854" s="2" t="str">
        <f t="shared" si="12"/>
        <v>Error?</v>
      </c>
    </row>
    <row r="855" spans="1:4" x14ac:dyDescent="0.2">
      <c r="A855" s="5">
        <v>794</v>
      </c>
      <c r="B855" s="138">
        <f>'Expenditures 15-22'!E60</f>
        <v>237840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399427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646995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6304</v>
      </c>
      <c r="D864" s="2" t="str">
        <f t="shared" si="12"/>
        <v>Error?</v>
      </c>
    </row>
    <row r="865" spans="1:4" x14ac:dyDescent="0.2">
      <c r="A865" s="5">
        <v>804</v>
      </c>
      <c r="B865" s="138">
        <f>'Expenditures 15-22'!E70</f>
        <v>31322</v>
      </c>
      <c r="D865" s="2" t="str">
        <f t="shared" si="12"/>
        <v>Error?</v>
      </c>
    </row>
    <row r="866" spans="1:4" x14ac:dyDescent="0.2">
      <c r="A866" s="10">
        <v>805</v>
      </c>
      <c r="D866" s="2" t="str">
        <f t="shared" si="12"/>
        <v>OK</v>
      </c>
    </row>
    <row r="867" spans="1:4" x14ac:dyDescent="0.2">
      <c r="A867" s="5">
        <v>806</v>
      </c>
      <c r="B867" s="138">
        <f>'Expenditures 15-22'!E71</f>
        <v>257202</v>
      </c>
      <c r="D867" s="2" t="str">
        <f t="shared" si="12"/>
        <v>Error?</v>
      </c>
    </row>
    <row r="868" spans="1:4" x14ac:dyDescent="0.2">
      <c r="A868" s="10">
        <v>807</v>
      </c>
      <c r="D868" s="2" t="str">
        <f t="shared" si="12"/>
        <v>OK</v>
      </c>
    </row>
    <row r="869" spans="1:4" x14ac:dyDescent="0.2">
      <c r="A869" s="5">
        <v>808</v>
      </c>
      <c r="B869" s="138">
        <f>'Expenditures 15-22'!E72</f>
        <v>294828</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1536960</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1714671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238286</v>
      </c>
      <c r="D879" s="2" t="str">
        <f t="shared" si="12"/>
        <v>Error?</v>
      </c>
    </row>
    <row r="880" spans="1:4" x14ac:dyDescent="0.2">
      <c r="A880" s="5">
        <v>819</v>
      </c>
      <c r="B880" s="138">
        <f>'Expenditures 15-22'!F16</f>
        <v>9513</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1642</v>
      </c>
      <c r="D892" s="2" t="str">
        <f t="shared" si="12"/>
        <v>Error?</v>
      </c>
    </row>
    <row r="893" spans="1:4" x14ac:dyDescent="0.2">
      <c r="A893" s="5">
        <v>832</v>
      </c>
      <c r="B893" s="138">
        <f>'Expenditures 15-22'!F15</f>
        <v>9731</v>
      </c>
      <c r="D893" s="2" t="str">
        <f t="shared" si="12"/>
        <v>Error?</v>
      </c>
    </row>
    <row r="894" spans="1:4" x14ac:dyDescent="0.2">
      <c r="A894" s="5">
        <v>833</v>
      </c>
      <c r="B894" s="138">
        <f>'Expenditures 15-22'!F33</f>
        <v>276348</v>
      </c>
      <c r="C894" s="2" t="s">
        <v>594</v>
      </c>
      <c r="D894" s="2" t="str">
        <f t="shared" si="12"/>
        <v>Error?</v>
      </c>
    </row>
    <row r="895" spans="1:4" x14ac:dyDescent="0.2">
      <c r="A895" s="5">
        <v>834</v>
      </c>
      <c r="B895" s="138">
        <f>'Expenditures 15-22'!F36</f>
        <v>2028</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3178</v>
      </c>
      <c r="D897" s="2" t="str">
        <f t="shared" si="13"/>
        <v>Error?</v>
      </c>
    </row>
    <row r="898" spans="1:4" x14ac:dyDescent="0.2">
      <c r="A898" s="5">
        <v>837</v>
      </c>
      <c r="B898" s="138">
        <f>'Expenditures 15-22'!F39</f>
        <v>2083</v>
      </c>
      <c r="D898" s="2" t="str">
        <f t="shared" si="13"/>
        <v>Error?</v>
      </c>
    </row>
    <row r="899" spans="1:4" x14ac:dyDescent="0.2">
      <c r="A899" s="5">
        <v>838</v>
      </c>
      <c r="B899" s="138">
        <f>'Expenditures 15-22'!F40</f>
        <v>3806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11095</v>
      </c>
      <c r="C901" s="2" t="s">
        <v>594</v>
      </c>
      <c r="D901" s="2" t="str">
        <f t="shared" si="13"/>
        <v>Error?</v>
      </c>
    </row>
    <row r="902" spans="1:4" x14ac:dyDescent="0.2">
      <c r="A902" s="5">
        <v>841</v>
      </c>
      <c r="B902" s="138">
        <f>'Expenditures 15-22'!F44</f>
        <v>302433</v>
      </c>
      <c r="D902" s="2" t="str">
        <f t="shared" si="13"/>
        <v>Error?</v>
      </c>
    </row>
    <row r="903" spans="1:4" x14ac:dyDescent="0.2">
      <c r="A903" s="5">
        <v>842</v>
      </c>
      <c r="B903" s="138">
        <f>'Expenditures 15-22'!F45</f>
        <v>48285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350718</v>
      </c>
      <c r="C905" s="2" t="s">
        <v>594</v>
      </c>
      <c r="D905" s="2" t="str">
        <f t="shared" si="13"/>
        <v>Error?</v>
      </c>
    </row>
    <row r="906" spans="1:4" x14ac:dyDescent="0.2">
      <c r="A906" s="5">
        <v>845</v>
      </c>
      <c r="B906" s="138">
        <f>'Expenditures 15-22'!F49</f>
        <v>4949</v>
      </c>
      <c r="D906" s="2" t="str">
        <f t="shared" si="13"/>
        <v>Error?</v>
      </c>
    </row>
    <row r="907" spans="1:4" x14ac:dyDescent="0.2">
      <c r="A907" s="5">
        <v>846</v>
      </c>
      <c r="B907" s="138">
        <f>'Expenditures 15-22'!F50</f>
        <v>4348</v>
      </c>
      <c r="D907" s="2" t="str">
        <f t="shared" si="13"/>
        <v>Error?</v>
      </c>
    </row>
    <row r="908" spans="1:4" x14ac:dyDescent="0.2">
      <c r="A908" s="5">
        <v>847</v>
      </c>
      <c r="B908" s="138">
        <f>'Expenditures 15-22'!F53</f>
        <v>11649</v>
      </c>
      <c r="C908" s="2" t="s">
        <v>594</v>
      </c>
      <c r="D908" s="2" t="str">
        <f t="shared" si="13"/>
        <v>Error?</v>
      </c>
    </row>
    <row r="909" spans="1:4" x14ac:dyDescent="0.2">
      <c r="A909" s="5">
        <v>848</v>
      </c>
      <c r="B909" s="138">
        <f>'Expenditures 15-22'!F55</f>
        <v>5133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5133</v>
      </c>
      <c r="C911" s="2" t="s">
        <v>594</v>
      </c>
      <c r="D911" s="2" t="str">
        <f t="shared" si="13"/>
        <v>Error?</v>
      </c>
    </row>
    <row r="912" spans="1:4" x14ac:dyDescent="0.2">
      <c r="A912" s="5">
        <v>851</v>
      </c>
      <c r="B912" s="138">
        <f>'Expenditures 15-22'!F59</f>
        <v>1639</v>
      </c>
      <c r="D912" s="2" t="str">
        <f t="shared" si="13"/>
        <v>Error?</v>
      </c>
    </row>
    <row r="913" spans="1:4" x14ac:dyDescent="0.2">
      <c r="A913" s="5">
        <v>852</v>
      </c>
      <c r="B913" s="138">
        <f>'Expenditures 15-22'!F60</f>
        <v>20147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21786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54</v>
      </c>
      <c r="D922" s="2" t="str">
        <f t="shared" si="13"/>
        <v>Error?</v>
      </c>
    </row>
    <row r="923" spans="1:4" x14ac:dyDescent="0.2">
      <c r="A923" s="5">
        <v>862</v>
      </c>
      <c r="B923" s="138">
        <f>'Expenditures 15-22'!F70</f>
        <v>616</v>
      </c>
      <c r="D923" s="2" t="str">
        <f t="shared" si="13"/>
        <v>Error?</v>
      </c>
    </row>
    <row r="924" spans="1:4" x14ac:dyDescent="0.2">
      <c r="A924" s="10">
        <v>863</v>
      </c>
      <c r="D924" s="2" t="str">
        <f t="shared" si="13"/>
        <v>OK</v>
      </c>
    </row>
    <row r="925" spans="1:4" x14ac:dyDescent="0.2">
      <c r="A925" s="5">
        <v>864</v>
      </c>
      <c r="B925" s="138">
        <f>'Expenditures 15-22'!F71</f>
        <v>63114</v>
      </c>
      <c r="D925" s="2" t="str">
        <f t="shared" si="13"/>
        <v>Error?</v>
      </c>
    </row>
    <row r="926" spans="1:4" x14ac:dyDescent="0.2">
      <c r="A926" s="10">
        <v>865</v>
      </c>
      <c r="D926" s="2" t="str">
        <f t="shared" si="13"/>
        <v>OK</v>
      </c>
    </row>
    <row r="927" spans="1:4" x14ac:dyDescent="0.2">
      <c r="A927" s="5">
        <v>866</v>
      </c>
      <c r="B927" s="138">
        <f>'Expenditures 15-22'!F72</f>
        <v>63784</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464165</v>
      </c>
      <c r="C929" s="2" t="s">
        <v>594</v>
      </c>
      <c r="D929" s="2" t="str">
        <f t="shared" si="13"/>
        <v>Error?</v>
      </c>
    </row>
    <row r="930" spans="1:4" x14ac:dyDescent="0.2">
      <c r="A930" s="5">
        <v>869</v>
      </c>
      <c r="B930" s="138">
        <f>'Expenditures 15-22'!F75</f>
        <v>37809</v>
      </c>
      <c r="D930" s="2" t="str">
        <f t="shared" si="13"/>
        <v>Error?</v>
      </c>
    </row>
    <row r="931" spans="1:4" x14ac:dyDescent="0.2">
      <c r="A931" s="5">
        <v>870</v>
      </c>
      <c r="B931" s="138">
        <f>'Expenditures 15-22'!F114</f>
        <v>778322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39694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10164</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49858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100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100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6128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6128</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3197</v>
      </c>
      <c r="D967" s="2" t="str">
        <f t="shared" si="14"/>
        <v>Error?</v>
      </c>
    </row>
    <row r="968" spans="1:4" x14ac:dyDescent="0.2">
      <c r="A968" s="5">
        <v>907</v>
      </c>
      <c r="B968" s="138">
        <f>'Expenditures 15-22'!G56</f>
        <v>0</v>
      </c>
      <c r="D968" s="2" t="str">
        <f t="shared" si="14"/>
        <v>Error?</v>
      </c>
    </row>
    <row r="969" spans="1:4" x14ac:dyDescent="0.2">
      <c r="A969" s="5">
        <v>908</v>
      </c>
      <c r="B969" s="138">
        <f>'Expenditures 15-22'!G57</f>
        <v>3197</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2429</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2429</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155546</v>
      </c>
      <c r="D983" s="2" t="str">
        <f t="shared" si="14"/>
        <v>Error?</v>
      </c>
    </row>
    <row r="984" spans="1:4" x14ac:dyDescent="0.2">
      <c r="A984" s="10">
        <v>923</v>
      </c>
      <c r="D984" s="2" t="str">
        <f t="shared" si="14"/>
        <v>OK</v>
      </c>
    </row>
    <row r="985" spans="1:4" x14ac:dyDescent="0.2">
      <c r="A985" s="5">
        <v>924</v>
      </c>
      <c r="B985" s="138">
        <f>'Expenditures 15-22'!G72</f>
        <v>155546</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167400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217258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365696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463273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828969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13787815</v>
      </c>
      <c r="C1093" s="2" t="s">
        <v>594</v>
      </c>
      <c r="D1093" s="2" t="str">
        <f t="shared" si="16"/>
        <v>Error?</v>
      </c>
    </row>
    <row r="1094" spans="1:4" x14ac:dyDescent="0.2">
      <c r="A1094" s="5">
        <v>1033</v>
      </c>
      <c r="B1094" s="138">
        <f>'Expenditures 15-22'!K16</f>
        <v>486084</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240517</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483419</v>
      </c>
      <c r="C1106" s="2" t="s">
        <v>594</v>
      </c>
      <c r="D1106" s="2" t="str">
        <f t="shared" si="16"/>
        <v>Error?</v>
      </c>
    </row>
    <row r="1107" spans="1:4" x14ac:dyDescent="0.2">
      <c r="A1107" s="5">
        <v>1046</v>
      </c>
      <c r="B1107" s="138">
        <f>'Expenditures 15-22'!K15</f>
        <v>283695</v>
      </c>
      <c r="C1107" s="2" t="s">
        <v>594</v>
      </c>
      <c r="D1107" s="2" t="str">
        <f t="shared" si="16"/>
        <v>Error?</v>
      </c>
    </row>
    <row r="1108" spans="1:4" x14ac:dyDescent="0.2">
      <c r="A1108" s="5">
        <v>1047</v>
      </c>
      <c r="B1108" s="138">
        <f>'Expenditures 15-22'!K33</f>
        <v>17904401</v>
      </c>
      <c r="C1108" s="2" t="s">
        <v>594</v>
      </c>
      <c r="D1108" s="2" t="str">
        <f t="shared" si="16"/>
        <v>Error?</v>
      </c>
    </row>
    <row r="1109" spans="1:4" x14ac:dyDescent="0.2">
      <c r="A1109" s="5">
        <v>1048</v>
      </c>
      <c r="B1109" s="138">
        <f>'Expenditures 15-22'!K36</f>
        <v>641245</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452226</v>
      </c>
      <c r="C1111" s="2" t="s">
        <v>594</v>
      </c>
      <c r="D1111" s="2" t="str">
        <f t="shared" si="16"/>
        <v>Error?</v>
      </c>
    </row>
    <row r="1112" spans="1:4" x14ac:dyDescent="0.2">
      <c r="A1112" s="5">
        <v>1051</v>
      </c>
      <c r="B1112" s="138">
        <f>'Expenditures 15-22'!K39</f>
        <v>427171</v>
      </c>
      <c r="C1112" s="2" t="s">
        <v>594</v>
      </c>
      <c r="D1112" s="2" t="str">
        <f t="shared" si="16"/>
        <v>Error?</v>
      </c>
    </row>
    <row r="1113" spans="1:4" x14ac:dyDescent="0.2">
      <c r="A1113" s="5">
        <v>1052</v>
      </c>
      <c r="B1113" s="138">
        <f>'Expenditures 15-22'!K40</f>
        <v>938223</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2458865</v>
      </c>
      <c r="C1115" s="2" t="s">
        <v>594</v>
      </c>
      <c r="D1115" s="2" t="str">
        <f t="shared" si="16"/>
        <v>Error?</v>
      </c>
    </row>
    <row r="1116" spans="1:4" x14ac:dyDescent="0.2">
      <c r="A1116" s="5">
        <v>1055</v>
      </c>
      <c r="B1116" s="138">
        <f>'Expenditures 15-22'!K44</f>
        <v>757082</v>
      </c>
      <c r="C1116" s="2" t="s">
        <v>594</v>
      </c>
      <c r="D1116" s="2" t="str">
        <f t="shared" si="16"/>
        <v>Error?</v>
      </c>
    </row>
    <row r="1117" spans="1:4" x14ac:dyDescent="0.2">
      <c r="A1117" s="5">
        <v>1056</v>
      </c>
      <c r="B1117" s="138">
        <f>'Expenditures 15-22'!K45</f>
        <v>744287</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1501369</v>
      </c>
      <c r="C1119" s="2" t="s">
        <v>594</v>
      </c>
      <c r="D1119" s="2" t="str">
        <f t="shared" si="16"/>
        <v>Error?</v>
      </c>
    </row>
    <row r="1120" spans="1:4" x14ac:dyDescent="0.2">
      <c r="A1120" s="5">
        <v>1059</v>
      </c>
      <c r="B1120" s="138">
        <f>'Expenditures 15-22'!K49</f>
        <v>364573</v>
      </c>
      <c r="C1120" s="2" t="s">
        <v>594</v>
      </c>
      <c r="D1120" s="2" t="str">
        <f t="shared" si="16"/>
        <v>Error?</v>
      </c>
    </row>
    <row r="1121" spans="1:4" x14ac:dyDescent="0.2">
      <c r="A1121" s="5">
        <v>1060</v>
      </c>
      <c r="B1121" s="138">
        <f>'Expenditures 15-22'!K50</f>
        <v>390283</v>
      </c>
      <c r="C1121" s="2" t="s">
        <v>594</v>
      </c>
      <c r="D1121" s="2" t="str">
        <f t="shared" si="16"/>
        <v>Error?</v>
      </c>
    </row>
    <row r="1122" spans="1:4" x14ac:dyDescent="0.2">
      <c r="A1122" s="5">
        <v>1061</v>
      </c>
      <c r="B1122" s="138">
        <f>'Expenditures 15-22'!K53</f>
        <v>1000104</v>
      </c>
      <c r="C1122" s="2" t="s">
        <v>594</v>
      </c>
      <c r="D1122" s="2" t="str">
        <f t="shared" si="16"/>
        <v>Error?</v>
      </c>
    </row>
    <row r="1123" spans="1:4" x14ac:dyDescent="0.2">
      <c r="A1123" s="5">
        <v>1062</v>
      </c>
      <c r="B1123" s="138">
        <f>'Expenditures 15-22'!K55</f>
        <v>1389423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1389423</v>
      </c>
      <c r="C1125" s="2" t="s">
        <v>594</v>
      </c>
      <c r="D1125" s="2" t="str">
        <f t="shared" si="16"/>
        <v>Error?</v>
      </c>
    </row>
    <row r="1126" spans="1:4" x14ac:dyDescent="0.2">
      <c r="A1126" s="5">
        <v>1065</v>
      </c>
      <c r="B1126" s="138">
        <f>'Expenditures 15-22'!K59</f>
        <v>372832</v>
      </c>
      <c r="C1126" s="2" t="s">
        <v>594</v>
      </c>
      <c r="D1126" s="2" t="str">
        <f t="shared" si="16"/>
        <v>Error?</v>
      </c>
    </row>
    <row r="1127" spans="1:4" x14ac:dyDescent="0.2">
      <c r="A1127" s="5">
        <v>1066</v>
      </c>
      <c r="B1127" s="138">
        <f>'Expenditures 15-22'!K60</f>
        <v>416553</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516939</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1306324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95573</v>
      </c>
      <c r="C1136" s="2" t="s">
        <v>594</v>
      </c>
      <c r="D1136" s="2" t="str">
        <f t="shared" si="16"/>
        <v>Error?</v>
      </c>
    </row>
    <row r="1137" spans="1:4" x14ac:dyDescent="0.2">
      <c r="A1137" s="5">
        <v>1076</v>
      </c>
      <c r="B1137" s="138">
        <f>'Expenditures 15-22'!K70</f>
        <v>294559</v>
      </c>
      <c r="C1137" s="2" t="s">
        <v>594</v>
      </c>
      <c r="D1137" s="2" t="str">
        <f t="shared" si="16"/>
        <v>Error?</v>
      </c>
    </row>
    <row r="1138" spans="1:4" x14ac:dyDescent="0.2">
      <c r="A1138" s="10">
        <v>1077</v>
      </c>
      <c r="D1138" s="2" t="str">
        <f t="shared" si="16"/>
        <v>OK</v>
      </c>
    </row>
    <row r="1139" spans="1:4" x14ac:dyDescent="0.2">
      <c r="A1139" s="5">
        <v>1078</v>
      </c>
      <c r="B1139" s="138">
        <f>'Expenditures 15-22'!K71</f>
        <v>1177981</v>
      </c>
      <c r="C1139" s="2" t="s">
        <v>594</v>
      </c>
      <c r="D1139" s="2" t="str">
        <f t="shared" si="16"/>
        <v>Error?</v>
      </c>
    </row>
    <row r="1140" spans="1:4" x14ac:dyDescent="0.2">
      <c r="A1140" s="10">
        <v>1079</v>
      </c>
      <c r="D1140" s="2" t="str">
        <f t="shared" si="16"/>
        <v>OK</v>
      </c>
    </row>
    <row r="1141" spans="1:4" x14ac:dyDescent="0.2">
      <c r="A1141" s="5">
        <v>1080</v>
      </c>
      <c r="B1141" s="138">
        <f>'Expenditures 15-22'!K72</f>
        <v>1568113</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9224198</v>
      </c>
      <c r="C1143" s="2" t="s">
        <v>594</v>
      </c>
      <c r="D1143" s="2" t="str">
        <f t="shared" si="16"/>
        <v>Error?</v>
      </c>
    </row>
    <row r="1144" spans="1:4" x14ac:dyDescent="0.2">
      <c r="A1144" s="5">
        <v>1083</v>
      </c>
      <c r="B1144" s="138">
        <f>'Expenditures 15-22'!K75</f>
        <v>74214</v>
      </c>
      <c r="C1144" s="2" t="s">
        <v>594</v>
      </c>
      <c r="D1144" s="2" t="str">
        <f t="shared" si="16"/>
        <v>Error?</v>
      </c>
    </row>
    <row r="1145" spans="1:4" x14ac:dyDescent="0.2">
      <c r="A1145" s="5">
        <v>1084</v>
      </c>
      <c r="B1145" s="138">
        <f>'Expenditures 15-22'!K102</f>
        <v>534643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27737456</v>
      </c>
      <c r="C1152" s="2" t="s">
        <v>594</v>
      </c>
      <c r="D1152" s="2" t="str">
        <f t="shared" si="17"/>
        <v>Error?</v>
      </c>
    </row>
    <row r="1153" spans="1:4" x14ac:dyDescent="0.2">
      <c r="A1153" s="5">
        <v>1092</v>
      </c>
      <c r="B1153" s="138">
        <f>'Expenditures 15-22'!K115</f>
        <v>1538629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1204766</v>
      </c>
      <c r="D1221" s="2" t="str">
        <f t="shared" si="18"/>
        <v>Error?</v>
      </c>
    </row>
    <row r="1222" spans="1:4" x14ac:dyDescent="0.2">
      <c r="A1222" s="10">
        <v>1161</v>
      </c>
      <c r="D1222" s="2" t="str">
        <f t="shared" si="18"/>
        <v>OK</v>
      </c>
    </row>
    <row r="1223" spans="1:4" x14ac:dyDescent="0.2">
      <c r="A1223" s="5">
        <v>1162</v>
      </c>
      <c r="B1223" s="138">
        <f>'Expenditures 15-22'!C127</f>
        <v>1204766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1204766</v>
      </c>
      <c r="C1225" s="2" t="s">
        <v>594</v>
      </c>
      <c r="D1225" s="2" t="str">
        <f t="shared" si="18"/>
        <v>Error?</v>
      </c>
    </row>
    <row r="1226" spans="1:4" x14ac:dyDescent="0.2">
      <c r="A1226" s="5">
        <v>1165</v>
      </c>
      <c r="B1226" s="138">
        <f>'Expenditures 15-22'!C151</f>
        <v>1204766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296354</v>
      </c>
      <c r="D1229" s="2" t="str">
        <f t="shared" si="18"/>
        <v>Error?</v>
      </c>
    </row>
    <row r="1230" spans="1:4" x14ac:dyDescent="0.2">
      <c r="A1230" s="10">
        <v>1169</v>
      </c>
      <c r="D1230" s="2" t="str">
        <f t="shared" si="18"/>
        <v>OK</v>
      </c>
    </row>
    <row r="1231" spans="1:4" x14ac:dyDescent="0.2">
      <c r="A1231" s="5">
        <v>1170</v>
      </c>
      <c r="B1231" s="138">
        <f>'Expenditures 15-22'!D127</f>
        <v>296354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296354</v>
      </c>
      <c r="C1233" s="2" t="s">
        <v>594</v>
      </c>
      <c r="D1233" s="2" t="str">
        <f t="shared" si="18"/>
        <v>Error?</v>
      </c>
    </row>
    <row r="1234" spans="1:4" x14ac:dyDescent="0.2">
      <c r="A1234" s="5">
        <v>1173</v>
      </c>
      <c r="B1234" s="138">
        <f>'Expenditures 15-22'!D151</f>
        <v>296354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452822</v>
      </c>
      <c r="D1237" s="2" t="str">
        <f t="shared" si="18"/>
        <v>Error?</v>
      </c>
    </row>
    <row r="1238" spans="1:4" x14ac:dyDescent="0.2">
      <c r="A1238" s="10">
        <v>1177</v>
      </c>
      <c r="D1238" s="2" t="str">
        <f t="shared" si="18"/>
        <v>OK</v>
      </c>
    </row>
    <row r="1239" spans="1:4" x14ac:dyDescent="0.2">
      <c r="A1239" s="5">
        <v>1178</v>
      </c>
      <c r="B1239" s="138">
        <f>'Expenditures 15-22'!E127</f>
        <v>452822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452822</v>
      </c>
      <c r="C1241" s="2" t="s">
        <v>594</v>
      </c>
      <c r="D1241" s="2" t="str">
        <f t="shared" si="18"/>
        <v>Error?</v>
      </c>
    </row>
    <row r="1242" spans="1:4" x14ac:dyDescent="0.2">
      <c r="A1242" s="5">
        <v>1181</v>
      </c>
      <c r="B1242" s="138">
        <f>'Expenditures 15-22'!E151</f>
        <v>548961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517952</v>
      </c>
      <c r="D1245" s="2" t="str">
        <f t="shared" si="18"/>
        <v>Error?</v>
      </c>
    </row>
    <row r="1246" spans="1:4" x14ac:dyDescent="0.2">
      <c r="A1246" s="10">
        <v>1185</v>
      </c>
      <c r="D1246" s="2" t="str">
        <f t="shared" si="18"/>
        <v>OK</v>
      </c>
    </row>
    <row r="1247" spans="1:4" x14ac:dyDescent="0.2">
      <c r="A1247" s="5">
        <v>1186</v>
      </c>
      <c r="B1247" s="138">
        <f>'Expenditures 15-22'!F127</f>
        <v>517952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517952</v>
      </c>
      <c r="C1249" s="2" t="s">
        <v>594</v>
      </c>
      <c r="D1249" s="2" t="str">
        <f t="shared" si="18"/>
        <v>Error?</v>
      </c>
    </row>
    <row r="1250" spans="1:4" x14ac:dyDescent="0.2">
      <c r="A1250" s="5">
        <v>1189</v>
      </c>
      <c r="B1250" s="138">
        <f>'Expenditures 15-22'!F151</f>
        <v>517952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402998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402998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402998</v>
      </c>
      <c r="C1258" s="2" t="s">
        <v>594</v>
      </c>
      <c r="D1258" s="2" t="str">
        <f t="shared" si="18"/>
        <v>Error?</v>
      </c>
    </row>
    <row r="1259" spans="1:4" x14ac:dyDescent="0.2">
      <c r="A1259" s="5">
        <v>1198</v>
      </c>
      <c r="B1259" s="138">
        <f>'Expenditures 15-22'!G151</f>
        <v>402998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2874892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2874892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2874892</v>
      </c>
      <c r="C1281" s="2" t="s">
        <v>594</v>
      </c>
      <c r="D1281" s="2" t="str">
        <f t="shared" si="19"/>
        <v>Error?</v>
      </c>
    </row>
    <row r="1282" spans="1:4" x14ac:dyDescent="0.2">
      <c r="A1282" s="5">
        <v>1221</v>
      </c>
      <c r="B1282" s="138">
        <f>'Expenditures 15-22'!K139</f>
        <v>96139</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2971031</v>
      </c>
      <c r="C1288" s="2" t="s">
        <v>594</v>
      </c>
      <c r="D1288" s="2" t="str">
        <f t="shared" si="19"/>
        <v>Error?</v>
      </c>
    </row>
    <row r="1289" spans="1:4" x14ac:dyDescent="0.2">
      <c r="A1289" s="5">
        <v>1228</v>
      </c>
      <c r="B1289" s="138">
        <f>'Expenditures 15-22'!K152</f>
        <v>1519507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1425</v>
      </c>
      <c r="D1307" s="2" t="str">
        <f t="shared" si="19"/>
        <v>Error?</v>
      </c>
    </row>
    <row r="1308" spans="1:4" x14ac:dyDescent="0.2">
      <c r="A1308" s="5">
        <v>1247</v>
      </c>
      <c r="B1308" s="138">
        <f>'Expenditures 15-22'!E172</f>
        <v>1425</v>
      </c>
      <c r="C1308" s="2" t="s">
        <v>594</v>
      </c>
      <c r="D1308" s="2" t="str">
        <f t="shared" si="19"/>
        <v>Error?</v>
      </c>
    </row>
    <row r="1309" spans="1:4" x14ac:dyDescent="0.2">
      <c r="A1309" s="5">
        <v>1248</v>
      </c>
      <c r="B1309" s="138">
        <f>'Expenditures 15-22'!E174</f>
        <v>1425</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538257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2353025</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2891282</v>
      </c>
      <c r="C1317" s="2" t="s">
        <v>594</v>
      </c>
      <c r="D1317" s="2" t="str">
        <f t="shared" si="19"/>
        <v>Error?</v>
      </c>
    </row>
    <row r="1318" spans="1:4" x14ac:dyDescent="0.2">
      <c r="A1318" s="5">
        <v>1257</v>
      </c>
      <c r="B1318" s="138">
        <f>'Expenditures 15-22'!H174</f>
        <v>2891282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538257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2353025</v>
      </c>
      <c r="C1329" s="2" t="s">
        <v>594</v>
      </c>
      <c r="D1329" s="2" t="str">
        <f t="shared" si="19"/>
        <v>Error?</v>
      </c>
    </row>
    <row r="1330" spans="1:4" x14ac:dyDescent="0.2">
      <c r="A1330" s="5">
        <v>1269</v>
      </c>
      <c r="B1330" s="138">
        <f>'Expenditures 15-22'!K171</f>
        <v>1425</v>
      </c>
      <c r="C1330" s="2" t="s">
        <v>594</v>
      </c>
      <c r="D1330" s="2" t="str">
        <f t="shared" si="19"/>
        <v>Error?</v>
      </c>
    </row>
    <row r="1331" spans="1:4" x14ac:dyDescent="0.2">
      <c r="A1331" s="5">
        <v>1270</v>
      </c>
      <c r="B1331" s="138">
        <f>'Expenditures 15-22'!K172</f>
        <v>2892707</v>
      </c>
      <c r="C1331" s="2" t="s">
        <v>594</v>
      </c>
      <c r="D1331" s="2" t="str">
        <f t="shared" si="19"/>
        <v>Error?</v>
      </c>
    </row>
    <row r="1332" spans="1:4" x14ac:dyDescent="0.2">
      <c r="A1332" s="5">
        <v>1271</v>
      </c>
      <c r="B1332" s="138">
        <f>'Expenditures 15-22'!K174</f>
        <v>2892707</v>
      </c>
      <c r="C1332" s="2" t="s">
        <v>594</v>
      </c>
      <c r="D1332" s="2" t="str">
        <f t="shared" si="19"/>
        <v>Error?</v>
      </c>
    </row>
    <row r="1333" spans="1:4" x14ac:dyDescent="0.2">
      <c r="A1333" s="5">
        <v>1272</v>
      </c>
      <c r="B1333" s="138">
        <f>'Expenditures 15-22'!K175</f>
        <v>-1543831</v>
      </c>
      <c r="C1333" s="2" t="s">
        <v>594</v>
      </c>
      <c r="D1333" s="2" t="str">
        <f t="shared" si="19"/>
        <v>Error?</v>
      </c>
    </row>
    <row r="1334" spans="1:4" x14ac:dyDescent="0.2">
      <c r="A1334" s="10">
        <v>1273</v>
      </c>
      <c r="D1334" s="2" t="str">
        <f t="shared" si="19"/>
        <v>OK</v>
      </c>
    </row>
    <row r="1335" spans="1:4" x14ac:dyDescent="0.2">
      <c r="A1335" s="5">
        <v>1274</v>
      </c>
      <c r="B1335" s="138">
        <f>'Expenditures 15-22'!C182</f>
        <v>16500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16500</v>
      </c>
      <c r="C1339" s="2" t="s">
        <v>594</v>
      </c>
      <c r="D1339" s="2" t="str">
        <f t="shared" si="19"/>
        <v>Error?</v>
      </c>
    </row>
    <row r="1340" spans="1:4" x14ac:dyDescent="0.2">
      <c r="A1340" s="5">
        <v>1279</v>
      </c>
      <c r="B1340" s="138">
        <f>'Expenditures 15-22'!C210</f>
        <v>16500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1561243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1561243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1561243</v>
      </c>
      <c r="C1353" s="2" t="s">
        <v>594</v>
      </c>
      <c r="D1353" s="2" t="str">
        <f t="shared" si="20"/>
        <v>Error?</v>
      </c>
    </row>
    <row r="1354" spans="1:4" x14ac:dyDescent="0.2">
      <c r="A1354" s="5">
        <v>1293</v>
      </c>
      <c r="B1354" s="138">
        <f>'Expenditures 15-22'!F182</f>
        <v>718103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718103</v>
      </c>
      <c r="C1358" s="2" t="s">
        <v>594</v>
      </c>
      <c r="D1358" s="2" t="str">
        <f t="shared" si="20"/>
        <v>Error?</v>
      </c>
    </row>
    <row r="1359" spans="1:4" x14ac:dyDescent="0.2">
      <c r="A1359" s="5">
        <v>1298</v>
      </c>
      <c r="B1359" s="138">
        <f>'Expenditures 15-22'!F210</f>
        <v>718103</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2295846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2295846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2295846</v>
      </c>
      <c r="C1388" s="2" t="s">
        <v>594</v>
      </c>
      <c r="D1388" s="2" t="str">
        <f t="shared" si="20"/>
        <v>Error?</v>
      </c>
    </row>
    <row r="1389" spans="1:4" x14ac:dyDescent="0.2">
      <c r="A1389" s="5">
        <v>1328</v>
      </c>
      <c r="B1389" s="138">
        <f>'Expenditures 15-22'!K211</f>
        <v>-45214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5194</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2813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9708</v>
      </c>
      <c r="D1408" s="2" t="str">
        <f t="shared" si="21"/>
        <v>Error?</v>
      </c>
    </row>
    <row r="1409" spans="1:4" x14ac:dyDescent="0.2">
      <c r="A1409" s="5">
        <v>1348</v>
      </c>
      <c r="B1409" s="138">
        <f>'Expenditures 15-22'!D224</f>
        <v>9655</v>
      </c>
      <c r="D1409" s="2" t="str">
        <f t="shared" si="21"/>
        <v>Error?</v>
      </c>
    </row>
    <row r="1410" spans="1:4" x14ac:dyDescent="0.2">
      <c r="A1410" s="5">
        <v>1349</v>
      </c>
      <c r="B1410" s="138">
        <f>'Expenditures 15-22'!D229</f>
        <v>272107</v>
      </c>
      <c r="C1410" s="2" t="s">
        <v>594</v>
      </c>
      <c r="D1410" s="2" t="str">
        <f t="shared" si="21"/>
        <v>Error?</v>
      </c>
    </row>
    <row r="1411" spans="1:4" x14ac:dyDescent="0.2">
      <c r="A1411" s="5">
        <v>1350</v>
      </c>
      <c r="B1411" s="138">
        <f>'Expenditures 15-22'!D232</f>
        <v>7930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54978</v>
      </c>
      <c r="D1413" s="2" t="str">
        <f t="shared" si="21"/>
        <v>Error?</v>
      </c>
    </row>
    <row r="1414" spans="1:4" x14ac:dyDescent="0.2">
      <c r="A1414" s="5">
        <v>1353</v>
      </c>
      <c r="B1414" s="138">
        <f>'Expenditures 15-22'!D235</f>
        <v>5827</v>
      </c>
      <c r="D1414" s="2" t="str">
        <f t="shared" si="21"/>
        <v>Error?</v>
      </c>
    </row>
    <row r="1415" spans="1:4" x14ac:dyDescent="0.2">
      <c r="A1415" s="5">
        <v>1354</v>
      </c>
      <c r="B1415" s="138">
        <f>'Expenditures 15-22'!D236</f>
        <v>9498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78233</v>
      </c>
      <c r="C1417" s="2" t="s">
        <v>594</v>
      </c>
      <c r="D1417" s="2" t="str">
        <f t="shared" si="21"/>
        <v>Error?</v>
      </c>
    </row>
    <row r="1418" spans="1:4" x14ac:dyDescent="0.2">
      <c r="A1418" s="5">
        <v>1357</v>
      </c>
      <c r="B1418" s="138">
        <f>'Expenditures 15-22'!D240</f>
        <v>18472</v>
      </c>
      <c r="D1418" s="2" t="str">
        <f t="shared" si="21"/>
        <v>Error?</v>
      </c>
    </row>
    <row r="1419" spans="1:4" x14ac:dyDescent="0.2">
      <c r="A1419" s="5">
        <v>1358</v>
      </c>
      <c r="B1419" s="138">
        <f>'Expenditures 15-22'!D241</f>
        <v>31353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49825</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15955</v>
      </c>
      <c r="D1423" s="2" t="str">
        <f t="shared" si="21"/>
        <v>Error?</v>
      </c>
    </row>
    <row r="1424" spans="1:4" x14ac:dyDescent="0.2">
      <c r="A1424" s="5">
        <v>1363</v>
      </c>
      <c r="B1424" s="138">
        <f>'Expenditures 15-22'!D257</f>
        <v>25704</v>
      </c>
      <c r="C1424" s="2" t="s">
        <v>594</v>
      </c>
      <c r="D1424" s="2" t="str">
        <f t="shared" si="21"/>
        <v>Error?</v>
      </c>
    </row>
    <row r="1425" spans="1:4" x14ac:dyDescent="0.2">
      <c r="A1425" s="5">
        <v>1364</v>
      </c>
      <c r="B1425" s="138">
        <f>'Expenditures 15-22'!D259</f>
        <v>62762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62762</v>
      </c>
      <c r="C1427" s="2" t="s">
        <v>594</v>
      </c>
      <c r="D1427" s="2" t="str">
        <f t="shared" si="21"/>
        <v>Error?</v>
      </c>
    </row>
    <row r="1428" spans="1:4" x14ac:dyDescent="0.2">
      <c r="A1428" s="5">
        <v>1367</v>
      </c>
      <c r="B1428" s="138">
        <f>'Expenditures 15-22'!D263</f>
        <v>15399</v>
      </c>
      <c r="D1428" s="2" t="str">
        <f t="shared" si="21"/>
        <v>Error?</v>
      </c>
    </row>
    <row r="1429" spans="1:4" x14ac:dyDescent="0.2">
      <c r="A1429" s="5">
        <v>1368</v>
      </c>
      <c r="B1429" s="138">
        <f>'Expenditures 15-22'!D264</f>
        <v>27806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224348</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11809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279362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13293</v>
      </c>
      <c r="D1439" s="2" t="str">
        <f t="shared" si="21"/>
        <v>Error?</v>
      </c>
    </row>
    <row r="1440" spans="1:4" x14ac:dyDescent="0.2">
      <c r="A1440" s="5">
        <v>1379</v>
      </c>
      <c r="B1440" s="138">
        <f>'Expenditures 15-22'!D275</f>
        <v>13172</v>
      </c>
      <c r="D1440" s="2" t="str">
        <f t="shared" si="21"/>
        <v>Error?</v>
      </c>
    </row>
    <row r="1441" spans="1:4" x14ac:dyDescent="0.2">
      <c r="A1441" s="10">
        <v>1380</v>
      </c>
      <c r="D1441" s="2" t="str">
        <f t="shared" si="21"/>
        <v>OK</v>
      </c>
    </row>
    <row r="1442" spans="1:4" x14ac:dyDescent="0.2">
      <c r="A1442" s="5">
        <v>1381</v>
      </c>
      <c r="B1442" s="138">
        <f>'Expenditures 15-22'!D276</f>
        <v>66366</v>
      </c>
      <c r="D1442" s="2" t="str">
        <f t="shared" si="21"/>
        <v>Error?</v>
      </c>
    </row>
    <row r="1443" spans="1:4" x14ac:dyDescent="0.2">
      <c r="A1443" s="10">
        <v>1382</v>
      </c>
      <c r="D1443" s="2" t="str">
        <f t="shared" si="21"/>
        <v>OK</v>
      </c>
    </row>
    <row r="1444" spans="1:4" x14ac:dyDescent="0.2">
      <c r="A1444" s="5">
        <v>1383</v>
      </c>
      <c r="B1444" s="138">
        <f>'Expenditures 15-22'!D277</f>
        <v>92831</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588717</v>
      </c>
      <c r="C1446" s="2" t="s">
        <v>594</v>
      </c>
      <c r="D1446" s="2" t="str">
        <f t="shared" si="21"/>
        <v>Error?</v>
      </c>
    </row>
    <row r="1447" spans="1:4" x14ac:dyDescent="0.2">
      <c r="A1447" s="5">
        <v>1386</v>
      </c>
      <c r="B1447" s="138">
        <f>'Expenditures 15-22'!D280</f>
        <v>468</v>
      </c>
      <c r="D1447" s="2" t="str">
        <f t="shared" si="21"/>
        <v>Error?</v>
      </c>
    </row>
    <row r="1448" spans="1:4" x14ac:dyDescent="0.2">
      <c r="A1448" s="5">
        <v>1387</v>
      </c>
      <c r="B1448" s="138">
        <f>'Expenditures 15-22'!D295</f>
        <v>938073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5194</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2813</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9708</v>
      </c>
      <c r="C1472" s="2" t="s">
        <v>594</v>
      </c>
      <c r="D1472" s="2" t="str">
        <f t="shared" si="22"/>
        <v>Error?</v>
      </c>
    </row>
    <row r="1473" spans="1:4" x14ac:dyDescent="0.2">
      <c r="A1473" s="5">
        <v>1412</v>
      </c>
      <c r="B1473" s="138">
        <f>'Expenditures 15-22'!K224</f>
        <v>9655</v>
      </c>
      <c r="C1473" s="2" t="s">
        <v>594</v>
      </c>
      <c r="D1473" s="2" t="str">
        <f t="shared" si="22"/>
        <v>Error?</v>
      </c>
    </row>
    <row r="1474" spans="1:4" x14ac:dyDescent="0.2">
      <c r="A1474" s="5">
        <v>1413</v>
      </c>
      <c r="B1474" s="138">
        <f>'Expenditures 15-22'!K229</f>
        <v>272107</v>
      </c>
      <c r="C1474" s="2" t="s">
        <v>594</v>
      </c>
      <c r="D1474" s="2" t="str">
        <f t="shared" si="22"/>
        <v>Error?</v>
      </c>
    </row>
    <row r="1475" spans="1:4" x14ac:dyDescent="0.2">
      <c r="A1475" s="5">
        <v>1414</v>
      </c>
      <c r="B1475" s="138">
        <f>'Expenditures 15-22'!K232</f>
        <v>7930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54978</v>
      </c>
      <c r="C1477" s="2" t="s">
        <v>594</v>
      </c>
      <c r="D1477" s="2" t="str">
        <f t="shared" si="22"/>
        <v>Error?</v>
      </c>
    </row>
    <row r="1478" spans="1:4" x14ac:dyDescent="0.2">
      <c r="A1478" s="5">
        <v>1417</v>
      </c>
      <c r="B1478" s="138">
        <f>'Expenditures 15-22'!K235</f>
        <v>5827</v>
      </c>
      <c r="C1478" s="2" t="s">
        <v>594</v>
      </c>
      <c r="D1478" s="2" t="str">
        <f t="shared" si="22"/>
        <v>Error?</v>
      </c>
    </row>
    <row r="1479" spans="1:4" x14ac:dyDescent="0.2">
      <c r="A1479" s="5">
        <v>1418</v>
      </c>
      <c r="B1479" s="138">
        <f>'Expenditures 15-22'!K236</f>
        <v>9498</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78233</v>
      </c>
      <c r="C1481" s="2" t="s">
        <v>594</v>
      </c>
      <c r="D1481" s="2" t="str">
        <f t="shared" si="22"/>
        <v>Error?</v>
      </c>
    </row>
    <row r="1482" spans="1:4" x14ac:dyDescent="0.2">
      <c r="A1482" s="5">
        <v>1421</v>
      </c>
      <c r="B1482" s="138">
        <f>'Expenditures 15-22'!K240</f>
        <v>18472</v>
      </c>
      <c r="C1482" s="2" t="s">
        <v>594</v>
      </c>
      <c r="D1482" s="2" t="str">
        <f t="shared" si="22"/>
        <v>Error?</v>
      </c>
    </row>
    <row r="1483" spans="1:4" x14ac:dyDescent="0.2">
      <c r="A1483" s="5">
        <v>1422</v>
      </c>
      <c r="B1483" s="138">
        <f>'Expenditures 15-22'!K241</f>
        <v>31353</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49825</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15955</v>
      </c>
      <c r="C1487" s="2" t="s">
        <v>594</v>
      </c>
      <c r="D1487" s="2" t="str">
        <f t="shared" si="22"/>
        <v>Error?</v>
      </c>
    </row>
    <row r="1488" spans="1:4" x14ac:dyDescent="0.2">
      <c r="A1488" s="5">
        <v>1427</v>
      </c>
      <c r="B1488" s="138">
        <f>'Expenditures 15-22'!K257</f>
        <v>25704</v>
      </c>
      <c r="C1488" s="2" t="s">
        <v>594</v>
      </c>
      <c r="D1488" s="2" t="str">
        <f t="shared" si="22"/>
        <v>Error?</v>
      </c>
    </row>
    <row r="1489" spans="1:4" x14ac:dyDescent="0.2">
      <c r="A1489" s="5">
        <v>1428</v>
      </c>
      <c r="B1489" s="138">
        <f>'Expenditures 15-22'!K259</f>
        <v>62762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62762</v>
      </c>
      <c r="C1491" s="2" t="s">
        <v>594</v>
      </c>
      <c r="D1491" s="2" t="str">
        <f t="shared" si="22"/>
        <v>Error?</v>
      </c>
    </row>
    <row r="1492" spans="1:4" x14ac:dyDescent="0.2">
      <c r="A1492" s="5">
        <v>1431</v>
      </c>
      <c r="B1492" s="138">
        <f>'Expenditures 15-22'!K263</f>
        <v>15399</v>
      </c>
      <c r="C1492" s="2" t="s">
        <v>594</v>
      </c>
      <c r="D1492" s="2" t="str">
        <f t="shared" si="22"/>
        <v>Error?</v>
      </c>
    </row>
    <row r="1493" spans="1:4" x14ac:dyDescent="0.2">
      <c r="A1493" s="5">
        <v>1432</v>
      </c>
      <c r="B1493" s="138">
        <f>'Expenditures 15-22'!K264</f>
        <v>27806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224348</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11809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279362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13293</v>
      </c>
      <c r="C1503" s="2" t="s">
        <v>594</v>
      </c>
      <c r="D1503" s="2" t="str">
        <f t="shared" si="22"/>
        <v>Error?</v>
      </c>
    </row>
    <row r="1504" spans="1:4" x14ac:dyDescent="0.2">
      <c r="A1504" s="5">
        <v>1443</v>
      </c>
      <c r="B1504" s="138">
        <f>'Expenditures 15-22'!K275</f>
        <v>13172</v>
      </c>
      <c r="C1504" s="2" t="s">
        <v>594</v>
      </c>
      <c r="D1504" s="2" t="str">
        <f t="shared" si="22"/>
        <v>Error?</v>
      </c>
    </row>
    <row r="1505" spans="1:4" x14ac:dyDescent="0.2">
      <c r="A1505" s="10">
        <v>1444</v>
      </c>
      <c r="D1505" s="2" t="str">
        <f t="shared" si="22"/>
        <v>OK</v>
      </c>
    </row>
    <row r="1506" spans="1:4" x14ac:dyDescent="0.2">
      <c r="A1506" s="5">
        <v>1445</v>
      </c>
      <c r="B1506" s="138">
        <f>'Expenditures 15-22'!K276</f>
        <v>66366</v>
      </c>
      <c r="C1506" s="2" t="s">
        <v>594</v>
      </c>
      <c r="D1506" s="2" t="str">
        <f t="shared" si="22"/>
        <v>Error?</v>
      </c>
    </row>
    <row r="1507" spans="1:4" x14ac:dyDescent="0.2">
      <c r="A1507" s="10">
        <v>1446</v>
      </c>
      <c r="D1507" s="2" t="str">
        <f t="shared" si="22"/>
        <v>OK</v>
      </c>
    </row>
    <row r="1508" spans="1:4" x14ac:dyDescent="0.2">
      <c r="A1508" s="5">
        <v>1447</v>
      </c>
      <c r="B1508" s="138">
        <f>'Expenditures 15-22'!K277</f>
        <v>92831</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588717</v>
      </c>
      <c r="C1510" s="2" t="s">
        <v>594</v>
      </c>
      <c r="D1510" s="2" t="str">
        <f t="shared" si="22"/>
        <v>Error?</v>
      </c>
    </row>
    <row r="1511" spans="1:4" x14ac:dyDescent="0.2">
      <c r="A1511" s="5">
        <v>1450</v>
      </c>
      <c r="B1511" s="138">
        <f>'Expenditures 15-22'!K280</f>
        <v>468</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938073</v>
      </c>
      <c r="C1517" s="2" t="s">
        <v>594</v>
      </c>
      <c r="D1517" s="2" t="str">
        <f t="shared" si="22"/>
        <v>Error?</v>
      </c>
    </row>
    <row r="1518" spans="1:4" x14ac:dyDescent="0.2">
      <c r="A1518" s="5">
        <v>1457</v>
      </c>
      <c r="B1518" s="138">
        <f>'Expenditures 15-22'!K296</f>
        <v>59366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134268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134268</v>
      </c>
      <c r="C1535" s="2" t="s">
        <v>594</v>
      </c>
      <c r="D1535" s="2" t="str">
        <f t="shared" ref="D1535:D1598" si="23">IF(ISBLANK(B1535),"OK",IF(A1535-B1535=0,"OK","Error?"))</f>
        <v>Error?</v>
      </c>
    </row>
    <row r="1536" spans="1:4" x14ac:dyDescent="0.2">
      <c r="A1536" s="5">
        <v>1475</v>
      </c>
      <c r="B1536" s="138">
        <f>'Expenditures 15-22'!E312</f>
        <v>134268</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5126219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5126219</v>
      </c>
      <c r="C1547" s="2" t="s">
        <v>594</v>
      </c>
      <c r="D1547" s="2" t="str">
        <f t="shared" si="23"/>
        <v>Error?</v>
      </c>
    </row>
    <row r="1548" spans="1:4" x14ac:dyDescent="0.2">
      <c r="A1548" s="5">
        <v>1487</v>
      </c>
      <c r="B1548" s="138">
        <f>'Expenditures 15-22'!G312</f>
        <v>5126219</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5260487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5260487</v>
      </c>
      <c r="C1559" s="2" t="s">
        <v>594</v>
      </c>
      <c r="D1559" s="2" t="str">
        <f t="shared" si="23"/>
        <v>Error?</v>
      </c>
    </row>
    <row r="1560" spans="1:4" x14ac:dyDescent="0.2">
      <c r="A1560" s="5">
        <v>1499</v>
      </c>
      <c r="B1560" s="138">
        <f>'Expenditures 15-22'!K312</f>
        <v>5260487</v>
      </c>
      <c r="C1560" s="2" t="s">
        <v>594</v>
      </c>
      <c r="D1560" s="2" t="str">
        <f t="shared" si="23"/>
        <v>Error?</v>
      </c>
    </row>
    <row r="1561" spans="1:4" x14ac:dyDescent="0.2">
      <c r="A1561" s="5">
        <v>1500</v>
      </c>
      <c r="B1561" s="138">
        <f>'Expenditures 15-22'!K313</f>
        <v>-4759057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12085047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13222985</v>
      </c>
      <c r="C1630" s="2" t="s">
        <v>594</v>
      </c>
      <c r="D1630" s="2" t="str">
        <f t="shared" si="24"/>
        <v>Error?</v>
      </c>
    </row>
    <row r="1631" spans="1:4" x14ac:dyDescent="0.2">
      <c r="A1631" s="5">
        <v>1570</v>
      </c>
      <c r="B1631" s="138">
        <f>'Acct Summary 7-8'!D79</f>
        <v>1211794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1686560</v>
      </c>
      <c r="C1644" s="2" t="s">
        <v>594</v>
      </c>
      <c r="D1644" s="2" t="str">
        <f t="shared" si="24"/>
        <v>Error?</v>
      </c>
    </row>
    <row r="1645" spans="1:4" x14ac:dyDescent="0.2">
      <c r="A1645" s="5">
        <v>1584</v>
      </c>
      <c r="B1645" s="138">
        <f>'Acct Summary 7-8'!E79</f>
        <v>151144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52745</v>
      </c>
      <c r="C1658" s="2" t="s">
        <v>594</v>
      </c>
      <c r="D1658" s="2" t="str">
        <f t="shared" si="24"/>
        <v>Error?</v>
      </c>
    </row>
    <row r="1659" spans="1:4" x14ac:dyDescent="0.2">
      <c r="A1659" s="5">
        <v>1598</v>
      </c>
      <c r="B1659" s="138">
        <f>'Acct Summary 7-8'!F79</f>
        <v>376502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331288</v>
      </c>
      <c r="C1672" s="2" t="s">
        <v>594</v>
      </c>
      <c r="D1672" s="2" t="str">
        <f t="shared" si="25"/>
        <v>Error?</v>
      </c>
    </row>
    <row r="1673" spans="1:4" x14ac:dyDescent="0.2">
      <c r="A1673" s="5">
        <v>1612</v>
      </c>
      <c r="B1673" s="138">
        <f>'Acct Summary 7-8'!G79</f>
        <v>449797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509163</v>
      </c>
      <c r="C1686" s="2" t="s">
        <v>594</v>
      </c>
      <c r="D1686" s="2" t="str">
        <f t="shared" si="25"/>
        <v>Error?</v>
      </c>
    </row>
    <row r="1687" spans="1:4" x14ac:dyDescent="0.2">
      <c r="A1687" s="5">
        <v>1626</v>
      </c>
      <c r="B1687" s="138">
        <f>'Acct Summary 7-8'!H79</f>
        <v>947517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24903957</v>
      </c>
      <c r="C1744" s="2" t="s">
        <v>594</v>
      </c>
      <c r="D1744" s="2" t="str">
        <f t="shared" si="26"/>
        <v>Error?</v>
      </c>
    </row>
    <row r="1745" spans="1:5" x14ac:dyDescent="0.2">
      <c r="A1745" s="5">
        <v>1684</v>
      </c>
      <c r="B1745" s="138">
        <f>'Tax Sched 23'!B5</f>
        <v>4404273</v>
      </c>
      <c r="C1745" s="2" t="s">
        <v>594</v>
      </c>
      <c r="D1745" s="2" t="str">
        <f t="shared" si="26"/>
        <v>Error?</v>
      </c>
    </row>
    <row r="1746" spans="1:5" x14ac:dyDescent="0.2">
      <c r="A1746" s="5">
        <v>1685</v>
      </c>
      <c r="B1746" s="138">
        <f>'Tax Sched 23'!B6</f>
        <v>848413</v>
      </c>
      <c r="C1746" s="2" t="s">
        <v>594</v>
      </c>
      <c r="D1746" s="2" t="str">
        <f t="shared" si="26"/>
        <v>Error?</v>
      </c>
    </row>
    <row r="1747" spans="1:5" x14ac:dyDescent="0.2">
      <c r="A1747" s="5">
        <v>1686</v>
      </c>
      <c r="B1747" s="138">
        <f>'Tax Sched 23'!B7</f>
        <v>991859</v>
      </c>
      <c r="C1747" s="2" t="s">
        <v>594</v>
      </c>
      <c r="D1747" s="2" t="str">
        <f t="shared" si="26"/>
        <v>Error?</v>
      </c>
    </row>
    <row r="1748" spans="1:5" x14ac:dyDescent="0.2">
      <c r="A1748" s="5">
        <v>1687</v>
      </c>
      <c r="B1748" s="138">
        <f>'Tax Sched 23'!B8</f>
        <v>235843</v>
      </c>
      <c r="C1748" s="2" t="s">
        <v>594</v>
      </c>
      <c r="D1748" s="2" t="str">
        <f t="shared" si="26"/>
        <v>Error?</v>
      </c>
    </row>
    <row r="1749" spans="1:5" x14ac:dyDescent="0.2">
      <c r="A1749" s="5">
        <v>1688</v>
      </c>
      <c r="B1749" s="138">
        <f>'Tax Sched 23'!B10</f>
        <v>106144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81245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31807577</v>
      </c>
      <c r="C1759" s="2" t="s">
        <v>594</v>
      </c>
      <c r="D1759" s="2" t="str">
        <f t="shared" si="26"/>
        <v>Error?</v>
      </c>
    </row>
    <row r="1760" spans="1:5" x14ac:dyDescent="0.2">
      <c r="A1760" s="5">
        <v>1699</v>
      </c>
      <c r="B1760" s="138">
        <f>'Tax Sched 23'!D4</f>
        <v>11228555</v>
      </c>
      <c r="C1760" s="2" t="s">
        <v>594</v>
      </c>
      <c r="D1760" s="2" t="str">
        <f t="shared" si="26"/>
        <v>Error?</v>
      </c>
    </row>
    <row r="1761" spans="1:5" x14ac:dyDescent="0.2">
      <c r="A1761" s="5">
        <v>1700</v>
      </c>
      <c r="B1761" s="138">
        <f>'Tax Sched 23'!D5</f>
        <v>1991079</v>
      </c>
      <c r="C1761" s="2" t="s">
        <v>594</v>
      </c>
      <c r="D1761" s="2" t="str">
        <f t="shared" si="26"/>
        <v>Error?</v>
      </c>
    </row>
    <row r="1762" spans="1:5" s="8" customFormat="1" x14ac:dyDescent="0.2">
      <c r="A1762" s="5">
        <v>1701</v>
      </c>
      <c r="B1762" s="138">
        <f>'Tax Sched 23'!D6</f>
        <v>803503</v>
      </c>
      <c r="C1762" s="2" t="s">
        <v>594</v>
      </c>
      <c r="D1762" s="2" t="str">
        <f t="shared" si="26"/>
        <v>Error?</v>
      </c>
      <c r="E1762" s="9"/>
    </row>
    <row r="1763" spans="1:5" x14ac:dyDescent="0.2">
      <c r="A1763" s="5">
        <v>1702</v>
      </c>
      <c r="B1763" s="138">
        <f>'Tax Sched 23'!D7</f>
        <v>436785</v>
      </c>
      <c r="C1763" s="2" t="s">
        <v>594</v>
      </c>
      <c r="D1763" s="2" t="str">
        <f t="shared" si="26"/>
        <v>Error?</v>
      </c>
    </row>
    <row r="1764" spans="1:5" x14ac:dyDescent="0.2">
      <c r="A1764" s="5">
        <v>1703</v>
      </c>
      <c r="B1764" s="138">
        <f>'Tax Sched 23'!D8</f>
        <v>92471</v>
      </c>
      <c r="C1764" s="2" t="s">
        <v>594</v>
      </c>
      <c r="D1764" s="2" t="str">
        <f t="shared" si="26"/>
        <v>Error?</v>
      </c>
    </row>
    <row r="1765" spans="1:5" x14ac:dyDescent="0.2">
      <c r="A1765" s="5">
        <v>1704</v>
      </c>
      <c r="B1765" s="138">
        <f>'Tax Sched 23'!D10</f>
        <v>48791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23892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14717547</v>
      </c>
      <c r="C1775" s="2" t="s">
        <v>594</v>
      </c>
      <c r="D1775" s="2" t="str">
        <f t="shared" si="26"/>
        <v>Error?</v>
      </c>
    </row>
    <row r="1776" spans="1:5" x14ac:dyDescent="0.2">
      <c r="A1776" s="5">
        <v>1715</v>
      </c>
      <c r="B1776" s="138">
        <f>'Tax Sched 23'!C4</f>
        <v>13675402</v>
      </c>
      <c r="D1776" s="2" t="str">
        <f t="shared" si="26"/>
        <v>Error?</v>
      </c>
    </row>
    <row r="1777" spans="1:4" x14ac:dyDescent="0.2">
      <c r="A1777" s="5">
        <v>1716</v>
      </c>
      <c r="B1777" s="138">
        <f>'Tax Sched 23'!C5</f>
        <v>2413194</v>
      </c>
      <c r="D1777" s="2" t="str">
        <f t="shared" si="26"/>
        <v>Error?</v>
      </c>
    </row>
    <row r="1778" spans="1:4" x14ac:dyDescent="0.2">
      <c r="A1778" s="5">
        <v>1717</v>
      </c>
      <c r="B1778" s="138">
        <f>'Tax Sched 23'!C6</f>
        <v>44910</v>
      </c>
      <c r="D1778" s="2" t="str">
        <f t="shared" si="26"/>
        <v>Error?</v>
      </c>
    </row>
    <row r="1779" spans="1:4" x14ac:dyDescent="0.2">
      <c r="A1779" s="5">
        <v>1718</v>
      </c>
      <c r="B1779" s="138">
        <f>'Tax Sched 23'!C7</f>
        <v>555074</v>
      </c>
      <c r="D1779" s="2" t="str">
        <f t="shared" si="26"/>
        <v>Error?</v>
      </c>
    </row>
    <row r="1780" spans="1:4" x14ac:dyDescent="0.2">
      <c r="A1780" s="5">
        <v>1719</v>
      </c>
      <c r="B1780" s="138">
        <f>'Tax Sched 23'!C8</f>
        <v>143372</v>
      </c>
      <c r="D1780" s="2" t="str">
        <f t="shared" si="26"/>
        <v>Error?</v>
      </c>
    </row>
    <row r="1781" spans="1:4" x14ac:dyDescent="0.2">
      <c r="A1781" s="5">
        <v>1720</v>
      </c>
      <c r="B1781" s="138">
        <f>'Tax Sched 23'!C10</f>
        <v>57353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57353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17090030</v>
      </c>
      <c r="C1791" s="2" t="s">
        <v>594</v>
      </c>
      <c r="D1791" s="2" t="str">
        <f t="shared" ref="D1791:D1854" si="27">IF(ISBLANK(B1791),"OK",IF(A1791-B1791=0,"OK","Error?"))</f>
        <v>Error?</v>
      </c>
    </row>
    <row r="1792" spans="1:4" x14ac:dyDescent="0.2">
      <c r="A1792" s="5">
        <v>1731</v>
      </c>
      <c r="B1792" s="138">
        <f>'Tax Sched 23'!F4</f>
        <v>10171483</v>
      </c>
      <c r="C1792" s="2" t="s">
        <v>594</v>
      </c>
      <c r="D1792" s="2" t="str">
        <f t="shared" si="27"/>
        <v>Error?</v>
      </c>
    </row>
    <row r="1793" spans="1:4" x14ac:dyDescent="0.2">
      <c r="A1793" s="5">
        <v>1732</v>
      </c>
      <c r="B1793" s="138">
        <f>'Tax Sched 23'!F5</f>
        <v>1794885</v>
      </c>
      <c r="C1793" s="2" t="s">
        <v>594</v>
      </c>
      <c r="D1793" s="2" t="str">
        <f t="shared" si="27"/>
        <v>Error?</v>
      </c>
    </row>
    <row r="1794" spans="1:4" x14ac:dyDescent="0.2">
      <c r="A1794" s="5">
        <v>1733</v>
      </c>
      <c r="B1794" s="138">
        <f>'Tax Sched 23'!F6</f>
        <v>737891</v>
      </c>
      <c r="C1794" s="2" t="s">
        <v>594</v>
      </c>
      <c r="D1794" s="2" t="str">
        <f t="shared" si="27"/>
        <v>Error?</v>
      </c>
    </row>
    <row r="1795" spans="1:4" x14ac:dyDescent="0.2">
      <c r="A1795" s="5">
        <v>1734</v>
      </c>
      <c r="B1795" s="138">
        <f>'Tax Sched 23'!F7</f>
        <v>412853</v>
      </c>
      <c r="C1795" s="2" t="s">
        <v>594</v>
      </c>
      <c r="D1795" s="2" t="str">
        <f t="shared" si="27"/>
        <v>Error?</v>
      </c>
    </row>
    <row r="1796" spans="1:4" x14ac:dyDescent="0.2">
      <c r="A1796" s="5">
        <v>1735</v>
      </c>
      <c r="B1796" s="138">
        <f>'Tax Sched 23'!F8</f>
        <v>106637</v>
      </c>
      <c r="C1796" s="2" t="s">
        <v>594</v>
      </c>
      <c r="D1796" s="2" t="str">
        <f t="shared" si="27"/>
        <v>Error?</v>
      </c>
    </row>
    <row r="1797" spans="1:4" x14ac:dyDescent="0.2">
      <c r="A1797" s="5">
        <v>1736</v>
      </c>
      <c r="B1797" s="138">
        <f>'Tax Sched 23'!F10</f>
        <v>42657</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19811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13392854</v>
      </c>
      <c r="C1807" s="2" t="s">
        <v>594</v>
      </c>
      <c r="D1807" s="2" t="str">
        <f t="shared" si="27"/>
        <v>Error?</v>
      </c>
    </row>
    <row r="1808" spans="1:4" x14ac:dyDescent="0.2">
      <c r="A1808" s="5">
        <v>1747</v>
      </c>
      <c r="B1808" s="138">
        <f>'Tax Sched 23'!E4</f>
        <v>23846885</v>
      </c>
      <c r="D1808" s="2" t="str">
        <f t="shared" si="27"/>
        <v>Error?</v>
      </c>
    </row>
    <row r="1809" spans="1:4" x14ac:dyDescent="0.2">
      <c r="A1809" s="5">
        <v>1748</v>
      </c>
      <c r="B1809" s="138">
        <f>'Tax Sched 23'!E5</f>
        <v>4208079</v>
      </c>
      <c r="D1809" s="2" t="str">
        <f t="shared" si="27"/>
        <v>Error?</v>
      </c>
    </row>
    <row r="1810" spans="1:4" x14ac:dyDescent="0.2">
      <c r="A1810" s="5">
        <v>1749</v>
      </c>
      <c r="B1810" s="138">
        <f>'Tax Sched 23'!E6</f>
        <v>782801</v>
      </c>
      <c r="D1810" s="2" t="str">
        <f t="shared" si="27"/>
        <v>Error?</v>
      </c>
    </row>
    <row r="1811" spans="1:4" x14ac:dyDescent="0.2">
      <c r="A1811" s="5">
        <v>1750</v>
      </c>
      <c r="B1811" s="138">
        <f>'Tax Sched 23'!E7</f>
        <v>967927</v>
      </c>
      <c r="D1811" s="2" t="str">
        <f t="shared" si="27"/>
        <v>Error?</v>
      </c>
    </row>
    <row r="1812" spans="1:4" x14ac:dyDescent="0.2">
      <c r="A1812" s="5">
        <v>1751</v>
      </c>
      <c r="B1812" s="138">
        <f>'Tax Sched 23'!E8</f>
        <v>250009</v>
      </c>
      <c r="D1812" s="2" t="str">
        <f t="shared" si="27"/>
        <v>Error?</v>
      </c>
    </row>
    <row r="1813" spans="1:4" x14ac:dyDescent="0.2">
      <c r="A1813" s="5">
        <v>1752</v>
      </c>
      <c r="B1813" s="138">
        <f>'Tax Sched 23'!E10</f>
        <v>100010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77164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30482884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16337133</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313824</v>
      </c>
      <c r="D2008" s="2" t="str">
        <f t="shared" si="30"/>
        <v>Error?</v>
      </c>
    </row>
    <row r="2009" spans="1:4" x14ac:dyDescent="0.2">
      <c r="A2009" s="5">
        <v>1948</v>
      </c>
      <c r="B2009" s="138">
        <f>'Cap Outlay Deprec 26'!C8</f>
        <v>56859874</v>
      </c>
      <c r="D2009" s="2" t="str">
        <f t="shared" si="30"/>
        <v>Error?</v>
      </c>
    </row>
    <row r="2010" spans="1:4" x14ac:dyDescent="0.2">
      <c r="A2010" s="5">
        <v>1949</v>
      </c>
      <c r="B2010" s="138">
        <f>'Cap Outlay Deprec 26'!C10</f>
        <v>1781874</v>
      </c>
      <c r="D2010" s="2" t="str">
        <f t="shared" si="30"/>
        <v>Error?</v>
      </c>
    </row>
    <row r="2011" spans="1:4" x14ac:dyDescent="0.2">
      <c r="A2011" s="5">
        <v>1950</v>
      </c>
      <c r="B2011" s="138">
        <f>'Cap Outlay Deprec 26'!C12</f>
        <v>12989471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71945043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5529217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666250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6195467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313824</v>
      </c>
      <c r="C2026" s="2" t="s">
        <v>594</v>
      </c>
      <c r="D2026" s="2" t="str">
        <f t="shared" si="30"/>
        <v>Error?</v>
      </c>
    </row>
    <row r="2027" spans="1:4" x14ac:dyDescent="0.2">
      <c r="A2027" s="5">
        <v>1966</v>
      </c>
      <c r="B2027" s="138">
        <f>'Cap Outlay Deprec 26'!F8</f>
        <v>62389091</v>
      </c>
      <c r="C2027" s="2" t="s">
        <v>594</v>
      </c>
      <c r="D2027" s="2" t="str">
        <f t="shared" si="30"/>
        <v>Error?</v>
      </c>
    </row>
    <row r="2028" spans="1:4" x14ac:dyDescent="0.2">
      <c r="A2028" s="5">
        <v>1967</v>
      </c>
      <c r="B2028" s="138">
        <f>'Cap Outlay Deprec 26'!F10</f>
        <v>1781874</v>
      </c>
      <c r="C2028" s="2" t="s">
        <v>594</v>
      </c>
      <c r="D2028" s="2" t="str">
        <f t="shared" si="30"/>
        <v>Error?</v>
      </c>
    </row>
    <row r="2029" spans="1:4" x14ac:dyDescent="0.2">
      <c r="A2029" s="5">
        <v>1968</v>
      </c>
      <c r="B2029" s="138">
        <f>'Cap Outlay Deprec 26'!F12</f>
        <v>13655721</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78140510</v>
      </c>
      <c r="C2031" s="2" t="s">
        <v>594</v>
      </c>
      <c r="D2031" s="2" t="str">
        <f t="shared" si="30"/>
        <v>Error?</v>
      </c>
    </row>
    <row r="2032" spans="1:4" x14ac:dyDescent="0.2">
      <c r="A2032" s="10">
        <v>1971</v>
      </c>
      <c r="D2032" s="2" t="str">
        <f t="shared" si="30"/>
        <v>OK</v>
      </c>
    </row>
    <row r="2033" spans="1:4" x14ac:dyDescent="0.2">
      <c r="A2033" s="5">
        <v>1972</v>
      </c>
      <c r="B2033" s="138">
        <f>'Cap Outlay Deprec 26'!H8</f>
        <v>14424469</v>
      </c>
      <c r="D2033" s="2" t="str">
        <f t="shared" si="30"/>
        <v>Error?</v>
      </c>
    </row>
    <row r="2034" spans="1:4" x14ac:dyDescent="0.2">
      <c r="A2034" s="5">
        <v>1973</v>
      </c>
      <c r="B2034" s="138">
        <f>'Cap Outlay Deprec 26'!H10</f>
        <v>825023</v>
      </c>
      <c r="D2034" s="2" t="str">
        <f t="shared" si="30"/>
        <v>Error?</v>
      </c>
    </row>
    <row r="2035" spans="1:4" x14ac:dyDescent="0.2">
      <c r="A2035" s="5">
        <v>1974</v>
      </c>
      <c r="B2035" s="138">
        <f>'Cap Outlay Deprec 26'!H12</f>
        <v>9965013</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25214505</v>
      </c>
      <c r="C2037" s="2" t="s">
        <v>594</v>
      </c>
      <c r="D2037" s="2" t="str">
        <f t="shared" si="30"/>
        <v>Error?</v>
      </c>
    </row>
    <row r="2038" spans="1:4" x14ac:dyDescent="0.2">
      <c r="A2038" s="10">
        <v>1977</v>
      </c>
      <c r="D2038" s="2" t="str">
        <f t="shared" si="30"/>
        <v>OK</v>
      </c>
    </row>
    <row r="2039" spans="1:4" x14ac:dyDescent="0.2">
      <c r="A2039" s="5">
        <v>1978</v>
      </c>
      <c r="B2039" s="138">
        <f>'Cap Outlay Deprec 26'!I8</f>
        <v>1192490</v>
      </c>
      <c r="D2039" s="2" t="str">
        <f t="shared" si="30"/>
        <v>Error?</v>
      </c>
    </row>
    <row r="2040" spans="1:4" x14ac:dyDescent="0.2">
      <c r="A2040" s="5">
        <v>1979</v>
      </c>
      <c r="B2040" s="138">
        <f>'Cap Outlay Deprec 26'!I10</f>
        <v>61862</v>
      </c>
      <c r="D2040" s="2" t="str">
        <f t="shared" si="30"/>
        <v>Error?</v>
      </c>
    </row>
    <row r="2041" spans="1:4" x14ac:dyDescent="0.2">
      <c r="A2041" s="5">
        <v>1980</v>
      </c>
      <c r="B2041" s="138">
        <f>'Cap Outlay Deprec 26'!I12</f>
        <v>652196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1906548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15616959</v>
      </c>
      <c r="C2051" s="2" t="s">
        <v>594</v>
      </c>
      <c r="D2051" s="2" t="str">
        <f t="shared" si="31"/>
        <v>Error?</v>
      </c>
    </row>
    <row r="2052" spans="1:4" x14ac:dyDescent="0.2">
      <c r="A2052" s="5">
        <v>1991</v>
      </c>
      <c r="B2052" s="138">
        <f>'Cap Outlay Deprec 26'!K10</f>
        <v>886885</v>
      </c>
      <c r="C2052" s="2" t="s">
        <v>594</v>
      </c>
      <c r="D2052" s="2" t="str">
        <f t="shared" si="31"/>
        <v>Error?</v>
      </c>
    </row>
    <row r="2053" spans="1:4" x14ac:dyDescent="0.2">
      <c r="A2053" s="5">
        <v>1992</v>
      </c>
      <c r="B2053" s="138">
        <f>'Cap Outlay Deprec 26'!K12</f>
        <v>10617209</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27121053</v>
      </c>
      <c r="C2055" s="2" t="s">
        <v>594</v>
      </c>
      <c r="D2055" s="2" t="str">
        <f t="shared" si="31"/>
        <v>Error?</v>
      </c>
    </row>
    <row r="2056" spans="1:4" x14ac:dyDescent="0.2">
      <c r="A2056" s="5">
        <v>1995</v>
      </c>
      <c r="B2056" s="138">
        <f>'Cap Outlay Deprec 26'!L5</f>
        <v>313824</v>
      </c>
      <c r="C2056" s="2" t="s">
        <v>594</v>
      </c>
      <c r="D2056" s="2" t="str">
        <f t="shared" si="31"/>
        <v>Error?</v>
      </c>
    </row>
    <row r="2057" spans="1:4" x14ac:dyDescent="0.2">
      <c r="A2057" s="5">
        <v>1996</v>
      </c>
      <c r="B2057" s="138">
        <f>'Cap Outlay Deprec 26'!L8</f>
        <v>46772132</v>
      </c>
      <c r="C2057" s="2" t="s">
        <v>594</v>
      </c>
      <c r="D2057" s="2" t="str">
        <f t="shared" si="31"/>
        <v>Error?</v>
      </c>
    </row>
    <row r="2058" spans="1:4" x14ac:dyDescent="0.2">
      <c r="A2058" s="5">
        <v>1997</v>
      </c>
      <c r="B2058" s="138">
        <f>'Cap Outlay Deprec 26'!L10</f>
        <v>894989</v>
      </c>
      <c r="C2058" s="2" t="s">
        <v>594</v>
      </c>
      <c r="D2058" s="2" t="str">
        <f t="shared" si="31"/>
        <v>Error?</v>
      </c>
    </row>
    <row r="2059" spans="1:4" x14ac:dyDescent="0.2">
      <c r="A2059" s="5">
        <v>1998</v>
      </c>
      <c r="B2059" s="138">
        <f>'Cap Outlay Deprec 26'!L12</f>
        <v>3038512</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51019457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463273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534643</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96139</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3811540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26191749</v>
      </c>
      <c r="C2551" s="2" t="s">
        <v>594</v>
      </c>
      <c r="D2551" s="2" t="str">
        <f t="shared" si="38"/>
        <v>Error?</v>
      </c>
    </row>
    <row r="2552" spans="1:4" x14ac:dyDescent="0.2">
      <c r="A2552" s="10">
        <v>2491</v>
      </c>
      <c r="D2552" s="2" t="str">
        <f t="shared" si="38"/>
        <v>OK</v>
      </c>
    </row>
    <row r="2553" spans="1:4" x14ac:dyDescent="0.2">
      <c r="A2553" s="5">
        <v>2492</v>
      </c>
      <c r="B2553" s="138">
        <f>'Acct Summary 7-8'!C6</f>
        <v>2431239</v>
      </c>
      <c r="C2553" s="2" t="s">
        <v>594</v>
      </c>
      <c r="D2553" s="2" t="str">
        <f t="shared" si="38"/>
        <v>Error?</v>
      </c>
    </row>
    <row r="2554" spans="1:4" x14ac:dyDescent="0.2">
      <c r="A2554" s="5">
        <v>2493</v>
      </c>
      <c r="B2554" s="138">
        <f>'Acct Summary 7-8'!C7</f>
        <v>653097</v>
      </c>
      <c r="C2554" s="2" t="s">
        <v>594</v>
      </c>
      <c r="D2554" s="2" t="str">
        <f t="shared" si="38"/>
        <v>Error?</v>
      </c>
    </row>
    <row r="2555" spans="1:4" x14ac:dyDescent="0.2">
      <c r="A2555" s="5">
        <v>2494</v>
      </c>
      <c r="B2555" s="138">
        <f>'Acct Summary 7-8'!C8</f>
        <v>29276085</v>
      </c>
      <c r="C2555" s="2" t="s">
        <v>594</v>
      </c>
      <c r="D2555" s="2" t="str">
        <f t="shared" si="38"/>
        <v>Error?</v>
      </c>
    </row>
    <row r="2556" spans="1:4" x14ac:dyDescent="0.2">
      <c r="A2556" s="5">
        <v>2495</v>
      </c>
      <c r="B2556" s="138">
        <f>'Acct Summary 7-8'!C12</f>
        <v>17904401</v>
      </c>
      <c r="C2556" s="2" t="s">
        <v>594</v>
      </c>
      <c r="D2556" s="2" t="str">
        <f t="shared" si="38"/>
        <v>Error?</v>
      </c>
    </row>
    <row r="2557" spans="1:4" x14ac:dyDescent="0.2">
      <c r="A2557" s="5">
        <v>2496</v>
      </c>
      <c r="B2557" s="138">
        <f>'Acct Summary 7-8'!C13</f>
        <v>9224198</v>
      </c>
      <c r="C2557" s="2" t="s">
        <v>594</v>
      </c>
      <c r="D2557" s="2" t="str">
        <f t="shared" si="38"/>
        <v>Error?</v>
      </c>
    </row>
    <row r="2558" spans="1:4" x14ac:dyDescent="0.2">
      <c r="A2558" s="5">
        <v>2497</v>
      </c>
      <c r="B2558" s="138">
        <f>'Acct Summary 7-8'!C14</f>
        <v>74214</v>
      </c>
      <c r="C2558" s="2" t="s">
        <v>594</v>
      </c>
      <c r="D2558" s="2" t="str">
        <f t="shared" si="38"/>
        <v>Error?</v>
      </c>
    </row>
    <row r="2559" spans="1:4" x14ac:dyDescent="0.2">
      <c r="A2559" s="5">
        <v>2498</v>
      </c>
      <c r="B2559" s="138">
        <f>'Acct Summary 7-8'!C15</f>
        <v>534643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27737456</v>
      </c>
      <c r="C2561" s="2" t="s">
        <v>594</v>
      </c>
      <c r="D2561" s="2" t="str">
        <f t="shared" si="39"/>
        <v>Error?</v>
      </c>
    </row>
    <row r="2562" spans="1:4" x14ac:dyDescent="0.2">
      <c r="A2562" s="5">
        <v>2501</v>
      </c>
      <c r="B2562" s="138">
        <f>'Acct Summary 7-8'!C20</f>
        <v>1538629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4490538</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4490538</v>
      </c>
      <c r="C2568" s="2" t="s">
        <v>594</v>
      </c>
      <c r="D2568" s="2" t="str">
        <f t="shared" si="39"/>
        <v>Error?</v>
      </c>
    </row>
    <row r="2569" spans="1:4" x14ac:dyDescent="0.2">
      <c r="A2569" s="5">
        <v>2508</v>
      </c>
      <c r="B2569" s="138">
        <f>'Acct Summary 7-8'!D13</f>
        <v>2874892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96139</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2971031</v>
      </c>
      <c r="C2573" s="2" t="s">
        <v>594</v>
      </c>
      <c r="D2573" s="2" t="str">
        <f t="shared" si="39"/>
        <v>Error?</v>
      </c>
    </row>
    <row r="2574" spans="1:4" x14ac:dyDescent="0.2">
      <c r="A2574" s="5">
        <v>2513</v>
      </c>
      <c r="B2574" s="138">
        <f>'Acct Summary 7-8'!D20</f>
        <v>1519507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1577792</v>
      </c>
      <c r="C2591" s="2" t="s">
        <v>594</v>
      </c>
      <c r="D2591" s="2" t="str">
        <f t="shared" si="39"/>
        <v>Error?</v>
      </c>
    </row>
    <row r="2592" spans="1:4" x14ac:dyDescent="0.2">
      <c r="A2592" s="10">
        <v>2531</v>
      </c>
      <c r="D2592" s="2" t="str">
        <f t="shared" si="39"/>
        <v>OK</v>
      </c>
    </row>
    <row r="2593" spans="1:4" x14ac:dyDescent="0.2">
      <c r="A2593" s="5">
        <v>2532</v>
      </c>
      <c r="B2593" s="138">
        <f>'Acct Summary 7-8'!F6</f>
        <v>672840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2250632</v>
      </c>
      <c r="C2595" s="2" t="s">
        <v>594</v>
      </c>
      <c r="D2595" s="2" t="str">
        <f t="shared" si="39"/>
        <v>Error?</v>
      </c>
    </row>
    <row r="2596" spans="1:4" x14ac:dyDescent="0.2">
      <c r="A2596" s="5">
        <v>2535</v>
      </c>
      <c r="B2596" s="138">
        <f>'Acct Summary 7-8'!F13</f>
        <v>2295846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2295846</v>
      </c>
      <c r="C2600" s="2" t="s">
        <v>594</v>
      </c>
      <c r="D2600" s="2" t="str">
        <f t="shared" si="39"/>
        <v>Error?</v>
      </c>
    </row>
    <row r="2601" spans="1:4" x14ac:dyDescent="0.2">
      <c r="A2601" s="5">
        <v>2540</v>
      </c>
      <c r="B2601" s="138">
        <f>'Acct Summary 7-8'!F20</f>
        <v>-45214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997439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997439</v>
      </c>
      <c r="C2606" s="2" t="s">
        <v>594</v>
      </c>
      <c r="D2606" s="2" t="str">
        <f t="shared" si="39"/>
        <v>Error?</v>
      </c>
    </row>
    <row r="2607" spans="1:4" x14ac:dyDescent="0.2">
      <c r="A2607" s="5">
        <v>2546</v>
      </c>
      <c r="B2607" s="138">
        <f>'Acct Summary 7-8'!G12</f>
        <v>272107</v>
      </c>
      <c r="C2607" s="2" t="s">
        <v>594</v>
      </c>
      <c r="D2607" s="2" t="str">
        <f t="shared" si="39"/>
        <v>Error?</v>
      </c>
    </row>
    <row r="2608" spans="1:4" x14ac:dyDescent="0.2">
      <c r="A2608" s="5">
        <v>2547</v>
      </c>
      <c r="B2608" s="138">
        <f>'Acct Summary 7-8'!G13</f>
        <v>588717</v>
      </c>
      <c r="C2608" s="2" t="s">
        <v>594</v>
      </c>
      <c r="D2608" s="2" t="str">
        <f t="shared" si="39"/>
        <v>Error?</v>
      </c>
    </row>
    <row r="2609" spans="1:4" x14ac:dyDescent="0.2">
      <c r="A2609" s="5">
        <v>2548</v>
      </c>
      <c r="B2609" s="138">
        <f>'Acct Summary 7-8'!G14</f>
        <v>468</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938073</v>
      </c>
      <c r="C2612" s="2" t="s">
        <v>594</v>
      </c>
      <c r="D2612" s="2" t="str">
        <f t="shared" si="39"/>
        <v>Error?</v>
      </c>
    </row>
    <row r="2613" spans="1:4" x14ac:dyDescent="0.2">
      <c r="A2613" s="5">
        <v>2552</v>
      </c>
      <c r="B2613" s="138">
        <f>'Acct Summary 7-8'!G20</f>
        <v>59366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1348876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1348876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2892707</v>
      </c>
      <c r="C2634" s="2" t="s">
        <v>594</v>
      </c>
      <c r="D2634" s="2" t="str">
        <f t="shared" si="40"/>
        <v>Error?</v>
      </c>
    </row>
    <row r="2635" spans="1:4" x14ac:dyDescent="0.2">
      <c r="A2635" s="5">
        <v>2574</v>
      </c>
      <c r="B2635" s="138">
        <f>'Acct Summary 7-8'!E17</f>
        <v>2892707</v>
      </c>
      <c r="C2635" s="2" t="s">
        <v>594</v>
      </c>
      <c r="D2635" s="2" t="str">
        <f t="shared" si="40"/>
        <v>Error?</v>
      </c>
    </row>
    <row r="2636" spans="1:4" x14ac:dyDescent="0.2">
      <c r="A2636" s="5">
        <v>2575</v>
      </c>
      <c r="B2636" s="138">
        <f>'Acct Summary 7-8'!E20</f>
        <v>-1543831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501430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501430</v>
      </c>
      <c r="C2658" s="2" t="s">
        <v>594</v>
      </c>
      <c r="D2658" s="2" t="str">
        <f t="shared" si="40"/>
        <v>Error?</v>
      </c>
    </row>
    <row r="2659" spans="1:4" x14ac:dyDescent="0.2">
      <c r="A2659" s="5">
        <v>2598</v>
      </c>
      <c r="B2659" s="138">
        <f>'Acct Summary 7-8'!H13</f>
        <v>5260487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5260487</v>
      </c>
      <c r="C2661" s="2" t="s">
        <v>594</v>
      </c>
      <c r="D2661" s="2" t="str">
        <f t="shared" si="40"/>
        <v>Error?</v>
      </c>
    </row>
    <row r="2662" spans="1:4" x14ac:dyDescent="0.2">
      <c r="A2662" s="5">
        <v>2601</v>
      </c>
      <c r="B2662" s="138">
        <f>'Acct Summary 7-8'!H20</f>
        <v>-4759057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192314</v>
      </c>
      <c r="D2718" s="2" t="str">
        <f t="shared" si="41"/>
        <v>Error?</v>
      </c>
    </row>
    <row r="2719" spans="1:4" x14ac:dyDescent="0.2">
      <c r="A2719" s="5">
        <v>2658</v>
      </c>
      <c r="B2719" s="138">
        <f>'Expenditures 15-22'!D51</f>
        <v>38391</v>
      </c>
      <c r="D2719" s="2" t="str">
        <f t="shared" si="41"/>
        <v>Error?</v>
      </c>
    </row>
    <row r="2720" spans="1:4" x14ac:dyDescent="0.2">
      <c r="A2720" s="5">
        <v>2659</v>
      </c>
      <c r="B2720" s="138">
        <f>'Expenditures 15-22'!E51</f>
        <v>12191</v>
      </c>
      <c r="D2720" s="2" t="str">
        <f t="shared" si="41"/>
        <v>Error?</v>
      </c>
    </row>
    <row r="2721" spans="1:4" x14ac:dyDescent="0.2">
      <c r="A2721" s="5">
        <v>2660</v>
      </c>
      <c r="B2721" s="138">
        <f>'Expenditures 15-22'!F51</f>
        <v>2352</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245248</v>
      </c>
      <c r="C2724" s="2" t="s">
        <v>594</v>
      </c>
      <c r="D2724" s="2" t="str">
        <f t="shared" si="41"/>
        <v>Error?</v>
      </c>
    </row>
    <row r="2725" spans="1:4" x14ac:dyDescent="0.2">
      <c r="A2725" s="5">
        <v>2664</v>
      </c>
      <c r="B2725" s="138">
        <f>'Expenditures 15-22'!D247</f>
        <v>9749</v>
      </c>
      <c r="D2725" s="2" t="str">
        <f t="shared" si="41"/>
        <v>Error?</v>
      </c>
    </row>
    <row r="2726" spans="1:4" x14ac:dyDescent="0.2">
      <c r="A2726" s="5">
        <v>2665</v>
      </c>
      <c r="B2726" s="138">
        <f>'Expenditures 15-22'!K247</f>
        <v>9749</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71370</v>
      </c>
      <c r="C2789" s="2" t="s">
        <v>594</v>
      </c>
      <c r="D2789" s="2" t="str">
        <f t="shared" si="42"/>
        <v>Error?</v>
      </c>
    </row>
    <row r="2790" spans="1:4" x14ac:dyDescent="0.2">
      <c r="A2790" s="5">
        <v>2729</v>
      </c>
      <c r="B2790" s="138">
        <f>'Expenditures 15-22'!E102</f>
        <v>71370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5530149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158546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5530149</v>
      </c>
      <c r="D2912" s="2" t="str">
        <f t="shared" si="44"/>
        <v>Error?</v>
      </c>
    </row>
    <row r="2913" spans="1:4" x14ac:dyDescent="0.2">
      <c r="A2913" s="5">
        <v>2852</v>
      </c>
      <c r="B2913" s="138">
        <f>'Assets-Liab 5-6'!I41</f>
        <v>5530149</v>
      </c>
      <c r="C2913" s="2" t="s">
        <v>594</v>
      </c>
      <c r="D2913" s="2" t="str">
        <f t="shared" si="44"/>
        <v>Error?</v>
      </c>
    </row>
    <row r="2914" spans="1:4" x14ac:dyDescent="0.2">
      <c r="A2914" s="5">
        <v>2853</v>
      </c>
      <c r="B2914" s="138">
        <f>'Assets-Liab 5-6'!L33</f>
        <v>158546</v>
      </c>
      <c r="D2914" s="2" t="str">
        <f t="shared" si="44"/>
        <v>Error?</v>
      </c>
    </row>
    <row r="2915" spans="1:4" x14ac:dyDescent="0.2">
      <c r="A2915" s="10">
        <v>2854</v>
      </c>
      <c r="D2915" s="2" t="str">
        <f t="shared" si="44"/>
        <v>OK</v>
      </c>
    </row>
    <row r="2916" spans="1:4" x14ac:dyDescent="0.2">
      <c r="A2916" s="5">
        <v>2855</v>
      </c>
      <c r="B2916" s="138">
        <f>'Assets-Liab 5-6'!L34</f>
        <v>158546</v>
      </c>
      <c r="C2916" s="2" t="s">
        <v>594</v>
      </c>
      <c r="D2916" s="2" t="str">
        <f t="shared" si="44"/>
        <v>Error?</v>
      </c>
    </row>
    <row r="2917" spans="1:4" x14ac:dyDescent="0.2">
      <c r="A2917" s="5">
        <v>2856</v>
      </c>
      <c r="B2917" s="138">
        <f>'Assets-Liab 5-6'!L41</f>
        <v>158546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71370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463273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534643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96139</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113308</v>
      </c>
      <c r="D3055" s="2" t="str">
        <f t="shared" si="46"/>
        <v>Error?</v>
      </c>
    </row>
    <row r="3056" spans="1:4" x14ac:dyDescent="0.2">
      <c r="A3056" s="5">
        <v>2995</v>
      </c>
      <c r="B3056" s="138">
        <f>'Expenditures 15-22'!D10</f>
        <v>21427</v>
      </c>
      <c r="D3056" s="2" t="str">
        <f t="shared" si="46"/>
        <v>Error?</v>
      </c>
    </row>
    <row r="3057" spans="1:4" x14ac:dyDescent="0.2">
      <c r="A3057" s="5">
        <v>2996</v>
      </c>
      <c r="B3057" s="138">
        <f>'Expenditures 15-22'!E10</f>
        <v>2720</v>
      </c>
      <c r="D3057" s="2" t="str">
        <f t="shared" si="46"/>
        <v>Error?</v>
      </c>
    </row>
    <row r="3058" spans="1:4" x14ac:dyDescent="0.2">
      <c r="A3058" s="5">
        <v>2997</v>
      </c>
      <c r="B3058" s="138">
        <f>'Expenditures 15-22'!F10</f>
        <v>4443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141898</v>
      </c>
      <c r="C3062" s="2" t="s">
        <v>594</v>
      </c>
      <c r="D3062" s="2" t="str">
        <f t="shared" si="46"/>
        <v>Error?</v>
      </c>
    </row>
    <row r="3063" spans="1:4" x14ac:dyDescent="0.2">
      <c r="A3063" s="10">
        <v>3002</v>
      </c>
      <c r="D3063" s="2" t="str">
        <f t="shared" si="46"/>
        <v>OK</v>
      </c>
    </row>
    <row r="3064" spans="1:4" x14ac:dyDescent="0.2">
      <c r="A3064" s="5">
        <v>3003</v>
      </c>
      <c r="B3064" s="138">
        <f>'Expenditures 15-22'!D219</f>
        <v>1486</v>
      </c>
      <c r="D3064" s="2" t="str">
        <f t="shared" si="46"/>
        <v>Error?</v>
      </c>
    </row>
    <row r="3065" spans="1:4" x14ac:dyDescent="0.2">
      <c r="A3065" s="5">
        <v>3004</v>
      </c>
      <c r="B3065" s="138">
        <f>'Expenditures 15-22'!K219</f>
        <v>1486</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213895</v>
      </c>
      <c r="C3225" s="2" t="s">
        <v>594</v>
      </c>
      <c r="D3225" s="2" t="str">
        <f t="shared" si="49"/>
        <v>Error?</v>
      </c>
    </row>
    <row r="3226" spans="1:4" x14ac:dyDescent="0.2">
      <c r="A3226" s="5">
        <v>3165</v>
      </c>
      <c r="B3226" s="138">
        <f>'Acct Summary 7-8'!I8</f>
        <v>213895</v>
      </c>
      <c r="C3226" s="2" t="s">
        <v>594</v>
      </c>
      <c r="D3226" s="2" t="str">
        <f t="shared" si="49"/>
        <v>Error?</v>
      </c>
    </row>
    <row r="3227" spans="1:4" x14ac:dyDescent="0.2">
      <c r="A3227" s="5">
        <v>3166</v>
      </c>
      <c r="B3227" s="138">
        <f>'Acct Summary 7-8'!I20</f>
        <v>213895</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400691</v>
      </c>
      <c r="C3231" s="2" t="s">
        <v>594</v>
      </c>
      <c r="D3231" s="2" t="str">
        <f t="shared" si="49"/>
        <v>Error?</v>
      </c>
    </row>
    <row r="3232" spans="1:4" x14ac:dyDescent="0.2">
      <c r="A3232" s="5">
        <v>3171</v>
      </c>
      <c r="B3232" s="138">
        <f>'Acct Summary 7-8'!C77</f>
        <v>-400691</v>
      </c>
      <c r="C3232" s="2" t="s">
        <v>594</v>
      </c>
      <c r="D3232" s="2" t="str">
        <f t="shared" si="49"/>
        <v>Error?</v>
      </c>
    </row>
    <row r="3233" spans="1:4" x14ac:dyDescent="0.2">
      <c r="A3233" s="5">
        <v>3172</v>
      </c>
      <c r="B3233" s="138">
        <f>'Acct Summary 7-8'!C78</f>
        <v>1137938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1044741</v>
      </c>
      <c r="C3237" s="2" t="s">
        <v>594</v>
      </c>
      <c r="D3237" s="2" t="str">
        <f t="shared" si="49"/>
        <v>Error?</v>
      </c>
    </row>
    <row r="3238" spans="1:4" x14ac:dyDescent="0.2">
      <c r="A3238" s="5">
        <v>3177</v>
      </c>
      <c r="B3238" s="138">
        <f>'Acct Summary 7-8'!D77</f>
        <v>-1044741</v>
      </c>
      <c r="C3238" s="2" t="s">
        <v>594</v>
      </c>
      <c r="D3238" s="2" t="str">
        <f t="shared" si="49"/>
        <v>Error?</v>
      </c>
    </row>
    <row r="3239" spans="1:4" x14ac:dyDescent="0.2">
      <c r="A3239" s="5">
        <v>3178</v>
      </c>
      <c r="B3239" s="138">
        <f>'Acct Summary 7-8'!D78</f>
        <v>474766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-45214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59366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1445432</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1445432</v>
      </c>
      <c r="C3277" s="2" t="s">
        <v>594</v>
      </c>
      <c r="D3277" s="2" t="str">
        <f t="shared" si="50"/>
        <v>Error?</v>
      </c>
    </row>
    <row r="3278" spans="1:4" x14ac:dyDescent="0.2">
      <c r="A3278" s="5">
        <v>3217</v>
      </c>
      <c r="B3278" s="138">
        <f>'Acct Summary 7-8'!E78</f>
        <v>-98399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3811540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3811540</v>
      </c>
      <c r="C3299" s="2" t="s">
        <v>594</v>
      </c>
      <c r="D3299" s="2" t="str">
        <f t="shared" si="50"/>
        <v>Error?</v>
      </c>
    </row>
    <row r="3300" spans="1:4" x14ac:dyDescent="0.2">
      <c r="A3300" s="5">
        <v>3239</v>
      </c>
      <c r="B3300" s="138">
        <f>'Acct Summary 7-8'!H78</f>
        <v>-947517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3811540</v>
      </c>
      <c r="C3318" s="2" t="s">
        <v>594</v>
      </c>
      <c r="D3318" s="2" t="str">
        <f t="shared" si="50"/>
        <v>Error?</v>
      </c>
    </row>
    <row r="3319" spans="1:4" x14ac:dyDescent="0.2">
      <c r="A3319" s="5">
        <v>3258</v>
      </c>
      <c r="B3319" s="138">
        <f>'Acct Summary 7-8'!I77</f>
        <v>-3811540</v>
      </c>
      <c r="C3319" s="2" t="s">
        <v>594</v>
      </c>
      <c r="D3319" s="2" t="str">
        <f t="shared" si="50"/>
        <v>Error?</v>
      </c>
    </row>
    <row r="3320" spans="1:4" x14ac:dyDescent="0.2">
      <c r="A3320" s="5">
        <v>3259</v>
      </c>
      <c r="B3320" s="138">
        <f>'Acct Summary 7-8'!I78</f>
        <v>-3597645</v>
      </c>
      <c r="C3320" s="2" t="s">
        <v>594</v>
      </c>
      <c r="D3320" s="2" t="str">
        <f t="shared" si="50"/>
        <v>Error?</v>
      </c>
    </row>
    <row r="3321" spans="1:4" x14ac:dyDescent="0.2">
      <c r="A3321" s="5">
        <v>3260</v>
      </c>
      <c r="B3321" s="138">
        <f>'Acct Summary 7-8'!I79</f>
        <v>9127794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5530149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1569746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429022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37799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10744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2047311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153986</v>
      </c>
      <c r="D3387" s="2" t="str">
        <f t="shared" si="51"/>
        <v>Error?</v>
      </c>
    </row>
    <row r="3388" spans="1:4" x14ac:dyDescent="0.2">
      <c r="A3388" s="5">
        <v>3327</v>
      </c>
      <c r="B3388" s="138">
        <f>'Expenditures 15-22'!D217</f>
        <v>88462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153986</v>
      </c>
      <c r="C3390" s="2" t="s">
        <v>594</v>
      </c>
      <c r="D3390" s="2" t="str">
        <f t="shared" si="51"/>
        <v>Error?</v>
      </c>
    </row>
    <row r="3391" spans="1:4" x14ac:dyDescent="0.2">
      <c r="A3391" s="5">
        <v>3330</v>
      </c>
      <c r="B3391" s="138">
        <f>'Expenditures 15-22'!K217</f>
        <v>88462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14296979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1686880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52745</v>
      </c>
      <c r="D3417" s="2" t="str">
        <f t="shared" si="52"/>
        <v>Error?</v>
      </c>
    </row>
    <row r="3418" spans="1:4" x14ac:dyDescent="0.2">
      <c r="A3418" s="10">
        <v>3357</v>
      </c>
      <c r="D3418" s="2" t="str">
        <f t="shared" si="52"/>
        <v>OK</v>
      </c>
    </row>
    <row r="3419" spans="1:4" x14ac:dyDescent="0.2">
      <c r="A3419" s="5">
        <v>3358</v>
      </c>
      <c r="B3419" s="138">
        <f>'Assets-Liab 5-6'!F4</f>
        <v>331288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509163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5530149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158546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235843</v>
      </c>
      <c r="C3446" s="2" t="s">
        <v>594</v>
      </c>
      <c r="D3446" s="2" t="str">
        <f t="shared" si="52"/>
        <v>Error?</v>
      </c>
    </row>
    <row r="3447" spans="1:4" x14ac:dyDescent="0.2">
      <c r="A3447" s="5">
        <v>3386</v>
      </c>
      <c r="B3447" s="138">
        <f>'Tax Sched 23'!D16</f>
        <v>92471</v>
      </c>
      <c r="C3447" s="2" t="s">
        <v>594</v>
      </c>
      <c r="D3447" s="2" t="str">
        <f t="shared" si="52"/>
        <v>Error?</v>
      </c>
    </row>
    <row r="3448" spans="1:4" x14ac:dyDescent="0.2">
      <c r="A3448" s="5">
        <v>3387</v>
      </c>
      <c r="B3448" s="138">
        <f>'Tax Sched 23'!C16</f>
        <v>143372</v>
      </c>
      <c r="D3448" s="2" t="str">
        <f t="shared" si="52"/>
        <v>Error?</v>
      </c>
    </row>
    <row r="3449" spans="1:4" x14ac:dyDescent="0.2">
      <c r="A3449" s="5">
        <v>3388</v>
      </c>
      <c r="B3449" s="138">
        <f>'Tax Sched 23'!F16</f>
        <v>106637</v>
      </c>
      <c r="C3449" s="2" t="s">
        <v>594</v>
      </c>
      <c r="D3449" s="2" t="str">
        <f t="shared" si="52"/>
        <v>Error?</v>
      </c>
    </row>
    <row r="3450" spans="1:4" x14ac:dyDescent="0.2">
      <c r="A3450" s="5">
        <v>3389</v>
      </c>
      <c r="B3450" s="138">
        <f>'Tax Sched 23'!E16</f>
        <v>250009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76781</v>
      </c>
      <c r="D3721" s="2" t="str">
        <f t="shared" si="57"/>
        <v>Error?</v>
      </c>
    </row>
    <row r="3722" spans="1:4" x14ac:dyDescent="0.2">
      <c r="A3722" s="5">
        <v>3661</v>
      </c>
      <c r="B3722" s="138">
        <f>'Expenditures 15-22'!D285</f>
        <v>76781</v>
      </c>
      <c r="C3722" s="2" t="s">
        <v>594</v>
      </c>
      <c r="D3722" s="2" t="str">
        <f t="shared" si="57"/>
        <v>Error?</v>
      </c>
    </row>
    <row r="3723" spans="1:4" x14ac:dyDescent="0.2">
      <c r="A3723" s="5">
        <v>3662</v>
      </c>
      <c r="B3723" s="138">
        <f>'Expenditures 15-22'!K283</f>
        <v>76781</v>
      </c>
      <c r="C3723" s="2" t="s">
        <v>594</v>
      </c>
      <c r="D3723" s="2" t="str">
        <f t="shared" si="57"/>
        <v>Error?</v>
      </c>
    </row>
    <row r="3724" spans="1:4" x14ac:dyDescent="0.2">
      <c r="A3724" s="5">
        <v>3663</v>
      </c>
      <c r="B3724" s="138">
        <f>'Expenditures 15-22'!K285</f>
        <v>76781</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13204816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42480901</v>
      </c>
      <c r="C4122" s="2" t="s">
        <v>594</v>
      </c>
      <c r="D4122" s="2" t="str">
        <f t="shared" si="63"/>
        <v>Error?</v>
      </c>
    </row>
    <row r="4123" spans="1:4" x14ac:dyDescent="0.2">
      <c r="A4123" s="5">
        <v>4062</v>
      </c>
      <c r="B4123" s="138">
        <f>'Acct Summary 7-8'!D10</f>
        <v>4490538</v>
      </c>
      <c r="C4123" s="2" t="s">
        <v>594</v>
      </c>
      <c r="D4123" s="2" t="str">
        <f t="shared" si="63"/>
        <v>Error?</v>
      </c>
    </row>
    <row r="4124" spans="1:4" x14ac:dyDescent="0.2">
      <c r="A4124" s="5">
        <v>4063</v>
      </c>
      <c r="B4124" s="138">
        <f>'Acct Summary 7-8'!E10</f>
        <v>1348876</v>
      </c>
      <c r="C4124" s="2" t="s">
        <v>594</v>
      </c>
      <c r="D4124" s="2" t="str">
        <f t="shared" si="63"/>
        <v>Error?</v>
      </c>
    </row>
    <row r="4125" spans="1:4" x14ac:dyDescent="0.2">
      <c r="A4125" s="5">
        <v>4064</v>
      </c>
      <c r="B4125" s="138">
        <f>'Acct Summary 7-8'!F10</f>
        <v>2250632</v>
      </c>
      <c r="C4125" s="2" t="s">
        <v>594</v>
      </c>
      <c r="D4125" s="2" t="str">
        <f t="shared" si="63"/>
        <v>Error?</v>
      </c>
    </row>
    <row r="4126" spans="1:4" x14ac:dyDescent="0.2">
      <c r="A4126" s="5">
        <v>4065</v>
      </c>
      <c r="B4126" s="138">
        <f>'Acct Summary 7-8'!G10</f>
        <v>997439</v>
      </c>
      <c r="C4126" s="2" t="s">
        <v>594</v>
      </c>
      <c r="D4126" s="2" t="str">
        <f t="shared" si="63"/>
        <v>Error?</v>
      </c>
    </row>
    <row r="4127" spans="1:4" x14ac:dyDescent="0.2">
      <c r="A4127" s="5">
        <v>4066</v>
      </c>
      <c r="B4127" s="138">
        <f>'Acct Summary 7-8'!H10</f>
        <v>501430</v>
      </c>
      <c r="C4127" s="2" t="s">
        <v>594</v>
      </c>
      <c r="D4127" s="2" t="str">
        <f t="shared" si="63"/>
        <v>Error?</v>
      </c>
    </row>
    <row r="4128" spans="1:4" x14ac:dyDescent="0.2">
      <c r="A4128" s="5">
        <v>4067</v>
      </c>
      <c r="B4128" s="138">
        <f>'Acct Summary 7-8'!I10</f>
        <v>213895</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13204816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40942272</v>
      </c>
      <c r="C4136" s="2" t="s">
        <v>594</v>
      </c>
      <c r="D4136" s="2" t="str">
        <f t="shared" si="63"/>
        <v>Error?</v>
      </c>
    </row>
    <row r="4137" spans="1:4" x14ac:dyDescent="0.2">
      <c r="A4137" s="5">
        <v>4076</v>
      </c>
      <c r="B4137" s="138">
        <f>'Acct Summary 7-8'!D19</f>
        <v>2971031</v>
      </c>
      <c r="C4137" s="2" t="s">
        <v>594</v>
      </c>
      <c r="D4137" s="2" t="str">
        <f t="shared" si="63"/>
        <v>Error?</v>
      </c>
    </row>
    <row r="4138" spans="1:4" x14ac:dyDescent="0.2">
      <c r="A4138" s="5">
        <v>4077</v>
      </c>
      <c r="B4138" s="138">
        <f>'Acct Summary 7-8'!E19</f>
        <v>2892707</v>
      </c>
      <c r="C4138" s="2" t="s">
        <v>594</v>
      </c>
      <c r="D4138" s="2" t="str">
        <f t="shared" si="63"/>
        <v>Error?</v>
      </c>
    </row>
    <row r="4139" spans="1:4" x14ac:dyDescent="0.2">
      <c r="A4139" s="5">
        <v>4078</v>
      </c>
      <c r="B4139" s="138">
        <f>'Acct Summary 7-8'!F19</f>
        <v>2295846</v>
      </c>
      <c r="C4139" s="2" t="s">
        <v>594</v>
      </c>
      <c r="D4139" s="2" t="str">
        <f t="shared" si="63"/>
        <v>Error?</v>
      </c>
    </row>
    <row r="4140" spans="1:4" x14ac:dyDescent="0.2">
      <c r="A4140" s="5">
        <v>4079</v>
      </c>
      <c r="B4140" s="138">
        <f>'Acct Summary 7-8'!G19</f>
        <v>938073</v>
      </c>
      <c r="C4140" s="2" t="s">
        <v>594</v>
      </c>
      <c r="D4140" s="2" t="str">
        <f t="shared" si="63"/>
        <v>Error?</v>
      </c>
    </row>
    <row r="4141" spans="1:4" x14ac:dyDescent="0.2">
      <c r="A4141" s="5">
        <v>4080</v>
      </c>
      <c r="B4141" s="138">
        <f>'Acct Summary 7-8'!H19</f>
        <v>5260487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14433100</v>
      </c>
      <c r="C4171" s="2" t="s">
        <v>594</v>
      </c>
      <c r="D4171" s="2" t="str">
        <f t="shared" si="64"/>
        <v>Error?</v>
      </c>
    </row>
    <row r="4172" spans="1:4" x14ac:dyDescent="0.2">
      <c r="A4172" s="5">
        <v>4111</v>
      </c>
      <c r="B4172" s="138">
        <f>'Short-Term Long-Term Debt 24'!J49</f>
        <v>14380355</v>
      </c>
      <c r="C4172" s="2" t="s">
        <v>594</v>
      </c>
      <c r="D4172" s="2" t="str">
        <f t="shared" si="64"/>
        <v>Error?</v>
      </c>
    </row>
    <row r="4173" spans="1:4" x14ac:dyDescent="0.2">
      <c r="A4173" s="5">
        <v>4112</v>
      </c>
      <c r="B4173" s="138">
        <f>'Short-Term Long-Term Debt 24'!H49</f>
        <v>2353025</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448992</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96139</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96139</v>
      </c>
      <c r="C4202" s="2" t="s">
        <v>594</v>
      </c>
      <c r="D4202" s="2" t="str">
        <f t="shared" si="64"/>
        <v>Error?</v>
      </c>
    </row>
    <row r="4203" spans="1:4" x14ac:dyDescent="0.2">
      <c r="A4203" s="5">
        <v>4142</v>
      </c>
      <c r="B4203" s="138">
        <f>'Expenditures 15-22'!E139</f>
        <v>96139</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2198.2190000000001</v>
      </c>
      <c r="C4265" s="2" t="s">
        <v>594</v>
      </c>
      <c r="D4265" s="2" t="str">
        <f t="shared" si="65"/>
        <v>Error?</v>
      </c>
      <c r="E4265" s="128"/>
    </row>
    <row r="4266" spans="1:5" x14ac:dyDescent="0.2">
      <c r="A4266" s="12">
        <v>4205</v>
      </c>
      <c r="B4266" s="138">
        <f>('FP Info 3'!F10)*100000</f>
        <v>387.90299999999996</v>
      </c>
      <c r="C4266" s="2" t="s">
        <v>594</v>
      </c>
      <c r="D4266" s="2" t="str">
        <f t="shared" si="65"/>
        <v>Error?</v>
      </c>
      <c r="E4266" s="128"/>
    </row>
    <row r="4267" spans="1:5" x14ac:dyDescent="0.2">
      <c r="A4267" s="12">
        <v>4206</v>
      </c>
      <c r="B4267" s="138">
        <f>('FP Info 3'!H10)*100000</f>
        <v>89.224000000000004</v>
      </c>
      <c r="C4267" s="2" t="s">
        <v>594</v>
      </c>
      <c r="D4267" s="2" t="str">
        <f t="shared" si="65"/>
        <v>Error?</v>
      </c>
      <c r="E4267" s="128"/>
    </row>
    <row r="4268" spans="1:5" x14ac:dyDescent="0.2">
      <c r="A4268" s="12">
        <v>4207</v>
      </c>
      <c r="B4268" s="138">
        <f>('FP Info 3'!J10)*100000</f>
        <v>2675</v>
      </c>
      <c r="C4268" s="2" t="s">
        <v>594</v>
      </c>
      <c r="D4268" s="2" t="str">
        <f t="shared" si="65"/>
        <v>Error?</v>
      </c>
    </row>
    <row r="4269" spans="1:5" x14ac:dyDescent="0.2">
      <c r="A4269" s="12">
        <v>4208</v>
      </c>
      <c r="B4269" s="138">
        <f>'FP Info 3'!J16</f>
        <v>20770982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85521</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91438</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72779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3992</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50404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9.2189999999999994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3293</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1084827541</v>
      </c>
      <c r="D4995" s="2" t="str">
        <f t="shared" si="77"/>
        <v>Error?</v>
      </c>
    </row>
    <row r="4996" spans="1:4" x14ac:dyDescent="0.2">
      <c r="A4996" s="12">
        <v>4935</v>
      </c>
      <c r="B4996" s="138">
        <f>'FP Info 3'!H31</f>
        <v>74853100.329000011</v>
      </c>
      <c r="D4996" s="2" t="str">
        <f t="shared" si="77"/>
        <v>Error?</v>
      </c>
    </row>
    <row r="4997" spans="1:4" x14ac:dyDescent="0.2">
      <c r="A4997" s="12">
        <v>4936</v>
      </c>
      <c r="B4997" s="138">
        <f>'FP Info 3'!H37</f>
        <v>14433100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24903957</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24903957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18380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18380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245522</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11134</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256656</v>
      </c>
      <c r="C5087" s="2" t="s">
        <v>594</v>
      </c>
      <c r="D5087" s="2" t="str">
        <f t="shared" si="78"/>
        <v>Error?</v>
      </c>
    </row>
    <row r="5088" spans="1:4" x14ac:dyDescent="0.2">
      <c r="A5088" s="5">
        <v>5027</v>
      </c>
      <c r="B5088" s="138">
        <f>'Revenues 9-14'!C65</f>
        <v>129446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129446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355931</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299022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299022</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5602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222755</v>
      </c>
      <c r="D5119" s="2" t="str">
        <f t="shared" ref="D5119:D5182" si="79">IF(ISBLANK(B5119),"OK",IF(A5119-B5119=0,"OK","Error?"))</f>
        <v>Error?</v>
      </c>
    </row>
    <row r="5120" spans="1:4" x14ac:dyDescent="0.2">
      <c r="A5120" s="5">
        <v>5059</v>
      </c>
      <c r="B5120" s="138">
        <f>'Revenues 9-14'!C108</f>
        <v>228357</v>
      </c>
      <c r="C5120" s="2" t="s">
        <v>594</v>
      </c>
      <c r="D5120" s="2" t="str">
        <f t="shared" si="79"/>
        <v>Error?</v>
      </c>
    </row>
    <row r="5121" spans="1:4" x14ac:dyDescent="0.2">
      <c r="A5121" s="5">
        <v>5060</v>
      </c>
      <c r="B5121" s="138">
        <f>'Revenues 9-14'!C109</f>
        <v>26191749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1789679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1789679</v>
      </c>
      <c r="C5132" s="2" t="s">
        <v>594</v>
      </c>
      <c r="D5132" s="2" t="str">
        <f t="shared" si="79"/>
        <v>Error?</v>
      </c>
    </row>
    <row r="5133" spans="1:4" x14ac:dyDescent="0.2">
      <c r="A5133" s="5">
        <v>5072</v>
      </c>
      <c r="B5133" s="138">
        <f>'Revenues 9-14'!C124</f>
        <v>265687</v>
      </c>
      <c r="D5133" s="2" t="str">
        <f t="shared" si="79"/>
        <v>Error?</v>
      </c>
    </row>
    <row r="5134" spans="1:4" x14ac:dyDescent="0.2">
      <c r="A5134" s="5">
        <v>5073</v>
      </c>
      <c r="B5134" s="138">
        <f>'Revenues 9-14'!C125</f>
        <v>146008</v>
      </c>
      <c r="D5134" s="2" t="str">
        <f t="shared" si="79"/>
        <v>Error?</v>
      </c>
    </row>
    <row r="5135" spans="1:4" x14ac:dyDescent="0.2">
      <c r="A5135" s="5">
        <v>5074</v>
      </c>
      <c r="B5135" s="138">
        <f>'Revenues 9-14'!C126</f>
        <v>225885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687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638267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641560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2431239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118237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3992</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118237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356081</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4555</v>
      </c>
      <c r="D5278" s="2" t="str">
        <f t="shared" si="81"/>
        <v>Error?</v>
      </c>
    </row>
    <row r="5279" spans="1:4" x14ac:dyDescent="0.2">
      <c r="A5279" s="5">
        <v>5218</v>
      </c>
      <c r="B5279" s="138">
        <f>'Revenues 9-14'!C221</f>
        <v>47049</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407685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653097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653097</v>
      </c>
      <c r="C5326" s="2" t="s">
        <v>594</v>
      </c>
      <c r="D5326" s="2" t="str">
        <f t="shared" si="82"/>
        <v>Error?</v>
      </c>
    </row>
    <row r="5327" spans="1:4" x14ac:dyDescent="0.2">
      <c r="A5327" s="5">
        <v>5266</v>
      </c>
      <c r="B5327" s="138">
        <f>'Revenues 9-14'!C275</f>
        <v>29276085</v>
      </c>
      <c r="C5327" s="2" t="s">
        <v>594</v>
      </c>
      <c r="D5327" s="2" t="str">
        <f t="shared" si="82"/>
        <v>Error?</v>
      </c>
    </row>
    <row r="5328" spans="1:4" x14ac:dyDescent="0.2">
      <c r="A5328" s="5">
        <v>5267</v>
      </c>
      <c r="B5328" s="138">
        <f>'Revenues 9-14'!D5</f>
        <v>4404273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4404273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9119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9119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53496</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5970</v>
      </c>
      <c r="D5354" s="2" t="str">
        <f t="shared" si="82"/>
        <v>Error?</v>
      </c>
    </row>
    <row r="5355" spans="1:4" x14ac:dyDescent="0.2">
      <c r="A5355" s="5">
        <v>5294</v>
      </c>
      <c r="B5355" s="138">
        <f>'Revenues 9-14'!D108</f>
        <v>77146</v>
      </c>
      <c r="C5355" s="2" t="s">
        <v>594</v>
      </c>
      <c r="D5355" s="2" t="str">
        <f t="shared" si="82"/>
        <v>Error?</v>
      </c>
    </row>
    <row r="5356" spans="1:4" x14ac:dyDescent="0.2">
      <c r="A5356" s="5">
        <v>5295</v>
      </c>
      <c r="B5356" s="138">
        <f>'Revenues 9-14'!D109</f>
        <v>4490538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4490538</v>
      </c>
      <c r="C5508" s="2" t="s">
        <v>594</v>
      </c>
      <c r="D5508" s="2" t="str">
        <f t="shared" si="85"/>
        <v>Error?</v>
      </c>
    </row>
    <row r="5509" spans="1:4" x14ac:dyDescent="0.2">
      <c r="A5509" s="5">
        <v>5448</v>
      </c>
      <c r="B5509" s="138">
        <f>'Revenues 9-14'!E5</f>
        <v>848413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848413</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1463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1463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499000</v>
      </c>
      <c r="C5526" s="2" t="s">
        <v>594</v>
      </c>
      <c r="D5526" s="2" t="str">
        <f t="shared" si="85"/>
        <v>Error?</v>
      </c>
    </row>
    <row r="5527" spans="1:4" x14ac:dyDescent="0.2">
      <c r="A5527" s="5">
        <v>5466</v>
      </c>
      <c r="B5527" s="138">
        <f>'Revenues 9-14'!E109</f>
        <v>1348876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1348876</v>
      </c>
      <c r="C5552" s="2" t="s">
        <v>594</v>
      </c>
      <c r="D5552" s="2" t="str">
        <f t="shared" si="85"/>
        <v>Error?</v>
      </c>
    </row>
    <row r="5553" spans="1:4" x14ac:dyDescent="0.2">
      <c r="A5553" s="5">
        <v>5492</v>
      </c>
      <c r="B5553" s="138">
        <f>'Revenues 9-14'!F5</f>
        <v>991859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991859</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2413</v>
      </c>
      <c r="D5563" s="2" t="str">
        <f t="shared" si="85"/>
        <v>Error?</v>
      </c>
    </row>
    <row r="5564" spans="1:4" x14ac:dyDescent="0.2">
      <c r="A5564" s="5">
        <v>5503</v>
      </c>
      <c r="B5564" s="138">
        <f>'Revenues 9-14'!F43</f>
        <v>580424</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582837</v>
      </c>
      <c r="C5579" s="2" t="s">
        <v>594</v>
      </c>
      <c r="D5579" s="2" t="str">
        <f t="shared" si="86"/>
        <v>Error?</v>
      </c>
    </row>
    <row r="5580" spans="1:4" x14ac:dyDescent="0.2">
      <c r="A5580" s="5">
        <v>5519</v>
      </c>
      <c r="B5580" s="138">
        <f>'Revenues 9-14'!F65</f>
        <v>3096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3096</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1577792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246553</v>
      </c>
      <c r="D5615" s="2" t="str">
        <f t="shared" si="86"/>
        <v>Error?</v>
      </c>
    </row>
    <row r="5616" spans="1:4" x14ac:dyDescent="0.2">
      <c r="A5616" s="10">
        <v>5555</v>
      </c>
      <c r="D5616" s="2" t="str">
        <f t="shared" si="86"/>
        <v>OK</v>
      </c>
    </row>
    <row r="5617" spans="1:4" x14ac:dyDescent="0.2">
      <c r="A5617" s="5">
        <v>5556</v>
      </c>
      <c r="B5617" s="138">
        <f>'Revenues 9-14'!F152</f>
        <v>426287</v>
      </c>
      <c r="D5617" s="2" t="str">
        <f t="shared" si="86"/>
        <v>Error?</v>
      </c>
    </row>
    <row r="5618" spans="1:4" x14ac:dyDescent="0.2">
      <c r="A5618" s="5">
        <v>5557</v>
      </c>
      <c r="B5618" s="138">
        <f>'Revenues 9-14'!F154</f>
        <v>672840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672840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672840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2250632</v>
      </c>
      <c r="C5720" s="2" t="s">
        <v>594</v>
      </c>
      <c r="D5720" s="2" t="str">
        <f t="shared" si="88"/>
        <v>Error?</v>
      </c>
    </row>
    <row r="5721" spans="1:4" x14ac:dyDescent="0.2">
      <c r="A5721" s="5">
        <v>5660</v>
      </c>
      <c r="B5721" s="138">
        <f>'Revenues 9-14'!G5</f>
        <v>235843</v>
      </c>
      <c r="D5721" s="2" t="str">
        <f t="shared" si="88"/>
        <v>Error?</v>
      </c>
    </row>
    <row r="5722" spans="1:4" x14ac:dyDescent="0.2">
      <c r="A5722" s="5">
        <v>5661</v>
      </c>
      <c r="B5722" s="138">
        <f>'Revenues 9-14'!G7</f>
        <v>81245</v>
      </c>
      <c r="D5722" s="2" t="str">
        <f t="shared" si="88"/>
        <v>Error?</v>
      </c>
    </row>
    <row r="5723" spans="1:4" x14ac:dyDescent="0.2">
      <c r="A5723" s="5">
        <v>5662</v>
      </c>
      <c r="B5723" s="138">
        <f>'Revenues 9-14'!G8</f>
        <v>235843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552931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440700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440700</v>
      </c>
      <c r="C5730" s="2" t="s">
        <v>594</v>
      </c>
      <c r="D5730" s="2" t="str">
        <f t="shared" si="88"/>
        <v>Error?</v>
      </c>
    </row>
    <row r="5731" spans="1:4" x14ac:dyDescent="0.2">
      <c r="A5731" s="5">
        <v>5670</v>
      </c>
      <c r="B5731" s="138">
        <f>'Revenues 9-14'!G65</f>
        <v>3808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3808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997439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669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669</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500761</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501430</v>
      </c>
      <c r="C5915" s="2" t="s">
        <v>594</v>
      </c>
      <c r="D5915" s="2" t="str">
        <f t="shared" si="91"/>
        <v>Error?</v>
      </c>
    </row>
    <row r="5916" spans="1:4" x14ac:dyDescent="0.2">
      <c r="A5916" s="5">
        <v>5855</v>
      </c>
      <c r="B5916" s="138">
        <f>'Revenues 9-14'!I5</f>
        <v>106144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106144</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107751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107751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213895</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997439</v>
      </c>
      <c r="C6024" s="2" t="s">
        <v>594</v>
      </c>
      <c r="D6024" s="2" t="str">
        <f t="shared" si="93"/>
        <v>Error?</v>
      </c>
    </row>
    <row r="6025" spans="1:5" x14ac:dyDescent="0.2">
      <c r="A6025" s="5">
        <v>5964</v>
      </c>
      <c r="B6025" s="138">
        <f>'Revenues 9-14'!H109</f>
        <v>501430</v>
      </c>
      <c r="C6025" s="2" t="s">
        <v>594</v>
      </c>
      <c r="D6025" s="2" t="str">
        <f t="shared" si="93"/>
        <v>Error?</v>
      </c>
    </row>
    <row r="6026" spans="1:5" x14ac:dyDescent="0.2">
      <c r="A6026" s="5">
        <v>5965</v>
      </c>
      <c r="B6026" s="138">
        <f>'Revenues 9-14'!I109</f>
        <v>213895</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355931</v>
      </c>
      <c r="D6031" s="2" t="str">
        <f t="shared" si="93"/>
        <v>Error?</v>
      </c>
    </row>
    <row r="6032" spans="1:5" x14ac:dyDescent="0.2">
      <c r="A6032" s="5">
        <v>5971</v>
      </c>
      <c r="B6032" s="138">
        <f>'Acct Summary 7-8'!G15</f>
        <v>76781</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2165.0300000000002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1137938</v>
      </c>
      <c r="D6267" s="2" t="str">
        <f t="shared" si="96"/>
        <v>Error?</v>
      </c>
      <c r="E6267" s="2" t="s">
        <v>199</v>
      </c>
    </row>
    <row r="6268" spans="1:5" x14ac:dyDescent="0.2">
      <c r="A6268">
        <v>6207</v>
      </c>
      <c r="B6268" s="138">
        <f>'Acct Summary 7-8'!D82</f>
        <v>474766</v>
      </c>
      <c r="D6268" s="2" t="str">
        <f t="shared" si="96"/>
        <v>Error?</v>
      </c>
      <c r="E6268" s="2" t="s">
        <v>199</v>
      </c>
    </row>
    <row r="6269" spans="1:5" x14ac:dyDescent="0.2">
      <c r="A6269">
        <v>6208</v>
      </c>
      <c r="B6269" s="138">
        <f>'Acct Summary 7-8'!E82</f>
        <v>-98399</v>
      </c>
      <c r="D6269" s="2" t="str">
        <f t="shared" si="96"/>
        <v>Error?</v>
      </c>
      <c r="E6269" s="2" t="s">
        <v>199</v>
      </c>
    </row>
    <row r="6270" spans="1:5" x14ac:dyDescent="0.2">
      <c r="A6270">
        <v>6209</v>
      </c>
      <c r="B6270" s="138">
        <f>'Acct Summary 7-8'!F82</f>
        <v>-45214</v>
      </c>
      <c r="D6270" s="2" t="str">
        <f t="shared" si="96"/>
        <v>Error?</v>
      </c>
      <c r="E6270" s="2" t="s">
        <v>199</v>
      </c>
    </row>
    <row r="6271" spans="1:5" x14ac:dyDescent="0.2">
      <c r="A6271">
        <v>6210</v>
      </c>
      <c r="B6271" s="138">
        <f>'Acct Summary 7-8'!G82</f>
        <v>59366</v>
      </c>
      <c r="D6271" s="2" t="str">
        <f t="shared" ref="D6271:D6334" si="97">IF(ISBLANK(B6271),"OK",IF(A6271-B6271=0,"OK","Error?"))</f>
        <v>Error?</v>
      </c>
      <c r="E6271" s="2" t="s">
        <v>199</v>
      </c>
    </row>
    <row r="6272" spans="1:5" x14ac:dyDescent="0.2">
      <c r="A6272">
        <v>6211</v>
      </c>
      <c r="B6272" s="138">
        <f>'Acct Summary 7-8'!H82</f>
        <v>-947517</v>
      </c>
      <c r="D6272" s="2" t="str">
        <f t="shared" si="97"/>
        <v>Error?</v>
      </c>
      <c r="E6272" s="2" t="s">
        <v>199</v>
      </c>
    </row>
    <row r="6273" spans="1:5" x14ac:dyDescent="0.2">
      <c r="A6273">
        <v>6212</v>
      </c>
      <c r="B6273" s="138">
        <f>'Acct Summary 7-8'!I82</f>
        <v>-3597645</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8.6057573233275245E-2</v>
      </c>
      <c r="D6276" s="2" t="str">
        <f t="shared" si="97"/>
        <v>Error?</v>
      </c>
      <c r="E6276" s="2" t="s">
        <v>199</v>
      </c>
    </row>
    <row r="6277" spans="1:5" x14ac:dyDescent="0.2">
      <c r="A6277">
        <v>6216</v>
      </c>
      <c r="B6277" s="138">
        <f>'Acct Summary 7-8'!D83</f>
        <v>0.28149962052936156</v>
      </c>
      <c r="D6277" s="2" t="str">
        <f t="shared" si="97"/>
        <v>Error?</v>
      </c>
      <c r="E6277" s="2" t="s">
        <v>199</v>
      </c>
    </row>
    <row r="6278" spans="1:5" x14ac:dyDescent="0.2">
      <c r="A6278">
        <v>6217</v>
      </c>
      <c r="B6278" s="138">
        <f>'Acct Summary 7-8'!E83</f>
        <v>-1.8655607166556072</v>
      </c>
      <c r="D6278" s="2" t="str">
        <f t="shared" si="97"/>
        <v>Error?</v>
      </c>
      <c r="E6278" s="2" t="s">
        <v>199</v>
      </c>
    </row>
    <row r="6279" spans="1:5" x14ac:dyDescent="0.2">
      <c r="A6279">
        <v>6218</v>
      </c>
      <c r="B6279" s="138">
        <f>'Acct Summary 7-8'!F83</f>
        <v>-0.13647943783052813</v>
      </c>
      <c r="D6279" s="2" t="str">
        <f t="shared" si="97"/>
        <v>Error?</v>
      </c>
      <c r="E6279" s="2" t="s">
        <v>199</v>
      </c>
    </row>
    <row r="6280" spans="1:5" x14ac:dyDescent="0.2">
      <c r="A6280">
        <v>6219</v>
      </c>
      <c r="B6280" s="138">
        <f>'Acct Summary 7-8'!G83</f>
        <v>0.11659527499052366</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-0.65055118768047659</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393025</v>
      </c>
      <c r="D6285" s="2" t="str">
        <f t="shared" si="97"/>
        <v>Error?</v>
      </c>
      <c r="E6285" s="2" t="s">
        <v>199</v>
      </c>
    </row>
    <row r="6286" spans="1:5" x14ac:dyDescent="0.2">
      <c r="A6286">
        <v>6225</v>
      </c>
      <c r="B6286" s="138">
        <f>'Acct Summary 7-8'!E38</f>
        <v>7666</v>
      </c>
      <c r="D6286" s="2" t="str">
        <f t="shared" si="97"/>
        <v>Error?</v>
      </c>
      <c r="E6286" s="2" t="s">
        <v>199</v>
      </c>
    </row>
    <row r="6287" spans="1:5" x14ac:dyDescent="0.2">
      <c r="A6287">
        <v>6226</v>
      </c>
      <c r="B6287" s="138">
        <f>'Acct Summary 7-8'!E39</f>
        <v>965000</v>
      </c>
      <c r="D6287" s="2" t="str">
        <f t="shared" si="97"/>
        <v>Error?</v>
      </c>
      <c r="E6287" s="2" t="s">
        <v>199</v>
      </c>
    </row>
    <row r="6288" spans="1:5" x14ac:dyDescent="0.2">
      <c r="A6288">
        <v>6227</v>
      </c>
      <c r="B6288" s="138">
        <f>'Acct Summary 7-8'!E40</f>
        <v>79741</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17680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499000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500761</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103344</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67966</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365696</v>
      </c>
      <c r="D6880" s="2" t="str">
        <f t="shared" si="106"/>
        <v>Error?</v>
      </c>
    </row>
    <row r="6881" spans="1:4" x14ac:dyDescent="0.2">
      <c r="A6881">
        <v>6820</v>
      </c>
      <c r="B6881" s="138">
        <f>'Expenditures 15-22'!K22</f>
        <v>365696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103344</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103344</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803</v>
      </c>
      <c r="D7075" s="2" t="str">
        <f t="shared" si="109"/>
        <v>Error?</v>
      </c>
    </row>
    <row r="7076" spans="1:4" x14ac:dyDescent="0.2">
      <c r="A7076">
        <v>7015</v>
      </c>
      <c r="B7076" s="138">
        <f>'Expenditures 15-22'!K218</f>
        <v>803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55214</v>
      </c>
      <c r="D7251" s="2" t="str">
        <f t="shared" si="112"/>
        <v>Error?</v>
      </c>
    </row>
    <row r="7252" spans="1:4" x14ac:dyDescent="0.2">
      <c r="A7252">
        <f t="shared" si="113"/>
        <v>7191</v>
      </c>
      <c r="B7252" s="138">
        <f>'Expenditures 15-22'!D9</f>
        <v>10763</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1989</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1906548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393025</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7666</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965000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79741</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3811540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2237161</v>
      </c>
      <c r="D7797" s="2" t="str">
        <f t="shared" si="127"/>
        <v>Error?</v>
      </c>
      <c r="E7797" s="4" t="s">
        <v>2020</v>
      </c>
    </row>
    <row r="7798" spans="1:5" x14ac:dyDescent="0.2">
      <c r="A7798">
        <v>7737</v>
      </c>
      <c r="B7798" s="138">
        <f>'Contracts Paid in CY 29'!F141</f>
        <v>225000</v>
      </c>
      <c r="D7798" s="2" t="str">
        <f t="shared" si="127"/>
        <v>Error?</v>
      </c>
      <c r="E7798" s="4" t="s">
        <v>2020</v>
      </c>
    </row>
    <row r="7799" spans="1:5" x14ac:dyDescent="0.2">
      <c r="A7799">
        <v>7738</v>
      </c>
      <c r="B7799" s="138">
        <f>'Contracts Paid in CY 29'!G141</f>
        <v>1986041</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LIBERTYVILLE SCHOOL DISTRICT NO. 70</v>
      </c>
      <c r="B7" s="2403"/>
      <c r="C7" s="2403"/>
      <c r="D7" s="2440"/>
      <c r="E7" s="2441" t="str">
        <f>COVER!A13</f>
        <v>34-049-0700-02</v>
      </c>
      <c r="F7" s="2442"/>
      <c r="G7" s="2409" t="str">
        <f>COVER!T23</f>
        <v>066-033289</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EVOY, KAMSCHULTE, JACOBS &amp; CO., LLP</v>
      </c>
      <c r="H9" s="2416"/>
      <c r="I9" s="2416"/>
      <c r="J9" s="2416"/>
      <c r="K9" s="2416"/>
      <c r="L9" s="2417"/>
    </row>
    <row r="10" spans="1:29" ht="13.5" customHeight="1" x14ac:dyDescent="0.2">
      <c r="A10" s="2399">
        <f>COVER!A38</f>
        <v>0</v>
      </c>
      <c r="B10" s="2400"/>
      <c r="C10" s="2400"/>
      <c r="D10" s="2400"/>
      <c r="E10" s="2400"/>
      <c r="F10" s="2401"/>
      <c r="G10" s="2415" t="str">
        <f>COVER!T17</f>
        <v>2122 YEOMAN STREET</v>
      </c>
      <c r="H10" s="2428"/>
      <c r="I10" s="2428"/>
      <c r="J10" s="2428"/>
      <c r="K10" s="2428"/>
      <c r="L10" s="2429"/>
    </row>
    <row r="11" spans="1:29" ht="13.5" customHeight="1" x14ac:dyDescent="0.2">
      <c r="A11" s="1185" t="s">
        <v>1599</v>
      </c>
      <c r="B11" s="1186"/>
      <c r="C11" s="1187"/>
      <c r="D11" s="1192"/>
      <c r="E11" s="1187"/>
      <c r="F11" s="1191"/>
      <c r="G11" s="2415" t="str">
        <f>COVER!T19</f>
        <v>WAUKEGAN</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kkinnavy@ekjllp.com</v>
      </c>
      <c r="J13" s="2437"/>
      <c r="K13" s="2437"/>
      <c r="L13" s="2438"/>
    </row>
    <row r="14" spans="1:29" ht="13.5" customHeight="1" x14ac:dyDescent="0.2">
      <c r="A14" s="2415" t="str">
        <f>COVER!A19</f>
        <v>1441 LAKE STREET</v>
      </c>
      <c r="B14" s="2428"/>
      <c r="C14" s="2428"/>
      <c r="D14" s="2428"/>
      <c r="E14" s="2428"/>
      <c r="F14" s="2429"/>
      <c r="G14" s="1196" t="s">
        <v>1247</v>
      </c>
      <c r="H14" s="1194"/>
      <c r="I14" s="1194"/>
      <c r="J14" s="1194"/>
      <c r="K14" s="1194"/>
      <c r="L14" s="1195"/>
    </row>
    <row r="15" spans="1:29" ht="13.5" customHeight="1" x14ac:dyDescent="0.2">
      <c r="A15" s="2415" t="str">
        <f>COVER!A21</f>
        <v xml:space="preserve">LIBERTYVILLE </v>
      </c>
      <c r="B15" s="2428"/>
      <c r="C15" s="2428"/>
      <c r="D15" s="2428"/>
      <c r="E15" s="2428"/>
      <c r="F15" s="2429"/>
      <c r="G15" s="2425" t="str">
        <f>COVER!T15</f>
        <v>KEVIN KINNAVY</v>
      </c>
      <c r="H15" s="2426"/>
      <c r="I15" s="2426"/>
      <c r="J15" s="2426"/>
      <c r="K15" s="2426"/>
      <c r="L15" s="2427"/>
    </row>
    <row r="16" spans="1:29" ht="12.2" customHeight="1" x14ac:dyDescent="0.2">
      <c r="A16" s="2405">
        <f>COVER!A25</f>
        <v>60048</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847-662-8300</v>
      </c>
      <c r="H18" s="2403"/>
      <c r="I18" s="2403"/>
      <c r="J18" s="2403"/>
      <c r="K18" s="2402" t="str">
        <f>COVER!X21</f>
        <v>847-662-8305</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LIBERTYVILLE SCHOOL DISTRICT NO. 70</v>
      </c>
      <c r="B1" s="2439"/>
      <c r="C1" s="2439"/>
      <c r="D1" s="2439"/>
    </row>
    <row r="2" spans="1:11" s="1215" customFormat="1" ht="12.75" x14ac:dyDescent="0.2">
      <c r="A2" s="2444" t="str">
        <f>'Single Audit Cover'!E7</f>
        <v>34-049-0700-02</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7"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LIBERTYVILLE SCHOOL DISTRICT NO. 70</v>
      </c>
      <c r="B1" s="2447"/>
      <c r="C1" s="2447"/>
      <c r="D1" s="2447"/>
      <c r="E1" s="2447"/>
    </row>
    <row r="2" spans="1:5" x14ac:dyDescent="0.2">
      <c r="A2" s="2448" t="str">
        <f>'Single Audit Cover'!E7</f>
        <v>34-049-0700-02</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653097</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653097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653097</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653097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LIBERTYVILLE SCHOOL DISTRICT NO. 70</v>
      </c>
      <c r="B1" s="2452"/>
      <c r="C1" s="2452"/>
      <c r="D1" s="2452"/>
      <c r="E1" s="2452"/>
      <c r="F1" s="2452"/>
    </row>
    <row r="2" spans="1:7" ht="13.5" customHeight="1" x14ac:dyDescent="0.2">
      <c r="A2" s="2453" t="str">
        <f>'Single Audit Cover'!E7</f>
        <v>34-049-0700-02</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1832</v>
      </c>
      <c r="B7" s="2451"/>
      <c r="C7" s="2451"/>
      <c r="D7" s="2451"/>
      <c r="E7" s="2451"/>
      <c r="F7" s="245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51" t="s">
        <v>1834</v>
      </c>
      <c r="B13" s="2451"/>
      <c r="C13" s="2451"/>
      <c r="D13" s="2451"/>
      <c r="E13" s="2451"/>
      <c r="F13" s="2451"/>
    </row>
    <row r="14" spans="1:7" ht="9.75" customHeight="1" x14ac:dyDescent="0.2">
      <c r="C14" s="1260"/>
      <c r="D14" s="1260"/>
    </row>
    <row r="15" spans="1:7" ht="13.5" customHeight="1" x14ac:dyDescent="0.2">
      <c r="C15" s="1870" t="s">
        <v>1332</v>
      </c>
      <c r="D15" s="2457" t="s">
        <v>1331</v>
      </c>
      <c r="E15" s="2457"/>
      <c r="F15" s="2457"/>
    </row>
    <row r="16" spans="1:7" ht="13.5" customHeight="1" x14ac:dyDescent="0.2">
      <c r="A16" s="1282"/>
      <c r="B16" s="1276" t="s">
        <v>1330</v>
      </c>
      <c r="C16" s="1870" t="s">
        <v>1329</v>
      </c>
      <c r="D16" s="2458" t="s">
        <v>1670</v>
      </c>
      <c r="E16" s="2458"/>
      <c r="F16" s="2458"/>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7"/>
      <c r="E33" s="1286"/>
    </row>
    <row r="34" spans="1:6" ht="13.5" customHeight="1" x14ac:dyDescent="0.2">
      <c r="A34" s="328" t="s">
        <v>1949</v>
      </c>
      <c r="B34" s="328"/>
      <c r="C34" s="1289">
        <v>0</v>
      </c>
      <c r="D34" s="1927" t="s">
        <v>1671</v>
      </c>
      <c r="E34" s="2461">
        <f>+C33+C34</f>
        <v>0</v>
      </c>
      <c r="F34" s="2462"/>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c r="D38" s="1927"/>
      <c r="E38" s="1286"/>
    </row>
    <row r="39" spans="1:6" ht="14.25" customHeight="1" x14ac:dyDescent="0.2">
      <c r="A39" s="328"/>
      <c r="B39" s="328" t="s">
        <v>1511</v>
      </c>
      <c r="C39" s="1292"/>
      <c r="D39" s="1927"/>
      <c r="E39" s="1286"/>
    </row>
    <row r="40" spans="1:6" ht="14.25" customHeight="1" x14ac:dyDescent="0.2">
      <c r="A40" s="328"/>
      <c r="B40" s="328" t="s">
        <v>1512</v>
      </c>
      <c r="C40" s="1292"/>
      <c r="D40" s="1927"/>
      <c r="E40" s="1286"/>
    </row>
    <row r="41" spans="1:6" ht="14.25" customHeight="1" x14ac:dyDescent="0.2">
      <c r="A41" s="328"/>
      <c r="B41" s="328" t="s">
        <v>1513</v>
      </c>
      <c r="C41" s="1292"/>
      <c r="D41" s="1927"/>
      <c r="E41" s="1286"/>
    </row>
    <row r="42" spans="1:6" ht="14.25" customHeight="1" x14ac:dyDescent="0.2">
      <c r="A42" s="328" t="s">
        <v>1514</v>
      </c>
      <c r="B42" s="328"/>
      <c r="C42" s="1925"/>
      <c r="D42" s="1927"/>
      <c r="E42" s="1286"/>
    </row>
    <row r="43" spans="1:6" ht="14.25" customHeight="1" x14ac:dyDescent="0.2">
      <c r="A43" s="328" t="s">
        <v>1515</v>
      </c>
      <c r="B43" s="328"/>
      <c r="C43" s="1293"/>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69"/>
      <c r="C50" s="1869"/>
      <c r="D50" s="1869"/>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LIBERTYVILLE SCHOOL DISTRICT NO. 70</v>
      </c>
      <c r="C1" s="2464"/>
      <c r="D1" s="2464"/>
      <c r="E1" s="2464"/>
      <c r="F1" s="2464"/>
      <c r="G1" s="2464"/>
      <c r="H1" s="2464"/>
      <c r="I1" s="2464"/>
      <c r="J1" s="2464"/>
      <c r="K1" s="2464"/>
      <c r="L1" s="2464"/>
      <c r="M1" s="2464"/>
    </row>
    <row r="2" spans="2:14" ht="15" x14ac:dyDescent="0.2">
      <c r="B2" s="2453" t="str">
        <f>'Single Audit Cover'!E7</f>
        <v>34-049-0700-02</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1"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33604</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2122</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LIBERTYVILLE SCHOOL DISTRICT NO. 70</v>
      </c>
      <c r="C1" s="2472"/>
      <c r="D1" s="2472"/>
      <c r="E1" s="2472"/>
      <c r="F1" s="2472"/>
      <c r="G1" s="2472"/>
      <c r="H1" s="2472"/>
      <c r="I1" s="2472"/>
      <c r="J1" s="1422"/>
    </row>
    <row r="2" spans="2:10" s="317" customFormat="1" ht="12.75" customHeight="1" x14ac:dyDescent="0.2">
      <c r="B2" s="2473" t="str">
        <f>'Single Audit Cover'!E7</f>
        <v>34-049-0700-02</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9" t="s">
        <v>1854</v>
      </c>
      <c r="D37" s="2480"/>
      <c r="E37" s="2480"/>
      <c r="F37" s="2481"/>
      <c r="G37" s="2479" t="s">
        <v>1674</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0</v>
      </c>
      <c r="H43" s="2488"/>
      <c r="I43" s="2488"/>
    </row>
    <row r="44" spans="2:9" ht="12.75" customHeight="1" x14ac:dyDescent="0.2"/>
    <row r="45" spans="2:9" ht="12.75" customHeight="1" x14ac:dyDescent="0.2">
      <c r="B45" s="1435" t="s">
        <v>1952</v>
      </c>
      <c r="D45" s="2489">
        <v>0</v>
      </c>
      <c r="E45" s="249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LIBERTYVILLE SCHOOL DISTRICT NO. 70</v>
      </c>
      <c r="C1" s="2471"/>
      <c r="D1" s="2471"/>
      <c r="E1" s="2471"/>
      <c r="F1" s="2471"/>
      <c r="G1" s="2471"/>
      <c r="H1" s="2471"/>
      <c r="I1" s="2471"/>
      <c r="J1" s="2471"/>
      <c r="K1" s="2471"/>
      <c r="L1" s="1374"/>
      <c r="M1" s="1374"/>
    </row>
    <row r="2" spans="1:13" ht="12" customHeight="1" x14ac:dyDescent="0.2">
      <c r="B2" s="2473" t="str">
        <f>'Single Audit Cover'!E7</f>
        <v>34-049-0700-02</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LIBERTYVILLE SCHOOL DISTRICT NO. 70</v>
      </c>
      <c r="C1" s="2498"/>
      <c r="D1" s="2498"/>
      <c r="E1" s="2498"/>
      <c r="F1" s="2498"/>
      <c r="G1" s="2498"/>
      <c r="H1" s="2498"/>
      <c r="I1" s="2498"/>
      <c r="J1" s="2498"/>
      <c r="K1" s="2498"/>
      <c r="L1" s="1465"/>
    </row>
    <row r="2" spans="1:12" ht="12.75" customHeight="1" x14ac:dyDescent="0.2">
      <c r="B2" s="2499" t="str">
        <f>'Single Audit Cover'!E7</f>
        <v>34-049-0700-02</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LIBERTYVILLE SCHOOL DISTRICT NO. 70</v>
      </c>
      <c r="C1" s="2471"/>
      <c r="D1" s="2471"/>
      <c r="E1" s="1491"/>
    </row>
    <row r="2" spans="2:5" s="1282" customFormat="1" ht="12.75" customHeight="1" x14ac:dyDescent="0.2">
      <c r="B2" s="2473" t="str">
        <f>'Single Audit Cover'!E7</f>
        <v>34-049-0700-02</v>
      </c>
      <c r="C2" s="2473"/>
      <c r="D2" s="2473"/>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7" colorId="8" zoomScale="110" zoomScaleNormal="110" workbookViewId="0">
      <selection activeCell="H33" sqref="H3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1084827541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2.1982189999999999E-2</v>
      </c>
      <c r="E10" s="356" t="s">
        <v>1062</v>
      </c>
      <c r="F10" s="355">
        <v>3.8790299999999999E-3</v>
      </c>
      <c r="G10" s="356" t="s">
        <v>1062</v>
      </c>
      <c r="H10" s="355">
        <v>8.9223999999999998E-4</v>
      </c>
      <c r="I10" s="356" t="s">
        <v>1063</v>
      </c>
      <c r="J10" s="1754">
        <f>ROUND(D10+F10+H10,5)</f>
        <v>2.6749999999999999E-2</v>
      </c>
      <c r="K10" s="222"/>
      <c r="L10" s="355">
        <v>9.2189999999999997E-5</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36231150</v>
      </c>
      <c r="E16" s="356"/>
      <c r="F16" s="1755">
        <f>SUM('Acct Summary 7-8'!C17,'Acct Summary 7-8'!D17,'Acct Summary 7-8'!F17)</f>
        <v>33004333</v>
      </c>
      <c r="G16" s="356"/>
      <c r="H16" s="1755">
        <f>SUM(D16-F16)</f>
        <v>3226817</v>
      </c>
      <c r="I16" s="222"/>
      <c r="J16" s="1755">
        <f>SUM('Acct Summary 7-8'!C81,'Acct Summary 7-8'!D81,'Acct Summary 7-8'!F81,'Acct Summary 7-8'!I81)</f>
        <v>20770982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74853100.329000011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14433100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LIBERTYVILLE SCHOOL DISTRICT NO. 70</v>
      </c>
      <c r="E7" s="391"/>
      <c r="G7" s="252"/>
      <c r="H7" s="387"/>
      <c r="I7" s="387"/>
      <c r="J7" s="387"/>
      <c r="K7" s="387"/>
      <c r="L7" s="329"/>
      <c r="M7" s="329"/>
      <c r="N7" s="329"/>
      <c r="O7" s="329"/>
      <c r="P7" s="329"/>
    </row>
    <row r="8" spans="1:18" ht="12.75" x14ac:dyDescent="0.2">
      <c r="A8" s="329"/>
      <c r="B8" s="329"/>
      <c r="C8" s="389" t="s">
        <v>1187</v>
      </c>
      <c r="D8" s="392" t="str">
        <f>COVER!A13</f>
        <v>34-049-0700-02</v>
      </c>
      <c r="E8" s="393"/>
      <c r="G8" s="329"/>
      <c r="H8" s="329"/>
      <c r="I8" s="329"/>
      <c r="J8" s="329"/>
      <c r="K8" s="329"/>
      <c r="L8" s="329"/>
      <c r="M8" s="329"/>
      <c r="N8" s="329"/>
      <c r="O8" s="329"/>
      <c r="P8" s="329"/>
    </row>
    <row r="9" spans="1:18" ht="12.75" x14ac:dyDescent="0.2">
      <c r="A9" s="329"/>
      <c r="B9" s="329"/>
      <c r="C9" s="389" t="s">
        <v>737</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20770982</v>
      </c>
      <c r="I12" s="404"/>
      <c r="J12" s="404"/>
      <c r="K12" s="405">
        <f>TRUNC((H12/H13*100000),5)/100000</f>
        <v>0.59711235509999994</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34785718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-1445432</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33004333</v>
      </c>
      <c r="I17" s="404"/>
      <c r="J17" s="416"/>
      <c r="K17" s="405">
        <f>TRUNC((H17/H18*100000),5)/100000</f>
        <v>0.94878975900000007</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34785718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-1445432</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21845296</v>
      </c>
      <c r="I24" s="422"/>
      <c r="J24" s="422"/>
      <c r="K24" s="423">
        <f>TRUNC(((H24/H25*100000)/100000),2)</f>
        <v>238.28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91678.702780000007</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24666266.213490002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14433100</v>
      </c>
      <c r="I32" s="420"/>
      <c r="J32" s="420"/>
      <c r="K32" s="423">
        <f>TRUNC(100-((((H32/H33*100))*100)/100),2)</f>
        <v>80.709999999999994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74853100.329000011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14296979</v>
      </c>
      <c r="D4" s="466">
        <v>1686880</v>
      </c>
      <c r="E4" s="466">
        <v>52745</v>
      </c>
      <c r="F4" s="466">
        <v>331288</v>
      </c>
      <c r="G4" s="466">
        <v>509163</v>
      </c>
      <c r="H4" s="466">
        <v>0</v>
      </c>
      <c r="I4" s="466">
        <v>5530149</v>
      </c>
      <c r="J4" s="467"/>
      <c r="K4" s="466"/>
      <c r="L4" s="466">
        <v>158546</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14296979</v>
      </c>
      <c r="D13" s="1759">
        <f t="shared" ref="D13:L13" si="0">SUM(D4:D12)</f>
        <v>1686880</v>
      </c>
      <c r="E13" s="1759">
        <f t="shared" si="0"/>
        <v>52745</v>
      </c>
      <c r="F13" s="1759">
        <f t="shared" si="0"/>
        <v>331288</v>
      </c>
      <c r="G13" s="1759">
        <f t="shared" si="0"/>
        <v>509163</v>
      </c>
      <c r="H13" s="1759">
        <f t="shared" si="0"/>
        <v>0</v>
      </c>
      <c r="I13" s="1759">
        <f t="shared" si="0"/>
        <v>5530149</v>
      </c>
      <c r="J13" s="1759">
        <f t="shared" si="0"/>
        <v>0</v>
      </c>
      <c r="K13" s="1759">
        <f t="shared" si="0"/>
        <v>0</v>
      </c>
      <c r="L13" s="1759">
        <f t="shared" si="0"/>
        <v>158546</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313824</v>
      </c>
      <c r="N16" s="484"/>
    </row>
    <row r="17" spans="1:14" s="485" customFormat="1" ht="12.75" customHeight="1" x14ac:dyDescent="0.2">
      <c r="A17" s="482" t="s">
        <v>1470</v>
      </c>
      <c r="B17" s="483">
        <v>230</v>
      </c>
      <c r="C17" s="477"/>
      <c r="D17" s="477"/>
      <c r="E17" s="477"/>
      <c r="F17" s="477"/>
      <c r="G17" s="477"/>
      <c r="H17" s="477"/>
      <c r="I17" s="477"/>
      <c r="J17" s="477"/>
      <c r="K17" s="477"/>
      <c r="L17" s="477"/>
      <c r="M17" s="467">
        <v>46772132</v>
      </c>
      <c r="N17" s="484"/>
    </row>
    <row r="18" spans="1:14" s="485" customFormat="1" ht="12.75" customHeight="1" x14ac:dyDescent="0.2">
      <c r="A18" s="482" t="s">
        <v>1471</v>
      </c>
      <c r="B18" s="483">
        <v>240</v>
      </c>
      <c r="C18" s="477"/>
      <c r="D18" s="477"/>
      <c r="E18" s="477"/>
      <c r="F18" s="477"/>
      <c r="G18" s="477"/>
      <c r="H18" s="477"/>
      <c r="I18" s="477"/>
      <c r="J18" s="477"/>
      <c r="K18" s="477"/>
      <c r="L18" s="477"/>
      <c r="M18" s="467">
        <v>894989</v>
      </c>
      <c r="N18" s="484"/>
    </row>
    <row r="19" spans="1:14" s="485" customFormat="1" ht="12.75" customHeight="1" x14ac:dyDescent="0.2">
      <c r="A19" s="482" t="s">
        <v>1472</v>
      </c>
      <c r="B19" s="483">
        <v>250</v>
      </c>
      <c r="C19" s="477"/>
      <c r="D19" s="477"/>
      <c r="E19" s="477"/>
      <c r="F19" s="477"/>
      <c r="G19" s="477"/>
      <c r="H19" s="477"/>
      <c r="I19" s="477"/>
      <c r="J19" s="477"/>
      <c r="K19" s="477"/>
      <c r="L19" s="477"/>
      <c r="M19" s="467">
        <v>3038512</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52745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14380355</v>
      </c>
    </row>
    <row r="23" spans="1:14" ht="13.5" customHeight="1" thickBot="1" x14ac:dyDescent="0.25">
      <c r="A23" s="1758" t="s">
        <v>664</v>
      </c>
      <c r="B23" s="1763"/>
      <c r="C23" s="468"/>
      <c r="D23" s="468"/>
      <c r="E23" s="468"/>
      <c r="F23" s="468"/>
      <c r="G23" s="468"/>
      <c r="H23" s="468"/>
      <c r="I23" s="468"/>
      <c r="J23" s="468"/>
      <c r="K23" s="468"/>
      <c r="L23" s="468"/>
      <c r="M23" s="1710">
        <f>SUM(M15:M22)</f>
        <v>51019457</v>
      </c>
      <c r="N23" s="1710">
        <f>SUM(N21:N22)</f>
        <v>14433100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1073994</v>
      </c>
      <c r="D31" s="467">
        <v>320</v>
      </c>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158546</v>
      </c>
      <c r="M33" s="468"/>
      <c r="N33" s="469"/>
    </row>
    <row r="34" spans="1:14" ht="13.5" customHeight="1" thickBot="1" x14ac:dyDescent="0.25">
      <c r="A34" s="1760" t="s">
        <v>675</v>
      </c>
      <c r="B34" s="1761"/>
      <c r="C34" s="1762">
        <f>SUM(C25:C33)</f>
        <v>1073994</v>
      </c>
      <c r="D34" s="1762">
        <f t="shared" ref="D34:K34" si="1">SUM(D25:D33)</f>
        <v>320</v>
      </c>
      <c r="E34" s="1762">
        <f t="shared" si="1"/>
        <v>0</v>
      </c>
      <c r="F34" s="1762">
        <f t="shared" si="1"/>
        <v>0</v>
      </c>
      <c r="G34" s="1762">
        <f t="shared" si="1"/>
        <v>0</v>
      </c>
      <c r="H34" s="1762">
        <f t="shared" si="1"/>
        <v>0</v>
      </c>
      <c r="I34" s="1762">
        <f t="shared" si="1"/>
        <v>0</v>
      </c>
      <c r="J34" s="1762">
        <f t="shared" si="1"/>
        <v>0</v>
      </c>
      <c r="K34" s="1762">
        <f t="shared" si="1"/>
        <v>0</v>
      </c>
      <c r="L34" s="1743">
        <f>SUM(L33)</f>
        <v>158546</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14433100</v>
      </c>
    </row>
    <row r="37" spans="1:14" ht="13.5" thickBot="1" x14ac:dyDescent="0.25">
      <c r="A37" s="1758" t="s">
        <v>674</v>
      </c>
      <c r="B37" s="1763"/>
      <c r="C37" s="477"/>
      <c r="D37" s="477"/>
      <c r="E37" s="477"/>
      <c r="F37" s="477"/>
      <c r="G37" s="477"/>
      <c r="H37" s="477"/>
      <c r="I37" s="477"/>
      <c r="J37" s="477"/>
      <c r="K37" s="477"/>
      <c r="L37" s="480"/>
      <c r="M37" s="468"/>
      <c r="N37" s="1710">
        <f>SUM(N36:N36)</f>
        <v>14433100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13222985</v>
      </c>
      <c r="D39" s="466">
        <v>1686560</v>
      </c>
      <c r="E39" s="466">
        <v>52745</v>
      </c>
      <c r="F39" s="466">
        <v>331288</v>
      </c>
      <c r="G39" s="466">
        <v>509163</v>
      </c>
      <c r="H39" s="466">
        <v>0</v>
      </c>
      <c r="I39" s="466">
        <v>5530149</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51019457</v>
      </c>
      <c r="N40" s="497"/>
    </row>
    <row r="41" spans="1:14" ht="13.5" customHeight="1" thickBot="1" x14ac:dyDescent="0.25">
      <c r="A41" s="1758" t="s">
        <v>676</v>
      </c>
      <c r="B41" s="1728"/>
      <c r="C41" s="1710">
        <f>(SUM(C34,C37,C38,C39))</f>
        <v>14296979</v>
      </c>
      <c r="D41" s="1710">
        <f t="shared" ref="D41:L41" si="2">SUM(D34,D37,D38:D39)</f>
        <v>1686880</v>
      </c>
      <c r="E41" s="1710">
        <f t="shared" si="2"/>
        <v>52745</v>
      </c>
      <c r="F41" s="1710">
        <f t="shared" si="2"/>
        <v>331288</v>
      </c>
      <c r="G41" s="1710">
        <f t="shared" si="2"/>
        <v>509163</v>
      </c>
      <c r="H41" s="1710">
        <f t="shared" si="2"/>
        <v>0</v>
      </c>
      <c r="I41" s="1710">
        <f t="shared" si="2"/>
        <v>5530149</v>
      </c>
      <c r="J41" s="1710">
        <f t="shared" si="2"/>
        <v>0</v>
      </c>
      <c r="K41" s="1710">
        <f t="shared" si="2"/>
        <v>0</v>
      </c>
      <c r="L41" s="1710">
        <f t="shared" si="2"/>
        <v>158546</v>
      </c>
      <c r="M41" s="1710">
        <f>SUM(M40)</f>
        <v>51019457</v>
      </c>
      <c r="N41" s="1710">
        <f>SUM(N37)</f>
        <v>14433100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0" activePane="bottomLeft" state="frozenSplit"/>
      <selection activeCell="A47" sqref="A47"/>
      <selection pane="bottomLeft" activeCell="D9" sqref="D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3" t="s">
        <v>1579</v>
      </c>
      <c r="B4" s="1954">
        <v>1000</v>
      </c>
      <c r="C4" s="1764">
        <f>'Revenues 9-14'!C109</f>
        <v>26191749</v>
      </c>
      <c r="D4" s="1764">
        <f>'Revenues 9-14'!D109</f>
        <v>4490538</v>
      </c>
      <c r="E4" s="1764">
        <f>'Revenues 9-14'!E109</f>
        <v>1348876</v>
      </c>
      <c r="F4" s="1764">
        <f>'Revenues 9-14'!F109</f>
        <v>1577792</v>
      </c>
      <c r="G4" s="1764">
        <f>'Revenues 9-14'!G109</f>
        <v>997439</v>
      </c>
      <c r="H4" s="1764">
        <f>'Revenues 9-14'!H109</f>
        <v>501430</v>
      </c>
      <c r="I4" s="1764">
        <f>'Revenues 9-14'!I109</f>
        <v>213895</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2431239</v>
      </c>
      <c r="D6" s="1765">
        <f>'Revenues 9-14'!D173</f>
        <v>0</v>
      </c>
      <c r="E6" s="1765">
        <f>'Revenues 9-14'!E173</f>
        <v>0</v>
      </c>
      <c r="F6" s="1765">
        <f>'Revenues 9-14'!F173</f>
        <v>672840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653097</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29276085</v>
      </c>
      <c r="D8" s="1710">
        <f t="shared" ref="D8:K8" si="0">SUM(D4:D7)</f>
        <v>4490538</v>
      </c>
      <c r="E8" s="1710">
        <f t="shared" si="0"/>
        <v>1348876</v>
      </c>
      <c r="F8" s="1710">
        <f t="shared" si="0"/>
        <v>2250632</v>
      </c>
      <c r="G8" s="1710">
        <f t="shared" si="0"/>
        <v>997439</v>
      </c>
      <c r="H8" s="1710">
        <f t="shared" si="0"/>
        <v>501430</v>
      </c>
      <c r="I8" s="1710">
        <f t="shared" si="0"/>
        <v>213895</v>
      </c>
      <c r="J8" s="1710">
        <f t="shared" si="0"/>
        <v>0</v>
      </c>
      <c r="K8" s="1710">
        <f t="shared" si="0"/>
        <v>0</v>
      </c>
      <c r="L8" s="347"/>
    </row>
    <row r="9" spans="1:13" ht="15.75" thickTop="1" x14ac:dyDescent="0.2">
      <c r="A9" s="514" t="s">
        <v>1752</v>
      </c>
      <c r="B9" s="515">
        <v>3998</v>
      </c>
      <c r="C9" s="481">
        <v>13204816</v>
      </c>
      <c r="D9" s="516"/>
      <c r="E9" s="481"/>
      <c r="F9" s="481"/>
      <c r="G9" s="517"/>
      <c r="H9" s="481"/>
      <c r="I9" s="509" t="s">
        <v>1231</v>
      </c>
      <c r="J9" s="478"/>
      <c r="K9" s="481"/>
      <c r="L9" s="347"/>
    </row>
    <row r="10" spans="1:13" s="519" customFormat="1" ht="13.5" thickBot="1" x14ac:dyDescent="0.25">
      <c r="A10" s="1758" t="s">
        <v>1235</v>
      </c>
      <c r="B10" s="1731"/>
      <c r="C10" s="1710">
        <f>SUM(C8:C9)</f>
        <v>42480901</v>
      </c>
      <c r="D10" s="1710">
        <f t="shared" ref="D10:K10" si="1">SUM(D8:D9)</f>
        <v>4490538</v>
      </c>
      <c r="E10" s="1710">
        <f t="shared" si="1"/>
        <v>1348876</v>
      </c>
      <c r="F10" s="1710">
        <f t="shared" si="1"/>
        <v>2250632</v>
      </c>
      <c r="G10" s="1710">
        <f t="shared" si="1"/>
        <v>997439</v>
      </c>
      <c r="H10" s="1710">
        <f t="shared" si="1"/>
        <v>501430</v>
      </c>
      <c r="I10" s="1710">
        <f t="shared" si="1"/>
        <v>213895</v>
      </c>
      <c r="J10" s="1710">
        <f t="shared" si="1"/>
        <v>0</v>
      </c>
      <c r="K10" s="1710">
        <f t="shared" si="1"/>
        <v>0</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17904401</v>
      </c>
      <c r="D12" s="520" t="s">
        <v>1231</v>
      </c>
      <c r="E12" s="468" t="s">
        <v>1231</v>
      </c>
      <c r="F12" s="468" t="s">
        <v>1231</v>
      </c>
      <c r="G12" s="1764">
        <f>'Expenditures 15-22'!K229</f>
        <v>272107</v>
      </c>
      <c r="H12" s="521"/>
      <c r="I12" s="468" t="s">
        <v>1231</v>
      </c>
      <c r="J12" s="468" t="s">
        <v>1231</v>
      </c>
      <c r="K12" s="521" t="s">
        <v>1231</v>
      </c>
      <c r="L12" s="347"/>
    </row>
    <row r="13" spans="1:13" ht="15.75" customHeight="1" x14ac:dyDescent="0.2">
      <c r="A13" s="1598" t="s">
        <v>477</v>
      </c>
      <c r="B13" s="1600">
        <v>2000</v>
      </c>
      <c r="C13" s="1765">
        <f>'Expenditures 15-22'!K74</f>
        <v>9224198</v>
      </c>
      <c r="D13" s="1765">
        <f>'Expenditures 15-22'!K129</f>
        <v>2874892</v>
      </c>
      <c r="E13" s="469" t="s">
        <v>1231</v>
      </c>
      <c r="F13" s="1765">
        <f>'Expenditures 15-22'!K184</f>
        <v>2295846</v>
      </c>
      <c r="G13" s="1765">
        <f>'Expenditures 15-22'!K279</f>
        <v>588717</v>
      </c>
      <c r="H13" s="1765">
        <f>'Expenditures 15-22'!K303</f>
        <v>5260487</v>
      </c>
      <c r="I13" s="468" t="s">
        <v>1231</v>
      </c>
      <c r="J13" s="1765">
        <f>'Expenditures 15-22'!K330</f>
        <v>0</v>
      </c>
      <c r="K13" s="1769">
        <f>'Expenditures 15-22'!K352</f>
        <v>0</v>
      </c>
      <c r="L13" s="347"/>
    </row>
    <row r="14" spans="1:13" ht="15.75" customHeight="1" x14ac:dyDescent="0.2">
      <c r="A14" s="1598" t="s">
        <v>469</v>
      </c>
      <c r="B14" s="1600">
        <v>3000</v>
      </c>
      <c r="C14" s="1765">
        <f>'Expenditures 15-22'!K75</f>
        <v>74214</v>
      </c>
      <c r="D14" s="1765">
        <f>'Expenditures 15-22'!K130</f>
        <v>0</v>
      </c>
      <c r="E14" s="520" t="s">
        <v>1231</v>
      </c>
      <c r="F14" s="1765">
        <f>'Expenditures 15-22'!K185</f>
        <v>0</v>
      </c>
      <c r="G14" s="1765">
        <f>'Expenditures 15-22'!K280</f>
        <v>468</v>
      </c>
      <c r="H14" s="512"/>
      <c r="I14" s="468" t="s">
        <v>1231</v>
      </c>
      <c r="J14" s="468" t="s">
        <v>1231</v>
      </c>
      <c r="K14" s="512" t="s">
        <v>1231</v>
      </c>
      <c r="L14" s="347"/>
    </row>
    <row r="15" spans="1:13" ht="15.75" customHeight="1" x14ac:dyDescent="0.2">
      <c r="A15" s="1598" t="s">
        <v>109</v>
      </c>
      <c r="B15" s="1600">
        <v>4000</v>
      </c>
      <c r="C15" s="1765">
        <f>'Expenditures 15-22'!K102</f>
        <v>534643</v>
      </c>
      <c r="D15" s="1765">
        <f>'Expenditures 15-22'!K139</f>
        <v>96139</v>
      </c>
      <c r="E15" s="1765">
        <f>'Expenditures 15-22'!K160</f>
        <v>0</v>
      </c>
      <c r="F15" s="1765">
        <f>'Expenditures 15-22'!K196</f>
        <v>0</v>
      </c>
      <c r="G15" s="1765">
        <f>'Expenditures 15-22'!K285</f>
        <v>76781</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2892707</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27737456</v>
      </c>
      <c r="D17" s="1710">
        <f t="shared" si="2"/>
        <v>2971031</v>
      </c>
      <c r="E17" s="1710">
        <f t="shared" si="2"/>
        <v>2892707</v>
      </c>
      <c r="F17" s="1710">
        <f t="shared" si="2"/>
        <v>2295846</v>
      </c>
      <c r="G17" s="1710">
        <f t="shared" si="2"/>
        <v>938073</v>
      </c>
      <c r="H17" s="1710">
        <f t="shared" si="2"/>
        <v>5260487</v>
      </c>
      <c r="I17" s="468"/>
      <c r="J17" s="1710">
        <f>SUM(J12:J16)</f>
        <v>0</v>
      </c>
      <c r="K17" s="1710">
        <f>SUM(K12:K16)</f>
        <v>0</v>
      </c>
      <c r="L17" s="347"/>
    </row>
    <row r="18" spans="1:12" ht="15" customHeight="1" thickTop="1" x14ac:dyDescent="0.2">
      <c r="A18" s="1766" t="s">
        <v>1753</v>
      </c>
      <c r="B18" s="1767">
        <v>4180</v>
      </c>
      <c r="C18" s="1764">
        <f t="shared" ref="C18:H18" si="3">C9</f>
        <v>13204816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40942272</v>
      </c>
      <c r="D19" s="1710">
        <f t="shared" si="4"/>
        <v>2971031</v>
      </c>
      <c r="E19" s="1710">
        <f t="shared" si="4"/>
        <v>2892707</v>
      </c>
      <c r="F19" s="1710">
        <f t="shared" si="4"/>
        <v>2295846</v>
      </c>
      <c r="G19" s="1710">
        <f t="shared" si="4"/>
        <v>938073</v>
      </c>
      <c r="H19" s="1710">
        <f t="shared" si="4"/>
        <v>5260487</v>
      </c>
      <c r="I19" s="468"/>
      <c r="J19" s="1710">
        <f>SUM(J17:J18)</f>
        <v>0</v>
      </c>
      <c r="K19" s="1710">
        <f>SUM(K17:K18)</f>
        <v>0</v>
      </c>
      <c r="L19" s="347"/>
    </row>
    <row r="20" spans="1:12" ht="16.5" thickTop="1" thickBot="1" x14ac:dyDescent="0.25">
      <c r="A20" s="2144" t="s">
        <v>1754</v>
      </c>
      <c r="B20" s="2145"/>
      <c r="C20" s="1768">
        <f>C8-C17</f>
        <v>1538629</v>
      </c>
      <c r="D20" s="1768">
        <f t="shared" ref="D20:K20" si="5">D8-D17</f>
        <v>1519507</v>
      </c>
      <c r="E20" s="1768">
        <f t="shared" si="5"/>
        <v>-1543831</v>
      </c>
      <c r="F20" s="1768">
        <f t="shared" si="5"/>
        <v>-45214</v>
      </c>
      <c r="G20" s="1768">
        <f t="shared" si="5"/>
        <v>59366</v>
      </c>
      <c r="H20" s="1768">
        <f t="shared" si="5"/>
        <v>-4759057</v>
      </c>
      <c r="I20" s="1768">
        <f t="shared" si="5"/>
        <v>213895</v>
      </c>
      <c r="J20" s="1768">
        <f t="shared" si="5"/>
        <v>0</v>
      </c>
      <c r="K20" s="1768">
        <f t="shared" si="5"/>
        <v>0</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v>3811540</v>
      </c>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393025</v>
      </c>
      <c r="F37" s="475"/>
      <c r="G37" s="475"/>
      <c r="H37" s="475"/>
      <c r="I37" s="477"/>
      <c r="J37" s="475"/>
      <c r="K37" s="475"/>
      <c r="L37" s="524"/>
    </row>
    <row r="38" spans="1:12" s="485" customFormat="1" x14ac:dyDescent="0.2">
      <c r="A38" s="1511" t="s">
        <v>462</v>
      </c>
      <c r="B38" s="525">
        <v>7500</v>
      </c>
      <c r="C38" s="477"/>
      <c r="D38" s="477"/>
      <c r="E38" s="1765">
        <f>SUM(C58:D61,H58:H61)</f>
        <v>7666</v>
      </c>
      <c r="F38" s="477"/>
      <c r="G38" s="477"/>
      <c r="H38" s="477"/>
      <c r="I38" s="477"/>
      <c r="J38" s="477"/>
      <c r="K38" s="477"/>
      <c r="L38" s="524"/>
    </row>
    <row r="39" spans="1:12" s="485" customFormat="1" x14ac:dyDescent="0.2">
      <c r="A39" s="1511" t="s">
        <v>463</v>
      </c>
      <c r="B39" s="525">
        <v>7600</v>
      </c>
      <c r="C39" s="477"/>
      <c r="D39" s="477"/>
      <c r="E39" s="1765">
        <f>SUM(C62:D65)</f>
        <v>965000</v>
      </c>
      <c r="F39" s="477"/>
      <c r="G39" s="477"/>
      <c r="H39" s="477"/>
      <c r="I39" s="477"/>
      <c r="J39" s="477"/>
      <c r="K39" s="477"/>
      <c r="L39" s="524"/>
    </row>
    <row r="40" spans="1:12" s="485" customFormat="1" ht="13.5" customHeight="1" x14ac:dyDescent="0.2">
      <c r="A40" s="1511" t="s">
        <v>663</v>
      </c>
      <c r="B40" s="483">
        <v>7700</v>
      </c>
      <c r="C40" s="477"/>
      <c r="D40" s="477"/>
      <c r="E40" s="1765">
        <f>SUM(C66:D69)</f>
        <v>79741</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1445432</v>
      </c>
      <c r="F44" s="1725">
        <f t="shared" si="6"/>
        <v>0</v>
      </c>
      <c r="G44" s="1725">
        <f t="shared" si="6"/>
        <v>0</v>
      </c>
      <c r="H44" s="1725">
        <f t="shared" si="6"/>
        <v>3811540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3811540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v>393025</v>
      </c>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v>7666</v>
      </c>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v>965000</v>
      </c>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v>79741</v>
      </c>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400691</v>
      </c>
      <c r="D76" s="1725">
        <f t="shared" si="7"/>
        <v>1044741</v>
      </c>
      <c r="E76" s="1725">
        <f t="shared" si="7"/>
        <v>0</v>
      </c>
      <c r="F76" s="1725">
        <f t="shared" si="7"/>
        <v>0</v>
      </c>
      <c r="G76" s="1725">
        <f t="shared" si="7"/>
        <v>0</v>
      </c>
      <c r="H76" s="1725">
        <f t="shared" si="7"/>
        <v>0</v>
      </c>
      <c r="I76" s="1725">
        <f t="shared" si="7"/>
        <v>3811540</v>
      </c>
      <c r="J76" s="1725">
        <f t="shared" si="7"/>
        <v>0</v>
      </c>
      <c r="K76" s="1725">
        <f t="shared" si="7"/>
        <v>0</v>
      </c>
      <c r="L76" s="524"/>
    </row>
    <row r="77" spans="1:12" ht="14.25" thickTop="1" thickBot="1" x14ac:dyDescent="0.25">
      <c r="A77" s="2136" t="s">
        <v>1239</v>
      </c>
      <c r="B77" s="2137"/>
      <c r="C77" s="1725">
        <f t="shared" ref="C77:K77" si="8">C44-C76</f>
        <v>-400691</v>
      </c>
      <c r="D77" s="1725">
        <f t="shared" si="8"/>
        <v>-1044741</v>
      </c>
      <c r="E77" s="1725">
        <f t="shared" si="8"/>
        <v>1445432</v>
      </c>
      <c r="F77" s="1725">
        <f t="shared" si="8"/>
        <v>0</v>
      </c>
      <c r="G77" s="1725">
        <f t="shared" si="8"/>
        <v>0</v>
      </c>
      <c r="H77" s="1725">
        <f t="shared" si="8"/>
        <v>3811540</v>
      </c>
      <c r="I77" s="1725">
        <f t="shared" si="8"/>
        <v>-3811540</v>
      </c>
      <c r="J77" s="1725">
        <f t="shared" si="8"/>
        <v>0</v>
      </c>
      <c r="K77" s="1725">
        <f t="shared" si="8"/>
        <v>0</v>
      </c>
      <c r="L77" s="347"/>
    </row>
    <row r="78" spans="1:12" ht="21.75" customHeight="1" thickTop="1" thickBot="1" x14ac:dyDescent="0.25">
      <c r="A78" s="2140" t="s">
        <v>618</v>
      </c>
      <c r="B78" s="2141"/>
      <c r="C78" s="1724">
        <f t="shared" ref="C78:K78" si="9">C20+C77</f>
        <v>1137938</v>
      </c>
      <c r="D78" s="1724">
        <f t="shared" si="9"/>
        <v>474766</v>
      </c>
      <c r="E78" s="1724">
        <f t="shared" si="9"/>
        <v>-98399</v>
      </c>
      <c r="F78" s="1724">
        <f t="shared" si="9"/>
        <v>-45214</v>
      </c>
      <c r="G78" s="1724">
        <f t="shared" si="9"/>
        <v>59366</v>
      </c>
      <c r="H78" s="1724">
        <f t="shared" si="9"/>
        <v>-947517</v>
      </c>
      <c r="I78" s="1724">
        <f t="shared" si="9"/>
        <v>-3597645</v>
      </c>
      <c r="J78" s="1724">
        <f t="shared" si="9"/>
        <v>0</v>
      </c>
      <c r="K78" s="1724">
        <f t="shared" si="9"/>
        <v>0</v>
      </c>
      <c r="L78" s="533"/>
    </row>
    <row r="79" spans="1:12" ht="13.5" thickTop="1" x14ac:dyDescent="0.2">
      <c r="A79" s="1516" t="s">
        <v>2073</v>
      </c>
      <c r="B79" s="534"/>
      <c r="C79" s="478">
        <v>12085047</v>
      </c>
      <c r="D79" s="535">
        <v>1211794</v>
      </c>
      <c r="E79" s="535">
        <v>151144</v>
      </c>
      <c r="F79" s="535">
        <v>376502</v>
      </c>
      <c r="G79" s="535">
        <v>449797</v>
      </c>
      <c r="H79" s="535">
        <v>947517</v>
      </c>
      <c r="I79" s="535">
        <v>9127794</v>
      </c>
      <c r="J79" s="535"/>
      <c r="K79" s="535"/>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2074</v>
      </c>
      <c r="B81" s="2139"/>
      <c r="C81" s="1710">
        <f>(SUM(C78:C80))</f>
        <v>13222985</v>
      </c>
      <c r="D81" s="1710">
        <f>SUM(D78:D80)</f>
        <v>1686560</v>
      </c>
      <c r="E81" s="1710">
        <f t="shared" ref="E81:K81" si="10">SUM(E78:E80)</f>
        <v>52745</v>
      </c>
      <c r="F81" s="1710">
        <f t="shared" si="10"/>
        <v>331288</v>
      </c>
      <c r="G81" s="1710">
        <f t="shared" si="10"/>
        <v>509163</v>
      </c>
      <c r="H81" s="1710">
        <f t="shared" si="10"/>
        <v>0</v>
      </c>
      <c r="I81" s="1710">
        <f t="shared" si="10"/>
        <v>5530149</v>
      </c>
      <c r="J81" s="1710">
        <f t="shared" si="10"/>
        <v>0</v>
      </c>
      <c r="K81" s="1710">
        <f t="shared" si="10"/>
        <v>0</v>
      </c>
      <c r="L81" s="347"/>
    </row>
    <row r="82" spans="1:12" ht="0.75" customHeight="1" thickTop="1" thickBot="1" x14ac:dyDescent="0.25">
      <c r="A82" s="536" t="s">
        <v>361</v>
      </c>
      <c r="B82" s="537"/>
      <c r="C82" s="538">
        <f>(C81-C79)</f>
        <v>1137938</v>
      </c>
      <c r="D82" s="538">
        <f t="shared" ref="D82:K82" si="11">(D81-D79)</f>
        <v>474766</v>
      </c>
      <c r="E82" s="538">
        <f t="shared" si="11"/>
        <v>-98399</v>
      </c>
      <c r="F82" s="538">
        <f t="shared" si="11"/>
        <v>-45214</v>
      </c>
      <c r="G82" s="538">
        <f t="shared" si="11"/>
        <v>59366</v>
      </c>
      <c r="H82" s="538">
        <f t="shared" si="11"/>
        <v>-947517</v>
      </c>
      <c r="I82" s="538">
        <f t="shared" si="11"/>
        <v>-3597645</v>
      </c>
      <c r="J82" s="538">
        <f t="shared" si="11"/>
        <v>0</v>
      </c>
      <c r="K82" s="538">
        <f t="shared" si="11"/>
        <v>0</v>
      </c>
    </row>
    <row r="83" spans="1:12" ht="14.25" hidden="1" thickTop="1" thickBot="1" x14ac:dyDescent="0.25">
      <c r="A83" s="539" t="s">
        <v>362</v>
      </c>
      <c r="B83" s="464"/>
      <c r="C83" s="540">
        <f>C82/C81</f>
        <v>8.6057573233275245E-2</v>
      </c>
      <c r="D83" s="540">
        <f t="shared" ref="D83:K83" si="12">D82/D81</f>
        <v>0.28149962052936156</v>
      </c>
      <c r="E83" s="540">
        <f t="shared" si="12"/>
        <v>-1.8655607166556072</v>
      </c>
      <c r="F83" s="540">
        <f t="shared" si="12"/>
        <v>-0.13647943783052813</v>
      </c>
      <c r="G83" s="540">
        <f t="shared" si="12"/>
        <v>0.11659527499052366</v>
      </c>
      <c r="H83" s="540" t="e">
        <f t="shared" si="12"/>
        <v>#DIV/0!</v>
      </c>
      <c r="I83" s="540">
        <f t="shared" si="12"/>
        <v>-0.65055118768047659</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82" activePane="bottomLeft" state="frozen"/>
      <selection activeCell="A47" sqref="A47"/>
      <selection pane="bottomLeft" activeCell="D95" sqref="D9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24903957</v>
      </c>
      <c r="D5" s="481">
        <v>4404273</v>
      </c>
      <c r="E5" s="466">
        <v>848413</v>
      </c>
      <c r="F5" s="548">
        <v>991859</v>
      </c>
      <c r="G5" s="466">
        <v>235843</v>
      </c>
      <c r="H5" s="466"/>
      <c r="I5" s="466">
        <v>106144</v>
      </c>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v>81245</v>
      </c>
      <c r="H7" s="467"/>
      <c r="I7" s="468"/>
      <c r="J7" s="468"/>
      <c r="K7" s="468"/>
    </row>
    <row r="8" spans="1:12" x14ac:dyDescent="0.2">
      <c r="A8" s="463" t="s">
        <v>433</v>
      </c>
      <c r="B8" s="470">
        <v>1150</v>
      </c>
      <c r="C8" s="475"/>
      <c r="D8" s="475"/>
      <c r="E8" s="477"/>
      <c r="F8" s="477"/>
      <c r="G8" s="481">
        <v>235843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24903957</v>
      </c>
      <c r="D12" s="1729">
        <f t="shared" si="0"/>
        <v>4404273</v>
      </c>
      <c r="E12" s="1729">
        <f t="shared" si="0"/>
        <v>848413</v>
      </c>
      <c r="F12" s="1729">
        <f t="shared" si="0"/>
        <v>991859</v>
      </c>
      <c r="G12" s="1729">
        <f t="shared" si="0"/>
        <v>552931</v>
      </c>
      <c r="H12" s="1729">
        <f t="shared" si="0"/>
        <v>0</v>
      </c>
      <c r="I12" s="1729">
        <f t="shared" si="0"/>
        <v>106144</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18380</v>
      </c>
      <c r="D16" s="466"/>
      <c r="E16" s="466"/>
      <c r="F16" s="466"/>
      <c r="G16" s="466">
        <v>440700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18380</v>
      </c>
      <c r="D18" s="1732">
        <f t="shared" ref="D18:K18" si="1">SUM(D14:D17)</f>
        <v>0</v>
      </c>
      <c r="E18" s="1732">
        <f t="shared" si="1"/>
        <v>0</v>
      </c>
      <c r="F18" s="1732">
        <f t="shared" si="1"/>
        <v>0</v>
      </c>
      <c r="G18" s="1732">
        <f t="shared" si="1"/>
        <v>440700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245522</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11134</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256656</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2413</v>
      </c>
      <c r="G42" s="468"/>
      <c r="H42" s="468"/>
      <c r="I42" s="468"/>
      <c r="J42" s="468"/>
      <c r="K42" s="468"/>
    </row>
    <row r="43" spans="1:11" ht="12.75" customHeight="1" x14ac:dyDescent="0.2">
      <c r="A43" s="463" t="s">
        <v>892</v>
      </c>
      <c r="B43" s="470">
        <v>1412</v>
      </c>
      <c r="C43" s="468"/>
      <c r="D43" s="468"/>
      <c r="E43" s="468"/>
      <c r="F43" s="466">
        <v>580424</v>
      </c>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582837</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129446</v>
      </c>
      <c r="D65" s="466">
        <v>9119</v>
      </c>
      <c r="E65" s="466">
        <v>1463</v>
      </c>
      <c r="F65" s="467">
        <v>3096</v>
      </c>
      <c r="G65" s="466">
        <v>3808</v>
      </c>
      <c r="H65" s="466">
        <v>669</v>
      </c>
      <c r="I65" s="466">
        <v>107751</v>
      </c>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129446</v>
      </c>
      <c r="D67" s="1710">
        <f t="shared" ref="D67:K67" si="2">SUM(D65:D66)</f>
        <v>9119</v>
      </c>
      <c r="E67" s="1710">
        <f t="shared" si="2"/>
        <v>1463</v>
      </c>
      <c r="F67" s="1710">
        <f t="shared" si="2"/>
        <v>3096</v>
      </c>
      <c r="G67" s="1710">
        <f t="shared" si="2"/>
        <v>3808</v>
      </c>
      <c r="H67" s="1710">
        <f t="shared" si="2"/>
        <v>669</v>
      </c>
      <c r="I67" s="1710">
        <f t="shared" si="2"/>
        <v>107751</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355931</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355931</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299022</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299022</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53496</v>
      </c>
      <c r="E95" s="521"/>
      <c r="F95" s="521"/>
      <c r="G95" s="521"/>
      <c r="H95" s="521"/>
      <c r="I95" s="521"/>
      <c r="J95" s="521"/>
      <c r="K95" s="521"/>
    </row>
    <row r="96" spans="1:11" ht="12.75" customHeight="1" x14ac:dyDescent="0.2">
      <c r="A96" s="463" t="s">
        <v>409</v>
      </c>
      <c r="B96" s="470">
        <v>1920</v>
      </c>
      <c r="C96" s="551">
        <v>5602</v>
      </c>
      <c r="D96" s="551"/>
      <c r="E96" s="479"/>
      <c r="F96" s="478"/>
      <c r="G96" s="478"/>
      <c r="H96" s="478"/>
      <c r="I96" s="478"/>
      <c r="J96" s="478"/>
      <c r="K96" s="478"/>
    </row>
    <row r="97" spans="1:12" ht="12.75" customHeight="1" x14ac:dyDescent="0.2">
      <c r="A97" s="1517" t="s">
        <v>262</v>
      </c>
      <c r="B97" s="559">
        <v>1930</v>
      </c>
      <c r="C97" s="489"/>
      <c r="D97" s="467">
        <v>17680</v>
      </c>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v>499000</v>
      </c>
      <c r="F100" s="489"/>
      <c r="G100" s="489"/>
      <c r="H100" s="489">
        <v>500761</v>
      </c>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222755</v>
      </c>
      <c r="D107" s="466">
        <v>5970</v>
      </c>
      <c r="E107" s="466"/>
      <c r="F107" s="466"/>
      <c r="G107" s="466"/>
      <c r="H107" s="466"/>
      <c r="I107" s="466"/>
      <c r="J107" s="467"/>
      <c r="K107" s="466"/>
    </row>
    <row r="108" spans="1:12" ht="12.75" customHeight="1" thickBot="1" x14ac:dyDescent="0.25">
      <c r="A108" s="1730" t="s">
        <v>508</v>
      </c>
      <c r="B108" s="1734"/>
      <c r="C108" s="1729">
        <f>SUM(C95:C107)</f>
        <v>228357</v>
      </c>
      <c r="D108" s="1729">
        <f t="shared" ref="D108:K108" si="3">SUM(D95:D107)</f>
        <v>77146</v>
      </c>
      <c r="E108" s="1729">
        <f t="shared" si="3"/>
        <v>499000</v>
      </c>
      <c r="F108" s="1729">
        <f t="shared" si="3"/>
        <v>0</v>
      </c>
      <c r="G108" s="1729">
        <f t="shared" si="3"/>
        <v>0</v>
      </c>
      <c r="H108" s="1729">
        <f t="shared" si="3"/>
        <v>500761</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26191749</v>
      </c>
      <c r="D109" s="1737">
        <f t="shared" si="4"/>
        <v>4490538</v>
      </c>
      <c r="E109" s="1737">
        <f t="shared" si="4"/>
        <v>1348876</v>
      </c>
      <c r="F109" s="1737">
        <f t="shared" si="4"/>
        <v>1577792</v>
      </c>
      <c r="G109" s="1737">
        <f t="shared" si="4"/>
        <v>997439</v>
      </c>
      <c r="H109" s="1737">
        <f t="shared" si="4"/>
        <v>501430</v>
      </c>
      <c r="I109" s="1737">
        <f t="shared" si="4"/>
        <v>213895</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1789679</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1789679</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265687</v>
      </c>
      <c r="D124" s="561"/>
      <c r="E124" s="468"/>
      <c r="F124" s="548"/>
      <c r="G124" s="468"/>
      <c r="H124" s="468"/>
      <c r="I124" s="468"/>
      <c r="J124" s="468"/>
      <c r="K124" s="468"/>
    </row>
    <row r="125" spans="1:11" ht="12.75" customHeight="1" x14ac:dyDescent="0.2">
      <c r="A125" s="463" t="s">
        <v>1521</v>
      </c>
      <c r="B125" s="562">
        <v>3105</v>
      </c>
      <c r="C125" s="466">
        <v>146008</v>
      </c>
      <c r="D125" s="561"/>
      <c r="E125" s="468"/>
      <c r="F125" s="466"/>
      <c r="G125" s="468"/>
      <c r="H125" s="468"/>
      <c r="I125" s="468"/>
      <c r="J125" s="468"/>
      <c r="K125" s="468"/>
    </row>
    <row r="126" spans="1:11" ht="12.75" customHeight="1" x14ac:dyDescent="0.2">
      <c r="A126" s="463" t="s">
        <v>922</v>
      </c>
      <c r="B126" s="562">
        <v>3110</v>
      </c>
      <c r="C126" s="551">
        <v>225885</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687</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638267</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246553</v>
      </c>
      <c r="G151" s="467"/>
      <c r="H151" s="468"/>
      <c r="I151" s="468"/>
      <c r="J151" s="468"/>
      <c r="K151" s="468"/>
    </row>
    <row r="152" spans="1:11" ht="12.75" customHeight="1" x14ac:dyDescent="0.2">
      <c r="A152" s="463" t="s">
        <v>1117</v>
      </c>
      <c r="B152" s="562">
        <v>3510</v>
      </c>
      <c r="C152" s="551"/>
      <c r="D152" s="466"/>
      <c r="E152" s="561"/>
      <c r="F152" s="466">
        <v>426287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672840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3293</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641560</v>
      </c>
      <c r="D172" s="1744">
        <f t="shared" si="6"/>
        <v>0</v>
      </c>
      <c r="E172" s="1744">
        <f t="shared" si="6"/>
        <v>0</v>
      </c>
      <c r="F172" s="1744">
        <f t="shared" si="6"/>
        <v>672840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2431239</v>
      </c>
      <c r="D173" s="1737">
        <f>SUM(D121,D172)</f>
        <v>0</v>
      </c>
      <c r="E173" s="1737">
        <f>SUM(E121,E172)</f>
        <v>0</v>
      </c>
      <c r="F173" s="1737">
        <f t="shared" ref="F173:K173" si="7">SUM(F121,F172)</f>
        <v>672840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118237</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118237</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3992</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3992</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356081</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4555</v>
      </c>
      <c r="D220" s="466"/>
      <c r="E220" s="468"/>
      <c r="F220" s="466"/>
      <c r="G220" s="466"/>
      <c r="H220" s="468"/>
      <c r="I220" s="468"/>
      <c r="J220" s="468"/>
      <c r="K220" s="468"/>
    </row>
    <row r="221" spans="1:11" ht="12.75" customHeight="1" x14ac:dyDescent="0.2">
      <c r="A221" s="463" t="s">
        <v>1114</v>
      </c>
      <c r="B221" s="470">
        <v>4625</v>
      </c>
      <c r="C221" s="551">
        <v>47049</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407685</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50404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72779</v>
      </c>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653097</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653097</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29276085</v>
      </c>
      <c r="D275" s="1737">
        <f t="shared" si="12"/>
        <v>4490538</v>
      </c>
      <c r="E275" s="1737">
        <f t="shared" si="12"/>
        <v>1348876</v>
      </c>
      <c r="F275" s="1737">
        <f t="shared" si="12"/>
        <v>2250632</v>
      </c>
      <c r="G275" s="1737">
        <f t="shared" si="12"/>
        <v>997439</v>
      </c>
      <c r="H275" s="1737">
        <f t="shared" si="12"/>
        <v>501430</v>
      </c>
      <c r="I275" s="1737">
        <f t="shared" si="12"/>
        <v>213895</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B1" colorId="8" zoomScale="110" zoomScaleNormal="110" workbookViewId="0">
      <pane ySplit="2" topLeftCell="A288" activePane="bottomLeft" state="frozen"/>
      <selection activeCell="A47" sqref="A47"/>
      <selection pane="bottomLeft" activeCell="L320" sqref="L32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11411249</v>
      </c>
      <c r="D5" s="466">
        <v>1953072</v>
      </c>
      <c r="E5" s="466">
        <v>42170</v>
      </c>
      <c r="F5" s="466">
        <v>238286</v>
      </c>
      <c r="G5" s="466">
        <v>39694</v>
      </c>
      <c r="H5" s="466"/>
      <c r="I5" s="467"/>
      <c r="J5" s="467">
        <v>103344</v>
      </c>
      <c r="K5" s="1693">
        <f>SUM(C5:J5)</f>
        <v>13787815</v>
      </c>
      <c r="L5" s="466">
        <v>13812100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1569746</v>
      </c>
      <c r="D8" s="466">
        <v>429022</v>
      </c>
      <c r="E8" s="466">
        <v>37799</v>
      </c>
      <c r="F8" s="466">
        <v>10744</v>
      </c>
      <c r="G8" s="466"/>
      <c r="H8" s="466"/>
      <c r="I8" s="467"/>
      <c r="J8" s="467"/>
      <c r="K8" s="1693">
        <f t="shared" si="0"/>
        <v>2047311</v>
      </c>
      <c r="L8" s="466">
        <v>1956500</v>
      </c>
    </row>
    <row r="9" spans="1:14" x14ac:dyDescent="0.2">
      <c r="A9" s="1526" t="s">
        <v>745</v>
      </c>
      <c r="B9" s="615" t="s">
        <v>1025</v>
      </c>
      <c r="C9" s="467">
        <v>55214</v>
      </c>
      <c r="D9" s="467">
        <v>10763</v>
      </c>
      <c r="E9" s="467"/>
      <c r="F9" s="467">
        <v>1989</v>
      </c>
      <c r="G9" s="467"/>
      <c r="H9" s="467"/>
      <c r="I9" s="467"/>
      <c r="J9" s="467"/>
      <c r="K9" s="1693">
        <f t="shared" si="0"/>
        <v>67966</v>
      </c>
      <c r="L9" s="466">
        <v>64200</v>
      </c>
    </row>
    <row r="10" spans="1:14" x14ac:dyDescent="0.2">
      <c r="A10" s="1526" t="s">
        <v>746</v>
      </c>
      <c r="B10" s="615">
        <v>1250</v>
      </c>
      <c r="C10" s="466">
        <v>113308</v>
      </c>
      <c r="D10" s="466">
        <v>21427</v>
      </c>
      <c r="E10" s="466">
        <v>2720</v>
      </c>
      <c r="F10" s="466">
        <v>4443</v>
      </c>
      <c r="G10" s="466"/>
      <c r="H10" s="466"/>
      <c r="I10" s="467"/>
      <c r="J10" s="467"/>
      <c r="K10" s="1693">
        <f t="shared" si="0"/>
        <v>141898</v>
      </c>
      <c r="L10" s="466">
        <v>171500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455885</v>
      </c>
      <c r="D14" s="466">
        <v>6300</v>
      </c>
      <c r="E14" s="466">
        <v>9428</v>
      </c>
      <c r="F14" s="466">
        <v>1642</v>
      </c>
      <c r="G14" s="466">
        <v>10164</v>
      </c>
      <c r="H14" s="466"/>
      <c r="I14" s="467"/>
      <c r="J14" s="467"/>
      <c r="K14" s="1693">
        <f t="shared" si="0"/>
        <v>483419</v>
      </c>
      <c r="L14" s="466">
        <v>473500</v>
      </c>
    </row>
    <row r="15" spans="1:14" x14ac:dyDescent="0.2">
      <c r="A15" s="1526" t="s">
        <v>1021</v>
      </c>
      <c r="B15" s="615">
        <v>1600</v>
      </c>
      <c r="C15" s="466">
        <v>268662</v>
      </c>
      <c r="D15" s="466">
        <v>2732</v>
      </c>
      <c r="E15" s="466">
        <v>2570</v>
      </c>
      <c r="F15" s="466">
        <v>9731</v>
      </c>
      <c r="G15" s="466"/>
      <c r="H15" s="466"/>
      <c r="I15" s="467"/>
      <c r="J15" s="467"/>
      <c r="K15" s="1693">
        <f t="shared" si="0"/>
        <v>283695</v>
      </c>
      <c r="L15" s="466">
        <v>282900</v>
      </c>
    </row>
    <row r="16" spans="1:14" x14ac:dyDescent="0.2">
      <c r="A16" s="1526" t="s">
        <v>1044</v>
      </c>
      <c r="B16" s="615" t="s">
        <v>444</v>
      </c>
      <c r="C16" s="466">
        <v>385981</v>
      </c>
      <c r="D16" s="466">
        <v>85290</v>
      </c>
      <c r="E16" s="466">
        <v>5300</v>
      </c>
      <c r="F16" s="466">
        <v>9513</v>
      </c>
      <c r="G16" s="466"/>
      <c r="H16" s="466"/>
      <c r="I16" s="467"/>
      <c r="J16" s="467"/>
      <c r="K16" s="1693">
        <f t="shared" si="0"/>
        <v>486084</v>
      </c>
      <c r="L16" s="466">
        <v>460700</v>
      </c>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v>201908</v>
      </c>
      <c r="D18" s="466">
        <v>32255</v>
      </c>
      <c r="E18" s="466">
        <v>6354</v>
      </c>
      <c r="F18" s="466"/>
      <c r="G18" s="466"/>
      <c r="H18" s="466"/>
      <c r="I18" s="467"/>
      <c r="J18" s="467"/>
      <c r="K18" s="1693">
        <f t="shared" si="0"/>
        <v>240517</v>
      </c>
      <c r="L18" s="466">
        <v>233900</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365696</v>
      </c>
      <c r="I22" s="617"/>
      <c r="J22" s="477"/>
      <c r="K22" s="1693">
        <f t="shared" si="0"/>
        <v>365696</v>
      </c>
      <c r="L22" s="471">
        <v>410000</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14461953</v>
      </c>
      <c r="D33" s="1692">
        <f t="shared" ref="D33:L33" si="1">SUM(D5:D32)</f>
        <v>2540861</v>
      </c>
      <c r="E33" s="1692">
        <f t="shared" si="1"/>
        <v>106341</v>
      </c>
      <c r="F33" s="1692">
        <f t="shared" si="1"/>
        <v>276348</v>
      </c>
      <c r="G33" s="1692">
        <f t="shared" si="1"/>
        <v>49858</v>
      </c>
      <c r="H33" s="1692">
        <f t="shared" si="1"/>
        <v>365696</v>
      </c>
      <c r="I33" s="1692">
        <f t="shared" si="1"/>
        <v>0</v>
      </c>
      <c r="J33" s="1692">
        <f t="shared" si="1"/>
        <v>103344</v>
      </c>
      <c r="K33" s="1692">
        <f t="shared" si="1"/>
        <v>17904401</v>
      </c>
      <c r="L33" s="1692">
        <f t="shared" si="1"/>
        <v>17865300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564299</v>
      </c>
      <c r="D36" s="481">
        <v>74467</v>
      </c>
      <c r="E36" s="481">
        <v>451</v>
      </c>
      <c r="F36" s="481">
        <v>2028</v>
      </c>
      <c r="G36" s="481"/>
      <c r="H36" s="481"/>
      <c r="I36" s="467"/>
      <c r="J36" s="467"/>
      <c r="K36" s="1693">
        <f t="shared" ref="K36:K41" si="2">SUM(C36:J36)</f>
        <v>641245</v>
      </c>
      <c r="L36" s="466">
        <v>623500</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397027</v>
      </c>
      <c r="D38" s="466">
        <v>42466</v>
      </c>
      <c r="E38" s="466">
        <v>9455</v>
      </c>
      <c r="F38" s="466">
        <v>3178</v>
      </c>
      <c r="G38" s="466">
        <v>100</v>
      </c>
      <c r="H38" s="466"/>
      <c r="I38" s="467"/>
      <c r="J38" s="467"/>
      <c r="K38" s="1693">
        <f t="shared" si="2"/>
        <v>452226</v>
      </c>
      <c r="L38" s="466">
        <v>422200</v>
      </c>
    </row>
    <row r="39" spans="1:14" x14ac:dyDescent="0.2">
      <c r="A39" s="1526" t="s">
        <v>208</v>
      </c>
      <c r="B39" s="615">
        <v>2140</v>
      </c>
      <c r="C39" s="466">
        <v>362452</v>
      </c>
      <c r="D39" s="466">
        <v>57983</v>
      </c>
      <c r="E39" s="466">
        <v>4653</v>
      </c>
      <c r="F39" s="466">
        <v>2083</v>
      </c>
      <c r="G39" s="466"/>
      <c r="H39" s="466"/>
      <c r="I39" s="467"/>
      <c r="J39" s="467"/>
      <c r="K39" s="1693">
        <f t="shared" si="2"/>
        <v>427171</v>
      </c>
      <c r="L39" s="466">
        <v>428000</v>
      </c>
    </row>
    <row r="40" spans="1:14" x14ac:dyDescent="0.2">
      <c r="A40" s="1526" t="s">
        <v>209</v>
      </c>
      <c r="B40" s="615">
        <v>2150</v>
      </c>
      <c r="C40" s="466">
        <v>806123</v>
      </c>
      <c r="D40" s="466">
        <v>125761</v>
      </c>
      <c r="E40" s="466">
        <v>2533</v>
      </c>
      <c r="F40" s="466">
        <v>3806</v>
      </c>
      <c r="G40" s="466"/>
      <c r="H40" s="466"/>
      <c r="I40" s="467"/>
      <c r="J40" s="467"/>
      <c r="K40" s="1693">
        <f t="shared" si="2"/>
        <v>938223</v>
      </c>
      <c r="L40" s="466">
        <v>929000</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2129901</v>
      </c>
      <c r="D42" s="1692">
        <f t="shared" ref="D42:L42" si="3">SUM(D36:D41)</f>
        <v>300677</v>
      </c>
      <c r="E42" s="1692">
        <f t="shared" si="3"/>
        <v>17092</v>
      </c>
      <c r="F42" s="1692">
        <f t="shared" si="3"/>
        <v>11095</v>
      </c>
      <c r="G42" s="1692">
        <f t="shared" si="3"/>
        <v>100</v>
      </c>
      <c r="H42" s="1692">
        <f t="shared" si="3"/>
        <v>0</v>
      </c>
      <c r="I42" s="1692">
        <f t="shared" si="3"/>
        <v>0</v>
      </c>
      <c r="J42" s="1692">
        <f t="shared" si="3"/>
        <v>0</v>
      </c>
      <c r="K42" s="1692">
        <f t="shared" si="3"/>
        <v>2458865</v>
      </c>
      <c r="L42" s="1692">
        <f t="shared" si="3"/>
        <v>2402700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256007</v>
      </c>
      <c r="D44" s="481">
        <v>46150</v>
      </c>
      <c r="E44" s="481">
        <v>152492</v>
      </c>
      <c r="F44" s="481">
        <v>302433</v>
      </c>
      <c r="G44" s="481"/>
      <c r="H44" s="481"/>
      <c r="I44" s="467"/>
      <c r="J44" s="467"/>
      <c r="K44" s="1694">
        <f>SUM(C44:J44)</f>
        <v>757082</v>
      </c>
      <c r="L44" s="481">
        <v>706700</v>
      </c>
    </row>
    <row r="45" spans="1:14" x14ac:dyDescent="0.2">
      <c r="A45" s="1526" t="s">
        <v>869</v>
      </c>
      <c r="B45" s="615">
        <v>2220</v>
      </c>
      <c r="C45" s="466">
        <v>566063</v>
      </c>
      <c r="D45" s="466">
        <v>118727</v>
      </c>
      <c r="E45" s="466">
        <v>5084</v>
      </c>
      <c r="F45" s="466">
        <v>48285</v>
      </c>
      <c r="G45" s="466">
        <v>6128</v>
      </c>
      <c r="H45" s="466"/>
      <c r="I45" s="467"/>
      <c r="J45" s="467"/>
      <c r="K45" s="1694">
        <f>SUM(C45:J45)</f>
        <v>744287</v>
      </c>
      <c r="L45" s="466">
        <v>753200</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822070</v>
      </c>
      <c r="D47" s="1692">
        <f t="shared" ref="D47:K47" si="4">SUM(D44:D46)</f>
        <v>164877</v>
      </c>
      <c r="E47" s="1692">
        <f t="shared" si="4"/>
        <v>157576</v>
      </c>
      <c r="F47" s="1692">
        <f t="shared" si="4"/>
        <v>350718</v>
      </c>
      <c r="G47" s="1692">
        <f t="shared" si="4"/>
        <v>6128</v>
      </c>
      <c r="H47" s="1692">
        <f t="shared" si="4"/>
        <v>0</v>
      </c>
      <c r="I47" s="1692">
        <f t="shared" si="4"/>
        <v>0</v>
      </c>
      <c r="J47" s="1692">
        <f t="shared" si="4"/>
        <v>0</v>
      </c>
      <c r="K47" s="1692">
        <f t="shared" si="4"/>
        <v>1501369</v>
      </c>
      <c r="L47" s="1692">
        <f>SUM(L44:L46)</f>
        <v>1459900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359624</v>
      </c>
      <c r="F49" s="481">
        <v>4949</v>
      </c>
      <c r="G49" s="481"/>
      <c r="H49" s="481"/>
      <c r="I49" s="467"/>
      <c r="J49" s="467"/>
      <c r="K49" s="1694">
        <f>SUM(C49:J49)</f>
        <v>364573</v>
      </c>
      <c r="L49" s="481">
        <v>316500</v>
      </c>
    </row>
    <row r="50" spans="1:14" x14ac:dyDescent="0.2">
      <c r="A50" s="1526" t="s">
        <v>872</v>
      </c>
      <c r="B50" s="615">
        <v>2320</v>
      </c>
      <c r="C50" s="466">
        <v>341362</v>
      </c>
      <c r="D50" s="466">
        <v>35930</v>
      </c>
      <c r="E50" s="466">
        <v>8643</v>
      </c>
      <c r="F50" s="466">
        <v>4348</v>
      </c>
      <c r="G50" s="466"/>
      <c r="H50" s="466"/>
      <c r="I50" s="467"/>
      <c r="J50" s="467"/>
      <c r="K50" s="1694">
        <f>SUM(C50:J50)</f>
        <v>390283</v>
      </c>
      <c r="L50" s="466">
        <v>413400</v>
      </c>
    </row>
    <row r="51" spans="1:14" x14ac:dyDescent="0.2">
      <c r="A51" s="1526" t="s">
        <v>44</v>
      </c>
      <c r="B51" s="615">
        <v>2330</v>
      </c>
      <c r="C51" s="466">
        <v>192314</v>
      </c>
      <c r="D51" s="466">
        <v>38391</v>
      </c>
      <c r="E51" s="466">
        <v>12191</v>
      </c>
      <c r="F51" s="466">
        <v>2352</v>
      </c>
      <c r="G51" s="466"/>
      <c r="H51" s="466"/>
      <c r="I51" s="467"/>
      <c r="J51" s="467"/>
      <c r="K51" s="1694">
        <f>SUM(C51:J51)</f>
        <v>245248</v>
      </c>
      <c r="L51" s="466">
        <v>232500</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533676</v>
      </c>
      <c r="D53" s="1692">
        <f t="shared" ref="D53:L53" si="5">SUM(D49:D52)</f>
        <v>74321</v>
      </c>
      <c r="E53" s="1692">
        <f t="shared" si="5"/>
        <v>380458</v>
      </c>
      <c r="F53" s="1692">
        <f t="shared" si="5"/>
        <v>11649</v>
      </c>
      <c r="G53" s="1692">
        <f t="shared" si="5"/>
        <v>0</v>
      </c>
      <c r="H53" s="1692">
        <f t="shared" si="5"/>
        <v>0</v>
      </c>
      <c r="I53" s="1692">
        <f t="shared" si="5"/>
        <v>0</v>
      </c>
      <c r="J53" s="1692">
        <f t="shared" si="5"/>
        <v>0</v>
      </c>
      <c r="K53" s="1692">
        <f t="shared" si="5"/>
        <v>1000104</v>
      </c>
      <c r="L53" s="1692">
        <f t="shared" si="5"/>
        <v>962400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1153046</v>
      </c>
      <c r="D55" s="481">
        <v>188036</v>
      </c>
      <c r="E55" s="481">
        <v>40011</v>
      </c>
      <c r="F55" s="481">
        <v>5133</v>
      </c>
      <c r="G55" s="481">
        <v>3197</v>
      </c>
      <c r="H55" s="481"/>
      <c r="I55" s="467"/>
      <c r="J55" s="467"/>
      <c r="K55" s="1694">
        <f>SUM(C55:J55)</f>
        <v>1389423</v>
      </c>
      <c r="L55" s="481">
        <v>1322700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1153046</v>
      </c>
      <c r="D57" s="1696">
        <f t="shared" ref="D57:K57" si="6">SUM(D55:D56)</f>
        <v>188036</v>
      </c>
      <c r="E57" s="1696">
        <f t="shared" si="6"/>
        <v>40011</v>
      </c>
      <c r="F57" s="1696">
        <f t="shared" si="6"/>
        <v>5133</v>
      </c>
      <c r="G57" s="1696">
        <f t="shared" si="6"/>
        <v>3197</v>
      </c>
      <c r="H57" s="1696">
        <f t="shared" si="6"/>
        <v>0</v>
      </c>
      <c r="I57" s="1696">
        <f t="shared" si="6"/>
        <v>0</v>
      </c>
      <c r="J57" s="1696">
        <f t="shared" si="6"/>
        <v>0</v>
      </c>
      <c r="K57" s="1696">
        <f t="shared" si="6"/>
        <v>1389423</v>
      </c>
      <c r="L57" s="1692">
        <f>SUM(L55:L56)</f>
        <v>1322700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320903</v>
      </c>
      <c r="D59" s="481">
        <v>40562</v>
      </c>
      <c r="E59" s="481">
        <v>9728</v>
      </c>
      <c r="F59" s="481">
        <v>1639</v>
      </c>
      <c r="G59" s="481"/>
      <c r="H59" s="481"/>
      <c r="I59" s="467"/>
      <c r="J59" s="467"/>
      <c r="K59" s="1694">
        <f t="shared" ref="K59:K64" si="7">SUM(C59:J59)</f>
        <v>372832</v>
      </c>
      <c r="L59" s="481">
        <v>376900</v>
      </c>
      <c r="M59" s="610"/>
      <c r="N59" s="610"/>
    </row>
    <row r="60" spans="1:14" s="343" customFormat="1" x14ac:dyDescent="0.2">
      <c r="A60" s="1526" t="s">
        <v>483</v>
      </c>
      <c r="B60" s="615">
        <v>2520</v>
      </c>
      <c r="C60" s="466">
        <v>145461</v>
      </c>
      <c r="D60" s="466">
        <v>10676</v>
      </c>
      <c r="E60" s="466">
        <v>237840</v>
      </c>
      <c r="F60" s="466">
        <v>20147</v>
      </c>
      <c r="G60" s="466">
        <v>2429</v>
      </c>
      <c r="H60" s="466"/>
      <c r="I60" s="467"/>
      <c r="J60" s="467"/>
      <c r="K60" s="1694">
        <f t="shared" si="7"/>
        <v>416553</v>
      </c>
      <c r="L60" s="466">
        <v>588500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108464</v>
      </c>
      <c r="D63" s="466">
        <v>9048</v>
      </c>
      <c r="E63" s="466">
        <v>399427</v>
      </c>
      <c r="F63" s="466"/>
      <c r="G63" s="466"/>
      <c r="H63" s="466"/>
      <c r="I63" s="467"/>
      <c r="J63" s="467"/>
      <c r="K63" s="1694">
        <f t="shared" si="7"/>
        <v>516939</v>
      </c>
      <c r="L63" s="466">
        <v>575300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574828</v>
      </c>
      <c r="D65" s="1692">
        <f t="shared" ref="D65:L65" si="8">SUM(D59:D64)</f>
        <v>60286</v>
      </c>
      <c r="E65" s="1692">
        <f t="shared" si="8"/>
        <v>646995</v>
      </c>
      <c r="F65" s="1692">
        <f t="shared" si="8"/>
        <v>21786</v>
      </c>
      <c r="G65" s="1692">
        <f t="shared" si="8"/>
        <v>2429</v>
      </c>
      <c r="H65" s="1692">
        <f t="shared" si="8"/>
        <v>0</v>
      </c>
      <c r="I65" s="1692">
        <f t="shared" si="8"/>
        <v>0</v>
      </c>
      <c r="J65" s="1692">
        <f t="shared" si="8"/>
        <v>0</v>
      </c>
      <c r="K65" s="1692">
        <f t="shared" si="8"/>
        <v>1306324</v>
      </c>
      <c r="L65" s="1692">
        <f t="shared" si="8"/>
        <v>1540700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v>72390</v>
      </c>
      <c r="D69" s="466">
        <v>16825</v>
      </c>
      <c r="E69" s="466">
        <v>6304</v>
      </c>
      <c r="F69" s="466">
        <v>54</v>
      </c>
      <c r="G69" s="466"/>
      <c r="H69" s="466"/>
      <c r="I69" s="467"/>
      <c r="J69" s="467"/>
      <c r="K69" s="1694">
        <f>SUM(C69:J69)</f>
        <v>95573</v>
      </c>
      <c r="L69" s="466">
        <v>96100</v>
      </c>
      <c r="M69" s="610"/>
      <c r="N69" s="610"/>
    </row>
    <row r="70" spans="1:14" s="343" customFormat="1" x14ac:dyDescent="0.2">
      <c r="A70" s="1526" t="s">
        <v>423</v>
      </c>
      <c r="B70" s="615">
        <v>2640</v>
      </c>
      <c r="C70" s="466">
        <v>226399</v>
      </c>
      <c r="D70" s="466">
        <v>36222</v>
      </c>
      <c r="E70" s="466">
        <v>31322</v>
      </c>
      <c r="F70" s="466">
        <v>616</v>
      </c>
      <c r="G70" s="466"/>
      <c r="H70" s="466"/>
      <c r="I70" s="467"/>
      <c r="J70" s="467"/>
      <c r="K70" s="1694">
        <f>SUM(C70:J70)</f>
        <v>294559</v>
      </c>
      <c r="L70" s="466">
        <v>280500</v>
      </c>
      <c r="M70" s="610"/>
      <c r="N70" s="610"/>
    </row>
    <row r="71" spans="1:14" s="343" customFormat="1" x14ac:dyDescent="0.2">
      <c r="A71" s="1526" t="s">
        <v>424</v>
      </c>
      <c r="B71" s="615">
        <v>2660</v>
      </c>
      <c r="C71" s="466">
        <v>613737</v>
      </c>
      <c r="D71" s="466">
        <v>88382</v>
      </c>
      <c r="E71" s="466">
        <v>257202</v>
      </c>
      <c r="F71" s="466">
        <v>63114</v>
      </c>
      <c r="G71" s="466">
        <v>155546</v>
      </c>
      <c r="H71" s="466"/>
      <c r="I71" s="467"/>
      <c r="J71" s="467"/>
      <c r="K71" s="1694">
        <f>SUM(C71:J71)</f>
        <v>1177981</v>
      </c>
      <c r="L71" s="466">
        <v>1279400</v>
      </c>
      <c r="M71" s="610"/>
      <c r="N71" s="610"/>
    </row>
    <row r="72" spans="1:14" s="343" customFormat="1" ht="12.75" customHeight="1" thickBot="1" x14ac:dyDescent="0.25">
      <c r="A72" s="1690" t="s">
        <v>37</v>
      </c>
      <c r="B72" s="1697" t="s">
        <v>36</v>
      </c>
      <c r="C72" s="1692">
        <f>SUM(C67:C71)</f>
        <v>912526</v>
      </c>
      <c r="D72" s="1692">
        <f t="shared" ref="D72:K72" si="9">SUM(D67:D71)</f>
        <v>141429</v>
      </c>
      <c r="E72" s="1692">
        <f t="shared" si="9"/>
        <v>294828</v>
      </c>
      <c r="F72" s="1692">
        <f t="shared" si="9"/>
        <v>63784</v>
      </c>
      <c r="G72" s="1692">
        <f t="shared" si="9"/>
        <v>155546</v>
      </c>
      <c r="H72" s="1692">
        <f t="shared" si="9"/>
        <v>0</v>
      </c>
      <c r="I72" s="1692">
        <f t="shared" si="9"/>
        <v>0</v>
      </c>
      <c r="J72" s="1692">
        <f t="shared" si="9"/>
        <v>0</v>
      </c>
      <c r="K72" s="1692">
        <f t="shared" si="9"/>
        <v>1568113</v>
      </c>
      <c r="L72" s="1692">
        <f>SUM(L67:L71)</f>
        <v>1656000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6126047</v>
      </c>
      <c r="D74" s="1699">
        <f t="shared" ref="D74:K74" si="10">SUM(D42,D47,D53,D57,D65,D72,D73)</f>
        <v>929626</v>
      </c>
      <c r="E74" s="1699">
        <f t="shared" si="10"/>
        <v>1536960</v>
      </c>
      <c r="F74" s="1699">
        <f t="shared" si="10"/>
        <v>464165</v>
      </c>
      <c r="G74" s="1699">
        <f t="shared" si="10"/>
        <v>167400</v>
      </c>
      <c r="H74" s="1699">
        <f t="shared" si="10"/>
        <v>0</v>
      </c>
      <c r="I74" s="1699">
        <f t="shared" si="10"/>
        <v>0</v>
      </c>
      <c r="J74" s="1699">
        <f t="shared" si="10"/>
        <v>0</v>
      </c>
      <c r="K74" s="1699">
        <f t="shared" si="10"/>
        <v>9224198</v>
      </c>
      <c r="L74" s="1699">
        <f>SUM(L42,L47,L53,L57,L65,L72,L73)</f>
        <v>9344400</v>
      </c>
    </row>
    <row r="75" spans="1:14" s="259" customFormat="1" ht="15.75" customHeight="1" thickTop="1" thickBot="1" x14ac:dyDescent="0.25">
      <c r="A75" s="1632" t="s">
        <v>49</v>
      </c>
      <c r="B75" s="1633" t="s">
        <v>596</v>
      </c>
      <c r="C75" s="573">
        <v>34871</v>
      </c>
      <c r="D75" s="573">
        <v>1534</v>
      </c>
      <c r="E75" s="573"/>
      <c r="F75" s="573">
        <v>37809</v>
      </c>
      <c r="G75" s="573"/>
      <c r="H75" s="573"/>
      <c r="I75" s="531"/>
      <c r="J75" s="531"/>
      <c r="K75" s="1692">
        <f>SUM(C75:J75)</f>
        <v>74214</v>
      </c>
      <c r="L75" s="576">
        <v>68000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71370</v>
      </c>
      <c r="F79" s="617"/>
      <c r="G79" s="617"/>
      <c r="H79" s="466">
        <v>463273</v>
      </c>
      <c r="I79" s="477"/>
      <c r="J79" s="477"/>
      <c r="K79" s="1693">
        <f t="shared" si="11"/>
        <v>534643</v>
      </c>
      <c r="L79" s="466">
        <v>609000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71370</v>
      </c>
      <c r="F84" s="617"/>
      <c r="G84" s="617"/>
      <c r="H84" s="1692">
        <f>SUM(H78:H83)</f>
        <v>463273</v>
      </c>
      <c r="I84" s="477"/>
      <c r="J84" s="477"/>
      <c r="K84" s="1692">
        <f>SUM(K78:K83)</f>
        <v>534643</v>
      </c>
      <c r="L84" s="1692">
        <f>SUM(L78:L83)</f>
        <v>609000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71370</v>
      </c>
      <c r="F102" s="617"/>
      <c r="G102" s="617"/>
      <c r="H102" s="1699">
        <f>SUM(H84,H92,H100,H101)</f>
        <v>463273</v>
      </c>
      <c r="I102" s="477"/>
      <c r="J102" s="477"/>
      <c r="K102" s="1699">
        <f>SUM(K84,K92,K100,K101)</f>
        <v>534643</v>
      </c>
      <c r="L102" s="1699">
        <f>SUM(L84,L92,L100,L101)</f>
        <v>609000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20622871</v>
      </c>
      <c r="D114" s="1692">
        <f t="shared" ref="D114:K114" si="13">SUM(D33,D74,D75,D102,D112,D113)</f>
        <v>3472021</v>
      </c>
      <c r="E114" s="1692">
        <f t="shared" si="13"/>
        <v>1714671</v>
      </c>
      <c r="F114" s="1692">
        <f t="shared" si="13"/>
        <v>778322</v>
      </c>
      <c r="G114" s="1692">
        <f t="shared" si="13"/>
        <v>217258</v>
      </c>
      <c r="H114" s="1692">
        <f>SUM(H33,H74,H75,H102,H112,H113)</f>
        <v>828969</v>
      </c>
      <c r="I114" s="1692">
        <f t="shared" si="13"/>
        <v>0</v>
      </c>
      <c r="J114" s="1692">
        <f t="shared" si="13"/>
        <v>103344</v>
      </c>
      <c r="K114" s="1692">
        <f t="shared" si="13"/>
        <v>27737456</v>
      </c>
      <c r="L114" s="1692">
        <f>SUM(L33,L74,L75,L102,L112,L113)</f>
        <v>27886700</v>
      </c>
    </row>
    <row r="115" spans="1:14" ht="13.5" thickTop="1" x14ac:dyDescent="0.2">
      <c r="A115" s="2174" t="s">
        <v>1053</v>
      </c>
      <c r="B115" s="2175"/>
      <c r="C115" s="619"/>
      <c r="D115" s="619"/>
      <c r="E115" s="619"/>
      <c r="F115" s="619"/>
      <c r="G115" s="619"/>
      <c r="H115" s="619"/>
      <c r="I115" s="619"/>
      <c r="J115" s="619"/>
      <c r="K115" s="1706">
        <f>'Revenues 9-14'!C275-'Expenditures 15-22'!K114</f>
        <v>1538629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1204766</v>
      </c>
      <c r="D124" s="466">
        <v>296354</v>
      </c>
      <c r="E124" s="466">
        <v>452822</v>
      </c>
      <c r="F124" s="466">
        <v>517952</v>
      </c>
      <c r="G124" s="466">
        <v>402998</v>
      </c>
      <c r="H124" s="466"/>
      <c r="I124" s="467"/>
      <c r="J124" s="467"/>
      <c r="K124" s="1692">
        <f>SUM(C124:J124)</f>
        <v>2874892</v>
      </c>
      <c r="L124" s="466">
        <v>3043100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1204766</v>
      </c>
      <c r="D127" s="1692">
        <f t="shared" ref="D127:L127" si="14">SUM(D122:D126)</f>
        <v>296354</v>
      </c>
      <c r="E127" s="1692">
        <f t="shared" si="14"/>
        <v>452822</v>
      </c>
      <c r="F127" s="1692">
        <f t="shared" si="14"/>
        <v>517952</v>
      </c>
      <c r="G127" s="1692">
        <f t="shared" si="14"/>
        <v>402998</v>
      </c>
      <c r="H127" s="1692">
        <f t="shared" si="14"/>
        <v>0</v>
      </c>
      <c r="I127" s="1692">
        <f t="shared" si="14"/>
        <v>0</v>
      </c>
      <c r="J127" s="1692">
        <f t="shared" si="14"/>
        <v>0</v>
      </c>
      <c r="K127" s="1692">
        <f t="shared" si="14"/>
        <v>2874892</v>
      </c>
      <c r="L127" s="1692">
        <f t="shared" si="14"/>
        <v>3043100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1204766</v>
      </c>
      <c r="D129" s="1699">
        <f t="shared" ref="D129:L129" si="15">SUM(D120,D127,D128)</f>
        <v>296354</v>
      </c>
      <c r="E129" s="1699">
        <f t="shared" si="15"/>
        <v>452822</v>
      </c>
      <c r="F129" s="1699">
        <f t="shared" si="15"/>
        <v>517952</v>
      </c>
      <c r="G129" s="1699">
        <f t="shared" si="15"/>
        <v>402998</v>
      </c>
      <c r="H129" s="1699">
        <f t="shared" si="15"/>
        <v>0</v>
      </c>
      <c r="I129" s="1699">
        <f t="shared" si="15"/>
        <v>0</v>
      </c>
      <c r="J129" s="1699">
        <f t="shared" si="15"/>
        <v>0</v>
      </c>
      <c r="K129" s="1699">
        <f t="shared" si="15"/>
        <v>2874892</v>
      </c>
      <c r="L129" s="1699">
        <f t="shared" si="15"/>
        <v>3043100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v>96139</v>
      </c>
      <c r="F134" s="617"/>
      <c r="G134" s="617"/>
      <c r="H134" s="481"/>
      <c r="I134" s="477"/>
      <c r="J134" s="617"/>
      <c r="K134" s="1694">
        <f>SUM(E134,H134)</f>
        <v>96139</v>
      </c>
      <c r="L134" s="481">
        <v>98800</v>
      </c>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96139</v>
      </c>
      <c r="F137" s="617"/>
      <c r="G137" s="617"/>
      <c r="H137" s="1692">
        <f>SUM(H133:H136)</f>
        <v>0</v>
      </c>
      <c r="I137" s="477"/>
      <c r="J137" s="617"/>
      <c r="K137" s="1692">
        <f>SUM(K133:K136)</f>
        <v>96139</v>
      </c>
      <c r="L137" s="1692">
        <f>SUM(L133:L136)</f>
        <v>98800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96139</v>
      </c>
      <c r="F139" s="617"/>
      <c r="G139" s="617"/>
      <c r="H139" s="1701">
        <f>SUM(H137:H138)</f>
        <v>0</v>
      </c>
      <c r="I139" s="477"/>
      <c r="J139" s="617"/>
      <c r="K139" s="1694">
        <f>SUM(K137,K138)</f>
        <v>96139</v>
      </c>
      <c r="L139" s="1701">
        <f>SUM(L137,L138)</f>
        <v>98800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2">
        <f>SUM(C129,C130,C139,C149,C150)</f>
        <v>1204766</v>
      </c>
      <c r="D151" s="1692">
        <f t="shared" ref="D151:K151" si="16">SUM(D129,D130,D139,D149,D150)</f>
        <v>296354</v>
      </c>
      <c r="E151" s="1692">
        <f t="shared" si="16"/>
        <v>548961</v>
      </c>
      <c r="F151" s="1692">
        <f t="shared" si="16"/>
        <v>517952</v>
      </c>
      <c r="G151" s="1692">
        <f t="shared" si="16"/>
        <v>402998</v>
      </c>
      <c r="H151" s="1692">
        <f t="shared" si="16"/>
        <v>0</v>
      </c>
      <c r="I151" s="1692">
        <f t="shared" si="16"/>
        <v>0</v>
      </c>
      <c r="J151" s="1692">
        <f t="shared" si="16"/>
        <v>0</v>
      </c>
      <c r="K151" s="1692">
        <f t="shared" si="16"/>
        <v>2971031</v>
      </c>
      <c r="L151" s="1692">
        <f>SUM(L129,L130,L139,L149,L150)</f>
        <v>3141900</v>
      </c>
    </row>
    <row r="152" spans="1:14" ht="12.75" customHeight="1" thickTop="1" x14ac:dyDescent="0.2">
      <c r="A152" s="2194" t="s">
        <v>1240</v>
      </c>
      <c r="B152" s="2195"/>
      <c r="C152" s="619"/>
      <c r="D152" s="619"/>
      <c r="E152" s="619"/>
      <c r="F152" s="619"/>
      <c r="G152" s="619"/>
      <c r="H152" s="619"/>
      <c r="I152" s="619"/>
      <c r="J152" s="617"/>
      <c r="K152" s="1706">
        <f>'Revenues 9-14'!D275-'Expenditures 15-22'!K151</f>
        <v>1519507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538257</v>
      </c>
      <c r="I169" s="617"/>
      <c r="J169" s="617"/>
      <c r="K169" s="1693">
        <f>SUM(C169:H169)</f>
        <v>538257</v>
      </c>
      <c r="L169" s="657">
        <v>537300</v>
      </c>
    </row>
    <row r="170" spans="1:14" ht="33.75" customHeight="1" x14ac:dyDescent="0.2">
      <c r="A170" s="670" t="s">
        <v>1769</v>
      </c>
      <c r="B170" s="672" t="s">
        <v>31</v>
      </c>
      <c r="C170" s="617"/>
      <c r="D170" s="617"/>
      <c r="E170" s="617"/>
      <c r="F170" s="617"/>
      <c r="G170" s="617"/>
      <c r="H170" s="569">
        <v>2353025</v>
      </c>
      <c r="I170" s="617"/>
      <c r="J170" s="617"/>
      <c r="K170" s="1693">
        <f>SUM(C170:J170)</f>
        <v>2353025</v>
      </c>
      <c r="L170" s="569">
        <v>1826500</v>
      </c>
    </row>
    <row r="171" spans="1:14" ht="15.75" customHeight="1" x14ac:dyDescent="0.2">
      <c r="A171" s="622" t="s">
        <v>790</v>
      </c>
      <c r="B171" s="673" t="s">
        <v>86</v>
      </c>
      <c r="C171" s="617"/>
      <c r="D171" s="617"/>
      <c r="E171" s="466">
        <v>1425</v>
      </c>
      <c r="F171" s="617"/>
      <c r="G171" s="617"/>
      <c r="H171" s="569"/>
      <c r="I171" s="477"/>
      <c r="J171" s="617"/>
      <c r="K171" s="1693">
        <f>SUM(C171:J171)</f>
        <v>1425</v>
      </c>
      <c r="L171" s="569">
        <v>3800</v>
      </c>
    </row>
    <row r="172" spans="1:14" ht="12.75" customHeight="1" thickBot="1" x14ac:dyDescent="0.25">
      <c r="A172" s="1690" t="s">
        <v>659</v>
      </c>
      <c r="B172" s="1691" t="s">
        <v>513</v>
      </c>
      <c r="C172" s="617"/>
      <c r="D172" s="617"/>
      <c r="E172" s="1699">
        <f>SUM(E168,E169,E170,E171)</f>
        <v>1425</v>
      </c>
      <c r="F172" s="617"/>
      <c r="G172" s="617"/>
      <c r="H172" s="1699">
        <f>SUM(H168,H169,H170,H171)</f>
        <v>2891282</v>
      </c>
      <c r="I172" s="639"/>
      <c r="J172" s="617"/>
      <c r="K172" s="1699">
        <f>SUM(K168,K169,K170,K171)</f>
        <v>2892707</v>
      </c>
      <c r="L172" s="1699">
        <f>SUM(L168,L169,L170,L171)</f>
        <v>2367600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1425</v>
      </c>
      <c r="F174" s="617"/>
      <c r="G174" s="617"/>
      <c r="H174" s="1699">
        <f>SUM(H160,H172,H173)</f>
        <v>2891282</v>
      </c>
      <c r="I174" s="639"/>
      <c r="J174" s="617"/>
      <c r="K174" s="1699">
        <f>SUM(K160,K172,K173)</f>
        <v>2892707</v>
      </c>
      <c r="L174" s="1699">
        <f>SUM(L160,L172,L173)</f>
        <v>2367600</v>
      </c>
    </row>
    <row r="175" spans="1:14" ht="13.5" thickTop="1" x14ac:dyDescent="0.2">
      <c r="A175" s="2174" t="s">
        <v>1053</v>
      </c>
      <c r="B175" s="2175"/>
      <c r="C175" s="617"/>
      <c r="D175" s="617"/>
      <c r="E175" s="617"/>
      <c r="F175" s="617"/>
      <c r="G175" s="617"/>
      <c r="H175" s="619"/>
      <c r="I175" s="617"/>
      <c r="J175" s="617"/>
      <c r="K175" s="1706">
        <f>'Revenues 9-14'!E275-'Expenditures 15-22'!K174</f>
        <v>-1543831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16500</v>
      </c>
      <c r="D182" s="466"/>
      <c r="E182" s="466">
        <v>1561243</v>
      </c>
      <c r="F182" s="466">
        <v>718103</v>
      </c>
      <c r="G182" s="466"/>
      <c r="H182" s="466"/>
      <c r="I182" s="467"/>
      <c r="J182" s="467"/>
      <c r="K182" s="1693">
        <f>SUM(C182:J182)</f>
        <v>2295846</v>
      </c>
      <c r="L182" s="466">
        <v>2023500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16500</v>
      </c>
      <c r="D184" s="1699">
        <f t="shared" ref="D184:J184" si="17">SUM(D180,D182,D183)</f>
        <v>0</v>
      </c>
      <c r="E184" s="1699">
        <f t="shared" si="17"/>
        <v>1561243</v>
      </c>
      <c r="F184" s="1699">
        <f t="shared" si="17"/>
        <v>718103</v>
      </c>
      <c r="G184" s="1699">
        <f t="shared" si="17"/>
        <v>0</v>
      </c>
      <c r="H184" s="1699">
        <f t="shared" si="17"/>
        <v>0</v>
      </c>
      <c r="I184" s="1699">
        <f t="shared" si="17"/>
        <v>0</v>
      </c>
      <c r="J184" s="1699">
        <f t="shared" si="17"/>
        <v>0</v>
      </c>
      <c r="K184" s="1699">
        <f>SUM(K180,K182,K183)</f>
        <v>2295846</v>
      </c>
      <c r="L184" s="1699">
        <f>SUM(L180, L182:L183)</f>
        <v>2023500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16500</v>
      </c>
      <c r="D210" s="1692">
        <f>SUM(D184,D185)</f>
        <v>0</v>
      </c>
      <c r="E210" s="1692">
        <f>SUM(E184,E185,E196)</f>
        <v>1561243</v>
      </c>
      <c r="F210" s="1692">
        <f>SUM(F184,F185)</f>
        <v>718103</v>
      </c>
      <c r="G210" s="1692">
        <f>SUM(G184,G185)</f>
        <v>0</v>
      </c>
      <c r="H210" s="1692">
        <f>SUM(H184,H185,H196,H208,H209)</f>
        <v>0</v>
      </c>
      <c r="I210" s="1692">
        <f>SUM(I184,I185)</f>
        <v>0</v>
      </c>
      <c r="J210" s="1692">
        <f>SUM(J184,J185)</f>
        <v>0</v>
      </c>
      <c r="K210" s="1693">
        <f>SUM(K184,K185,K196,K208,K209)</f>
        <v>2295846</v>
      </c>
      <c r="L210" s="1692">
        <f>SUM(L184,L185,L196,L208,L209)</f>
        <v>2023500</v>
      </c>
    </row>
    <row r="211" spans="1:14" ht="13.5" thickTop="1" x14ac:dyDescent="0.2">
      <c r="A211" s="2174" t="s">
        <v>1053</v>
      </c>
      <c r="B211" s="2175"/>
      <c r="C211" s="619"/>
      <c r="D211" s="619"/>
      <c r="E211" s="619"/>
      <c r="F211" s="619"/>
      <c r="G211" s="619"/>
      <c r="H211" s="619"/>
      <c r="I211" s="617"/>
      <c r="J211" s="617"/>
      <c r="K211" s="1706">
        <f>'Revenues 9-14'!F275-'Expenditures 15-22'!K210</f>
        <v>-45214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153986</v>
      </c>
      <c r="E215" s="617"/>
      <c r="F215" s="617"/>
      <c r="G215" s="617"/>
      <c r="H215" s="617"/>
      <c r="I215" s="617"/>
      <c r="J215" s="617"/>
      <c r="K215" s="1693">
        <f>D215</f>
        <v>153986</v>
      </c>
      <c r="L215" s="466">
        <v>162700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88462</v>
      </c>
      <c r="E217" s="617"/>
      <c r="F217" s="617"/>
      <c r="G217" s="617"/>
      <c r="H217" s="617"/>
      <c r="I217" s="617"/>
      <c r="J217" s="617"/>
      <c r="K217" s="1693">
        <f t="shared" si="19"/>
        <v>88462</v>
      </c>
      <c r="L217" s="466">
        <v>81700</v>
      </c>
    </row>
    <row r="218" spans="1:14" x14ac:dyDescent="0.2">
      <c r="A218" s="1526" t="s">
        <v>296</v>
      </c>
      <c r="B218" s="615" t="s">
        <v>1025</v>
      </c>
      <c r="C218" s="617"/>
      <c r="D218" s="467">
        <v>803</v>
      </c>
      <c r="E218" s="617"/>
      <c r="F218" s="617"/>
      <c r="G218" s="617"/>
      <c r="H218" s="617"/>
      <c r="I218" s="617"/>
      <c r="J218" s="617"/>
      <c r="K218" s="1693">
        <f t="shared" si="19"/>
        <v>803</v>
      </c>
      <c r="L218" s="466">
        <v>800</v>
      </c>
    </row>
    <row r="219" spans="1:14" x14ac:dyDescent="0.2">
      <c r="A219" s="1526" t="s">
        <v>297</v>
      </c>
      <c r="B219" s="615">
        <v>1250</v>
      </c>
      <c r="C219" s="617"/>
      <c r="D219" s="466">
        <v>1486</v>
      </c>
      <c r="E219" s="617"/>
      <c r="F219" s="617"/>
      <c r="G219" s="617"/>
      <c r="H219" s="617"/>
      <c r="I219" s="617"/>
      <c r="J219" s="617"/>
      <c r="K219" s="1693">
        <f t="shared" si="19"/>
        <v>1486</v>
      </c>
      <c r="L219" s="466">
        <v>1500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9708</v>
      </c>
      <c r="E223" s="617"/>
      <c r="F223" s="617"/>
      <c r="G223" s="617"/>
      <c r="H223" s="617"/>
      <c r="I223" s="617"/>
      <c r="J223" s="617"/>
      <c r="K223" s="1693">
        <f t="shared" si="19"/>
        <v>9708</v>
      </c>
      <c r="L223" s="466">
        <v>9000</v>
      </c>
    </row>
    <row r="224" spans="1:14" x14ac:dyDescent="0.2">
      <c r="A224" s="1526" t="s">
        <v>1021</v>
      </c>
      <c r="B224" s="615">
        <v>1600</v>
      </c>
      <c r="C224" s="617"/>
      <c r="D224" s="466">
        <v>9655</v>
      </c>
      <c r="E224" s="617"/>
      <c r="F224" s="617"/>
      <c r="G224" s="617"/>
      <c r="H224" s="617"/>
      <c r="I224" s="617"/>
      <c r="J224" s="617"/>
      <c r="K224" s="1693">
        <f t="shared" si="19"/>
        <v>9655</v>
      </c>
      <c r="L224" s="466">
        <v>8900</v>
      </c>
    </row>
    <row r="225" spans="1:12" x14ac:dyDescent="0.2">
      <c r="A225" s="1526" t="s">
        <v>1044</v>
      </c>
      <c r="B225" s="615">
        <v>1650</v>
      </c>
      <c r="C225" s="617"/>
      <c r="D225" s="466">
        <v>5194</v>
      </c>
      <c r="E225" s="617"/>
      <c r="F225" s="617"/>
      <c r="G225" s="617"/>
      <c r="H225" s="617"/>
      <c r="I225" s="617"/>
      <c r="J225" s="617"/>
      <c r="K225" s="1693">
        <f t="shared" si="19"/>
        <v>5194</v>
      </c>
      <c r="L225" s="466">
        <v>5700</v>
      </c>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v>2813</v>
      </c>
      <c r="E227" s="617"/>
      <c r="F227" s="617"/>
      <c r="G227" s="617"/>
      <c r="H227" s="617"/>
      <c r="I227" s="617"/>
      <c r="J227" s="617"/>
      <c r="K227" s="1693">
        <f t="shared" si="19"/>
        <v>2813</v>
      </c>
      <c r="L227" s="466">
        <v>3000</v>
      </c>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272107</v>
      </c>
      <c r="E229" s="617"/>
      <c r="F229" s="617"/>
      <c r="G229" s="617"/>
      <c r="H229" s="617"/>
      <c r="I229" s="617"/>
      <c r="J229" s="617"/>
      <c r="K229" s="1692">
        <f>SUM(K215:K228)</f>
        <v>272107</v>
      </c>
      <c r="L229" s="1692">
        <f>SUM(L215:L228)</f>
        <v>273300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7930</v>
      </c>
      <c r="E232" s="617"/>
      <c r="F232" s="617"/>
      <c r="G232" s="617"/>
      <c r="H232" s="617"/>
      <c r="I232" s="617"/>
      <c r="J232" s="617"/>
      <c r="K232" s="1693">
        <f t="shared" ref="K232:K237" si="20">D232</f>
        <v>7930</v>
      </c>
      <c r="L232" s="466">
        <v>8200</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54978</v>
      </c>
      <c r="E234" s="617"/>
      <c r="F234" s="617"/>
      <c r="G234" s="617"/>
      <c r="H234" s="617"/>
      <c r="I234" s="617"/>
      <c r="J234" s="617"/>
      <c r="K234" s="1693">
        <f t="shared" si="20"/>
        <v>54978</v>
      </c>
      <c r="L234" s="466">
        <v>60400</v>
      </c>
    </row>
    <row r="235" spans="1:12" x14ac:dyDescent="0.2">
      <c r="A235" s="1526" t="s">
        <v>208</v>
      </c>
      <c r="B235" s="615">
        <v>2140</v>
      </c>
      <c r="C235" s="617"/>
      <c r="D235" s="466">
        <v>5827</v>
      </c>
      <c r="E235" s="617"/>
      <c r="F235" s="617"/>
      <c r="G235" s="617"/>
      <c r="H235" s="617"/>
      <c r="I235" s="617"/>
      <c r="J235" s="617"/>
      <c r="K235" s="1693">
        <f t="shared" si="20"/>
        <v>5827</v>
      </c>
      <c r="L235" s="466">
        <v>5200</v>
      </c>
    </row>
    <row r="236" spans="1:12" x14ac:dyDescent="0.2">
      <c r="A236" s="1526" t="s">
        <v>209</v>
      </c>
      <c r="B236" s="615">
        <v>2150</v>
      </c>
      <c r="C236" s="617"/>
      <c r="D236" s="466">
        <v>9498</v>
      </c>
      <c r="E236" s="617"/>
      <c r="F236" s="617"/>
      <c r="G236" s="617"/>
      <c r="H236" s="617"/>
      <c r="I236" s="617"/>
      <c r="J236" s="617"/>
      <c r="K236" s="1693">
        <f t="shared" si="20"/>
        <v>9498</v>
      </c>
      <c r="L236" s="466">
        <v>11800</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78233</v>
      </c>
      <c r="E238" s="617"/>
      <c r="F238" s="617"/>
      <c r="G238" s="617"/>
      <c r="H238" s="617"/>
      <c r="I238" s="617"/>
      <c r="J238" s="617"/>
      <c r="K238" s="1692">
        <f>SUM(K232:K237)</f>
        <v>78233</v>
      </c>
      <c r="L238" s="1692">
        <f>SUM(L232:L237)</f>
        <v>85600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18472</v>
      </c>
      <c r="E240" s="617"/>
      <c r="F240" s="617"/>
      <c r="G240" s="617"/>
      <c r="H240" s="617"/>
      <c r="I240" s="617"/>
      <c r="J240" s="617"/>
      <c r="K240" s="1694">
        <f>D240</f>
        <v>18472</v>
      </c>
      <c r="L240" s="481">
        <v>19700</v>
      </c>
    </row>
    <row r="241" spans="1:12" x14ac:dyDescent="0.2">
      <c r="A241" s="1526" t="s">
        <v>869</v>
      </c>
      <c r="B241" s="615">
        <v>2220</v>
      </c>
      <c r="C241" s="617"/>
      <c r="D241" s="466">
        <v>31353</v>
      </c>
      <c r="E241" s="617"/>
      <c r="F241" s="617"/>
      <c r="G241" s="617"/>
      <c r="H241" s="617"/>
      <c r="I241" s="617"/>
      <c r="J241" s="617"/>
      <c r="K241" s="1694">
        <f>D241</f>
        <v>31353</v>
      </c>
      <c r="L241" s="466">
        <v>30400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49825</v>
      </c>
      <c r="E243" s="617"/>
      <c r="F243" s="617"/>
      <c r="G243" s="617"/>
      <c r="H243" s="617"/>
      <c r="I243" s="617"/>
      <c r="J243" s="617"/>
      <c r="K243" s="1692">
        <f>SUM(K240:K242)</f>
        <v>49825</v>
      </c>
      <c r="L243" s="1692">
        <f>SUM(L240:L242)</f>
        <v>50100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15955</v>
      </c>
      <c r="E246" s="617"/>
      <c r="F246" s="617"/>
      <c r="G246" s="617"/>
      <c r="H246" s="617"/>
      <c r="I246" s="617"/>
      <c r="J246" s="617"/>
      <c r="K246" s="1694">
        <f t="shared" ref="K246:K256" si="21">D246</f>
        <v>15955</v>
      </c>
      <c r="L246" s="466">
        <v>17700</v>
      </c>
    </row>
    <row r="247" spans="1:12" x14ac:dyDescent="0.2">
      <c r="A247" s="1526" t="s">
        <v>873</v>
      </c>
      <c r="B247" s="615">
        <v>2330</v>
      </c>
      <c r="C247" s="617"/>
      <c r="D247" s="466">
        <v>9749</v>
      </c>
      <c r="E247" s="617"/>
      <c r="F247" s="617"/>
      <c r="G247" s="617"/>
      <c r="H247" s="617"/>
      <c r="I247" s="617"/>
      <c r="J247" s="617"/>
      <c r="K247" s="1694">
        <f t="shared" si="21"/>
        <v>9749</v>
      </c>
      <c r="L247" s="466">
        <v>9200</v>
      </c>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25704</v>
      </c>
      <c r="E257" s="617"/>
      <c r="F257" s="617"/>
      <c r="G257" s="617"/>
      <c r="H257" s="617"/>
      <c r="I257" s="617"/>
      <c r="J257" s="617"/>
      <c r="K257" s="1692">
        <f>SUM(K245:K256)</f>
        <v>25704</v>
      </c>
      <c r="L257" s="1692">
        <f>SUM(L245:L256)</f>
        <v>26900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62762</v>
      </c>
      <c r="E259" s="617"/>
      <c r="F259" s="617"/>
      <c r="G259" s="617"/>
      <c r="H259" s="617"/>
      <c r="I259" s="617"/>
      <c r="J259" s="617"/>
      <c r="K259" s="1694">
        <f>D259</f>
        <v>62762</v>
      </c>
      <c r="L259" s="481">
        <v>63600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62762</v>
      </c>
      <c r="E261" s="617"/>
      <c r="F261" s="617"/>
      <c r="G261" s="617"/>
      <c r="H261" s="617"/>
      <c r="I261" s="617"/>
      <c r="J261" s="617"/>
      <c r="K261" s="1692">
        <f>SUM(K259:K260)</f>
        <v>62762</v>
      </c>
      <c r="L261" s="1692">
        <f>SUM(L259:L260)</f>
        <v>63600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15399</v>
      </c>
      <c r="E263" s="617"/>
      <c r="F263" s="617"/>
      <c r="G263" s="617"/>
      <c r="H263" s="617"/>
      <c r="I263" s="617"/>
      <c r="J263" s="617"/>
      <c r="K263" s="1694">
        <f>D263</f>
        <v>15399</v>
      </c>
      <c r="L263" s="481">
        <v>16000</v>
      </c>
    </row>
    <row r="264" spans="1:14" x14ac:dyDescent="0.2">
      <c r="A264" s="1526" t="s">
        <v>483</v>
      </c>
      <c r="B264" s="686">
        <v>2520</v>
      </c>
      <c r="C264" s="617"/>
      <c r="D264" s="466">
        <v>27806</v>
      </c>
      <c r="E264" s="617"/>
      <c r="F264" s="617"/>
      <c r="G264" s="617"/>
      <c r="H264" s="617"/>
      <c r="I264" s="617"/>
      <c r="J264" s="617"/>
      <c r="K264" s="1694">
        <f t="shared" ref="K264:K269" si="22">D264</f>
        <v>27806</v>
      </c>
      <c r="L264" s="466">
        <v>27700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224348</v>
      </c>
      <c r="E266" s="617"/>
      <c r="F266" s="617"/>
      <c r="G266" s="617"/>
      <c r="H266" s="617"/>
      <c r="I266" s="617"/>
      <c r="J266" s="617"/>
      <c r="K266" s="1694">
        <f t="shared" si="22"/>
        <v>224348</v>
      </c>
      <c r="L266" s="466">
        <v>227400</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v>11809</v>
      </c>
      <c r="E268" s="617"/>
      <c r="F268" s="617"/>
      <c r="G268" s="617"/>
      <c r="H268" s="617"/>
      <c r="I268" s="617"/>
      <c r="J268" s="617"/>
      <c r="K268" s="1694">
        <f t="shared" si="22"/>
        <v>11809</v>
      </c>
      <c r="L268" s="466">
        <v>16200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279362</v>
      </c>
      <c r="E270" s="617"/>
      <c r="F270" s="617"/>
      <c r="G270" s="617"/>
      <c r="H270" s="617"/>
      <c r="I270" s="617"/>
      <c r="J270" s="617"/>
      <c r="K270" s="1692">
        <f>SUM(K263:K269)</f>
        <v>279362</v>
      </c>
      <c r="L270" s="1692">
        <f>SUM(L263:L269)</f>
        <v>287300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v>13293</v>
      </c>
      <c r="E274" s="617"/>
      <c r="F274" s="617"/>
      <c r="G274" s="617"/>
      <c r="H274" s="617"/>
      <c r="I274" s="617"/>
      <c r="J274" s="617"/>
      <c r="K274" s="1694">
        <f>D274</f>
        <v>13293</v>
      </c>
      <c r="L274" s="466">
        <v>13900</v>
      </c>
    </row>
    <row r="275" spans="1:12" x14ac:dyDescent="0.2">
      <c r="A275" s="1526" t="s">
        <v>423</v>
      </c>
      <c r="B275" s="615">
        <v>2640</v>
      </c>
      <c r="C275" s="617"/>
      <c r="D275" s="466">
        <v>13172</v>
      </c>
      <c r="E275" s="617"/>
      <c r="F275" s="617"/>
      <c r="G275" s="617"/>
      <c r="H275" s="617"/>
      <c r="I275" s="617"/>
      <c r="J275" s="617"/>
      <c r="K275" s="1694">
        <f>D275</f>
        <v>13172</v>
      </c>
      <c r="L275" s="466">
        <v>9900</v>
      </c>
    </row>
    <row r="276" spans="1:12" x14ac:dyDescent="0.2">
      <c r="A276" s="1526" t="s">
        <v>424</v>
      </c>
      <c r="B276" s="615">
        <v>2660</v>
      </c>
      <c r="C276" s="617"/>
      <c r="D276" s="466">
        <v>66366</v>
      </c>
      <c r="E276" s="617"/>
      <c r="F276" s="617"/>
      <c r="G276" s="617"/>
      <c r="H276" s="617"/>
      <c r="I276" s="617"/>
      <c r="J276" s="617"/>
      <c r="K276" s="1694">
        <f>D276</f>
        <v>66366</v>
      </c>
      <c r="L276" s="466">
        <v>69100</v>
      </c>
    </row>
    <row r="277" spans="1:12" ht="12.75" customHeight="1" thickBot="1" x14ac:dyDescent="0.25">
      <c r="A277" s="1713" t="s">
        <v>37</v>
      </c>
      <c r="B277" s="1691" t="s">
        <v>36</v>
      </c>
      <c r="C277" s="617"/>
      <c r="D277" s="1692">
        <f>SUM(D272:D276)</f>
        <v>92831</v>
      </c>
      <c r="E277" s="617"/>
      <c r="F277" s="617"/>
      <c r="G277" s="617"/>
      <c r="H277" s="617"/>
      <c r="I277" s="617"/>
      <c r="J277" s="617"/>
      <c r="K277" s="1692">
        <f>SUM(K272:K276)</f>
        <v>92831</v>
      </c>
      <c r="L277" s="1692">
        <f>SUM(L272:L276)</f>
        <v>92900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588717</v>
      </c>
      <c r="E279" s="617"/>
      <c r="F279" s="617"/>
      <c r="G279" s="617"/>
      <c r="H279" s="617"/>
      <c r="I279" s="617"/>
      <c r="J279" s="617"/>
      <c r="K279" s="1699">
        <f>SUM(K238,K243,K257,K261,K270,K277,K278)</f>
        <v>588717</v>
      </c>
      <c r="L279" s="1699">
        <f>SUM(L238,L243,L257,L261,L270,L277,L278)</f>
        <v>606400</v>
      </c>
    </row>
    <row r="280" spans="1:12" ht="15.75" customHeight="1" thickTop="1" thickBot="1" x14ac:dyDescent="0.25">
      <c r="A280" s="1646" t="s">
        <v>930</v>
      </c>
      <c r="B280" s="1635">
        <v>3000</v>
      </c>
      <c r="C280" s="617"/>
      <c r="D280" s="576">
        <v>468</v>
      </c>
      <c r="E280" s="617"/>
      <c r="F280" s="617"/>
      <c r="G280" s="617"/>
      <c r="H280" s="617"/>
      <c r="I280" s="617"/>
      <c r="J280" s="617"/>
      <c r="K280" s="1701">
        <f>D280</f>
        <v>468</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v>76781</v>
      </c>
      <c r="E283" s="617"/>
      <c r="F283" s="617"/>
      <c r="G283" s="617"/>
      <c r="H283" s="617"/>
      <c r="I283" s="617"/>
      <c r="J283" s="617"/>
      <c r="K283" s="1693">
        <f>D283</f>
        <v>76781</v>
      </c>
      <c r="L283" s="466">
        <v>76800</v>
      </c>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76781</v>
      </c>
      <c r="E285" s="617"/>
      <c r="F285" s="617"/>
      <c r="G285" s="617"/>
      <c r="H285" s="617"/>
      <c r="I285" s="617"/>
      <c r="J285" s="617"/>
      <c r="K285" s="1692">
        <f>SUM(K282:K284)</f>
        <v>76781</v>
      </c>
      <c r="L285" s="1692">
        <f>SUM(L282:L284)</f>
        <v>76800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938073</v>
      </c>
      <c r="E295" s="617"/>
      <c r="F295" s="617"/>
      <c r="G295" s="617"/>
      <c r="H295" s="1692">
        <f>H293</f>
        <v>0</v>
      </c>
      <c r="I295" s="617"/>
      <c r="J295" s="617"/>
      <c r="K295" s="1692">
        <f>SUM(K229,K279,K280,K285,K293,K294)</f>
        <v>938073</v>
      </c>
      <c r="L295" s="1692">
        <f>SUM(L229,L279,L280,L285,L293,L294)</f>
        <v>956500</v>
      </c>
    </row>
    <row r="296" spans="1:14" ht="13.5" thickTop="1" x14ac:dyDescent="0.2">
      <c r="A296" s="2174" t="s">
        <v>1053</v>
      </c>
      <c r="B296" s="2175"/>
      <c r="C296" s="617"/>
      <c r="D296" s="619"/>
      <c r="E296" s="617"/>
      <c r="F296" s="617"/>
      <c r="G296" s="617"/>
      <c r="H296" s="688"/>
      <c r="I296" s="617"/>
      <c r="J296" s="617"/>
      <c r="K296" s="1706">
        <f>'Revenues 9-14'!G275-'Expenditures 15-22'!K295</f>
        <v>59366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134268</v>
      </c>
      <c r="F301" s="466"/>
      <c r="G301" s="466">
        <v>5126219</v>
      </c>
      <c r="H301" s="466"/>
      <c r="I301" s="467"/>
      <c r="J301" s="467"/>
      <c r="K301" s="1693">
        <f>SUM(C301:J301)</f>
        <v>5260487</v>
      </c>
      <c r="L301" s="467">
        <v>5262700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134268</v>
      </c>
      <c r="F303" s="1699">
        <f t="shared" si="23"/>
        <v>0</v>
      </c>
      <c r="G303" s="1699">
        <f t="shared" si="23"/>
        <v>5126219</v>
      </c>
      <c r="H303" s="1699">
        <f t="shared" si="23"/>
        <v>0</v>
      </c>
      <c r="I303" s="1699">
        <f t="shared" si="23"/>
        <v>0</v>
      </c>
      <c r="J303" s="1699">
        <f t="shared" si="23"/>
        <v>0</v>
      </c>
      <c r="K303" s="1699">
        <f t="shared" si="23"/>
        <v>5260487</v>
      </c>
      <c r="L303" s="1699">
        <f t="shared" si="23"/>
        <v>5262700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134268</v>
      </c>
      <c r="F312" s="1692">
        <f>SUM(F303)</f>
        <v>0</v>
      </c>
      <c r="G312" s="1692">
        <f>SUM(G303)</f>
        <v>5126219</v>
      </c>
      <c r="H312" s="1692">
        <f>SUM(H303,H310)</f>
        <v>0</v>
      </c>
      <c r="I312" s="1692">
        <f>SUM(I303)</f>
        <v>0</v>
      </c>
      <c r="J312" s="1692">
        <f>SUM(J303)</f>
        <v>0</v>
      </c>
      <c r="K312" s="1692">
        <f>SUM(K303,K310,K311)</f>
        <v>5260487</v>
      </c>
      <c r="L312" s="1692">
        <f>SUM(L303,L310,L311)</f>
        <v>5262700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-4759057</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7" t="s">
        <v>1053</v>
      </c>
      <c r="B343" s="2188"/>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4" t="s">
        <v>1053</v>
      </c>
      <c r="B368" s="2175"/>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schemas.microsoft.com/sharepoint/v3"/>
    <ds:schemaRef ds:uri="http://www.w3.org/XML/1998/namespace"/>
    <ds:schemaRef ds:uri="http://schemas.microsoft.com/office/2006/documentManagement/types"/>
    <ds:schemaRef ds:uri="http://schemas.microsoft.com/office/infopath/2007/PartnerControls"/>
    <ds:schemaRef ds:uri="6ce3111e-7420-4802-b50a-75d4e9a0b980"/>
    <ds:schemaRef ds:uri="d21dc803-237d-4c68-8692-8d731fd29118"/>
    <ds:schemaRef ds:uri="http://purl.org/dc/terms/"/>
    <ds:schemaRef ds:uri="http://schemas.openxmlformats.org/package/2006/metadata/core-properties"/>
    <ds:schemaRef ds:uri="http://purl.org/dc/elements/1.1/"/>
    <ds:schemaRef ds:uri="4d435f69-8686-490b-bd6d-b153bf22ab50"/>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2018-10-16T15:14:01Z</cp:lastPrinted>
  <dcterms:created xsi:type="dcterms:W3CDTF">2003-10-29T19:06:34Z</dcterms:created>
  <dcterms:modified xsi:type="dcterms:W3CDTF">2019-01-17T15:08:17Z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