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7" i="181" l="1"/>
  <c r="J32" i="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G17" i="181" l="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D12" i="171" l="1"/>
  <c r="B51" i="106"/>
  <c r="B49" i="106"/>
  <c r="B48" i="106"/>
  <c r="B47" i="106"/>
  <c r="B46" i="106"/>
  <c r="B45" i="106"/>
  <c r="B44" i="106"/>
  <c r="B43" i="106"/>
  <c r="B42" i="106"/>
  <c r="B41" i="106"/>
  <c r="B50" i="106"/>
  <c r="B7764" i="106" l="1"/>
  <c r="D7764" i="106" s="1"/>
  <c r="J85" i="28"/>
  <c r="B7758" i="106" s="1"/>
  <c r="D7758" i="106" s="1"/>
  <c r="J88" i="28"/>
  <c r="K12" i="12"/>
  <c r="B7719" i="106" s="1"/>
  <c r="D7719" i="106" s="1"/>
  <c r="K23" i="12"/>
  <c r="J12" i="12"/>
  <c r="B7718" i="106" s="1"/>
  <c r="D7718" i="106" s="1"/>
  <c r="J21" i="12"/>
  <c r="J23" i="12"/>
  <c r="B7729" i="106"/>
  <c r="D7729" i="106" s="1"/>
  <c r="B7734" i="106"/>
  <c r="B7726" i="106"/>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B5304" i="106" s="1"/>
  <c r="D5304" i="106" s="1"/>
  <c r="C259" i="5"/>
  <c r="B6833" i="106" s="1"/>
  <c r="D6833" i="106" s="1"/>
  <c r="I7" i="145"/>
  <c r="I6" i="145"/>
  <c r="D78"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B2806" i="106"/>
  <c r="D2806" i="106" s="1"/>
  <c r="D2809" i="106"/>
  <c r="D2814" i="106"/>
  <c r="D2815" i="106"/>
  <c r="D2816" i="106"/>
  <c r="B2817" i="106"/>
  <c r="D2817" i="106" s="1"/>
  <c r="D2833" i="106"/>
  <c r="D2834" i="106"/>
  <c r="D2835" i="106"/>
  <c r="D2838" i="106"/>
  <c r="B2840" i="106"/>
  <c r="D2840"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D5314" i="106"/>
  <c r="D5316"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D5497" i="106"/>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D5707" i="106"/>
  <c r="D5709"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D5857" i="106"/>
  <c r="D5859"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4" i="106"/>
  <c r="D6634" i="106" s="1"/>
  <c r="B6635" i="106"/>
  <c r="D6635" i="106" s="1"/>
  <c r="B6636" i="106"/>
  <c r="D6636" i="106" s="1"/>
  <c r="B6637" i="106"/>
  <c r="D6637" i="106" s="1"/>
  <c r="B6638" i="106"/>
  <c r="D6638" i="106" s="1"/>
  <c r="B6639" i="106"/>
  <c r="D6639" i="106" s="1"/>
  <c r="B6642" i="106"/>
  <c r="D6642" i="106" s="1"/>
  <c r="B6643" i="106"/>
  <c r="D6643" i="106" s="1"/>
  <c r="B6644" i="106"/>
  <c r="D6644" i="106" s="1"/>
  <c r="B6645" i="106"/>
  <c r="D6645" i="106" s="1"/>
  <c r="B6646" i="106"/>
  <c r="D6646" i="106" s="1"/>
  <c r="B6647" i="106"/>
  <c r="D6647" i="106" s="1"/>
  <c r="B6650" i="106"/>
  <c r="D6650" i="106" s="1"/>
  <c r="B6651" i="106"/>
  <c r="D6651" i="106" s="1"/>
  <c r="B6652" i="106"/>
  <c r="D6652" i="106" s="1"/>
  <c r="B6653" i="106"/>
  <c r="D6653" i="106" s="1"/>
  <c r="B6654" i="106"/>
  <c r="D6654" i="106" s="1"/>
  <c r="B6655" i="106"/>
  <c r="D6655" i="106" s="1"/>
  <c r="B6658" i="106"/>
  <c r="D6658" i="106" s="1"/>
  <c r="B6659" i="106"/>
  <c r="D6659" i="106" s="1"/>
  <c r="B6660" i="106"/>
  <c r="D6660" i="106" s="1"/>
  <c r="B6661" i="106"/>
  <c r="D6661" i="106" s="1"/>
  <c r="B6662" i="106"/>
  <c r="D6662" i="106" s="1"/>
  <c r="B6663" i="106"/>
  <c r="D6663" i="106" s="1"/>
  <c r="B6666" i="106"/>
  <c r="D6666" i="106" s="1"/>
  <c r="B6667" i="106"/>
  <c r="D6667" i="106" s="1"/>
  <c r="B6668" i="106"/>
  <c r="D6668" i="106" s="1"/>
  <c r="B6669" i="106"/>
  <c r="D6669" i="106" s="1"/>
  <c r="B6670" i="106"/>
  <c r="D6670" i="106" s="1"/>
  <c r="B6671" i="106"/>
  <c r="D6671" i="106" s="1"/>
  <c r="B6674" i="106"/>
  <c r="D6674" i="106" s="1"/>
  <c r="B6675" i="106"/>
  <c r="D6675" i="106" s="1"/>
  <c r="B6676" i="106"/>
  <c r="D6676" i="106" s="1"/>
  <c r="B6677" i="106"/>
  <c r="D6677" i="106" s="1"/>
  <c r="B6678" i="106"/>
  <c r="D6678" i="106" s="1"/>
  <c r="B6679" i="106"/>
  <c r="D6679" i="106" s="1"/>
  <c r="B6682" i="106"/>
  <c r="D6682" i="106" s="1"/>
  <c r="B6683" i="106"/>
  <c r="D6683" i="106" s="1"/>
  <c r="B6684" i="106"/>
  <c r="D6684" i="106" s="1"/>
  <c r="B6685" i="106"/>
  <c r="D6685" i="106" s="1"/>
  <c r="B6686" i="106"/>
  <c r="D6686" i="106" s="1"/>
  <c r="B6687" i="106"/>
  <c r="D6687"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4" i="106"/>
  <c r="D6704" i="106" s="1"/>
  <c r="B6705" i="106"/>
  <c r="D6705" i="106" s="1"/>
  <c r="B6706" i="106"/>
  <c r="D6706" i="106" s="1"/>
  <c r="B6707" i="106"/>
  <c r="D6707" i="106" s="1"/>
  <c r="B6708" i="106"/>
  <c r="D6708" i="106" s="1"/>
  <c r="B6709" i="106"/>
  <c r="D6709" i="106" s="1"/>
  <c r="B6712" i="106"/>
  <c r="D6712" i="106" s="1"/>
  <c r="B6713" i="106"/>
  <c r="D6713" i="106" s="1"/>
  <c r="B6714" i="106"/>
  <c r="D6714" i="106" s="1"/>
  <c r="B6715" i="106"/>
  <c r="D6715" i="106" s="1"/>
  <c r="B6716" i="106"/>
  <c r="D6716" i="106" s="1"/>
  <c r="B6717" i="106"/>
  <c r="D6717" i="106" s="1"/>
  <c r="B6720" i="106"/>
  <c r="D6720" i="106" s="1"/>
  <c r="B6721" i="106"/>
  <c r="D6721" i="106" s="1"/>
  <c r="B6722" i="106"/>
  <c r="D6722" i="106" s="1"/>
  <c r="B6723" i="106"/>
  <c r="D6723" i="106" s="1"/>
  <c r="B6724" i="106"/>
  <c r="D6724" i="106" s="1"/>
  <c r="B6725" i="106"/>
  <c r="D6725" i="106" s="1"/>
  <c r="B6729" i="106"/>
  <c r="D6729" i="106" s="1"/>
  <c r="B6730" i="106"/>
  <c r="D6730" i="106" s="1"/>
  <c r="B6731" i="106"/>
  <c r="D6731" i="106" s="1"/>
  <c r="B6732" i="106"/>
  <c r="D6732" i="106" s="1"/>
  <c r="B6733" i="106"/>
  <c r="D6733" i="106" s="1"/>
  <c r="B6734" i="106"/>
  <c r="D6734" i="106" s="1"/>
  <c r="B6737" i="106"/>
  <c r="D6737" i="106" s="1"/>
  <c r="B6738" i="106"/>
  <c r="D6738" i="106" s="1"/>
  <c r="B6739" i="106"/>
  <c r="D6739" i="106" s="1"/>
  <c r="B6740" i="106"/>
  <c r="D6740" i="106" s="1"/>
  <c r="B6741" i="106"/>
  <c r="D6741" i="106" s="1"/>
  <c r="B6742" i="106"/>
  <c r="D6742" i="106" s="1"/>
  <c r="B6745" i="106"/>
  <c r="D6745" i="106" s="1"/>
  <c r="B6746" i="106"/>
  <c r="D6746" i="106" s="1"/>
  <c r="B6747" i="106"/>
  <c r="D6747" i="106" s="1"/>
  <c r="B6748" i="106"/>
  <c r="D6748" i="106" s="1"/>
  <c r="B6749" i="106"/>
  <c r="D6749" i="106" s="1"/>
  <c r="B6750" i="106"/>
  <c r="D6750" i="106" s="1"/>
  <c r="B6753" i="106"/>
  <c r="D6753" i="106" s="1"/>
  <c r="B6754" i="106"/>
  <c r="D6754" i="106" s="1"/>
  <c r="B6755" i="106"/>
  <c r="D6755" i="106" s="1"/>
  <c r="B6756" i="106"/>
  <c r="D6756" i="106" s="1"/>
  <c r="B6757" i="106"/>
  <c r="D6757" i="106" s="1"/>
  <c r="B6758" i="106"/>
  <c r="D6758" i="106" s="1"/>
  <c r="B6761" i="106"/>
  <c r="D6761" i="106" s="1"/>
  <c r="B6762" i="106"/>
  <c r="D6762" i="106" s="1"/>
  <c r="B6763" i="106"/>
  <c r="D6763" i="106" s="1"/>
  <c r="B6764" i="106"/>
  <c r="D6764" i="106" s="1"/>
  <c r="B6765" i="106"/>
  <c r="D6765" i="106" s="1"/>
  <c r="B6766" i="106"/>
  <c r="D6766" i="106" s="1"/>
  <c r="B6769" i="106"/>
  <c r="D6769" i="106" s="1"/>
  <c r="B6770" i="106"/>
  <c r="D6770" i="106" s="1"/>
  <c r="B6771" i="106"/>
  <c r="D6771" i="106" s="1"/>
  <c r="B6772" i="106"/>
  <c r="D6772" i="106" s="1"/>
  <c r="B6773" i="106"/>
  <c r="D6773" i="106" s="1"/>
  <c r="B6774" i="106"/>
  <c r="D6774" i="106" s="1"/>
  <c r="B6777" i="106"/>
  <c r="D6777" i="106" s="1"/>
  <c r="B6778" i="106"/>
  <c r="D6778" i="106" s="1"/>
  <c r="B6779" i="106"/>
  <c r="D6779" i="106" s="1"/>
  <c r="B6780" i="106"/>
  <c r="D6780" i="106" s="1"/>
  <c r="B6781" i="106"/>
  <c r="D6781" i="106" s="1"/>
  <c r="B6782" i="106"/>
  <c r="D6782" i="106" s="1"/>
  <c r="B6785" i="106"/>
  <c r="D6785" i="106" s="1"/>
  <c r="B6786" i="106"/>
  <c r="D6786" i="106" s="1"/>
  <c r="B6787" i="106"/>
  <c r="D6787" i="106" s="1"/>
  <c r="B6788" i="106"/>
  <c r="D6788" i="106" s="1"/>
  <c r="B6789" i="106"/>
  <c r="D6789" i="106" s="1"/>
  <c r="B6790" i="106"/>
  <c r="D6790" i="106" s="1"/>
  <c r="B6793" i="106"/>
  <c r="D6793" i="106" s="1"/>
  <c r="B6794" i="106"/>
  <c r="D6794" i="106" s="1"/>
  <c r="B6795" i="106"/>
  <c r="D6795" i="106" s="1"/>
  <c r="B6796" i="106"/>
  <c r="D6796" i="106" s="1"/>
  <c r="B6797" i="106"/>
  <c r="D6797" i="106" s="1"/>
  <c r="B6798" i="106"/>
  <c r="D6798" i="106" s="1"/>
  <c r="B6801" i="106"/>
  <c r="D6801" i="106" s="1"/>
  <c r="B6802" i="106"/>
  <c r="D6802" i="106" s="1"/>
  <c r="B6803" i="106"/>
  <c r="D6803" i="106" s="1"/>
  <c r="B6804" i="106"/>
  <c r="D6804" i="106" s="1"/>
  <c r="B6805" i="106"/>
  <c r="D6805" i="106" s="1"/>
  <c r="B6806" i="106"/>
  <c r="D6806" i="106" s="1"/>
  <c r="B6809" i="106"/>
  <c r="D6809" i="106" s="1"/>
  <c r="B6810" i="106"/>
  <c r="D6810" i="106" s="1"/>
  <c r="B6811" i="106"/>
  <c r="D6811" i="106" s="1"/>
  <c r="B6812" i="106"/>
  <c r="D6812" i="106" s="1"/>
  <c r="B6813" i="106"/>
  <c r="D6813" i="106" s="1"/>
  <c r="B6814" i="106"/>
  <c r="D6814" i="106" s="1"/>
  <c r="B6817" i="106"/>
  <c r="D6817" i="106" s="1"/>
  <c r="B6818" i="106"/>
  <c r="D6818" i="106" s="1"/>
  <c r="B6819" i="106"/>
  <c r="D6819" i="106" s="1"/>
  <c r="B6820" i="106"/>
  <c r="D6820" i="106" s="1"/>
  <c r="B6821" i="106"/>
  <c r="D6821" i="106" s="1"/>
  <c r="B6822" i="106"/>
  <c r="D6822" i="106" s="1"/>
  <c r="B6825" i="106"/>
  <c r="D6825" i="106" s="1"/>
  <c r="B6826" i="106"/>
  <c r="D6826" i="106" s="1"/>
  <c r="B6827" i="106"/>
  <c r="D6827" i="106" s="1"/>
  <c r="B6828" i="106"/>
  <c r="D6828" i="106" s="1"/>
  <c r="B6829" i="106"/>
  <c r="D6829" i="106" s="1"/>
  <c r="B6830" i="106"/>
  <c r="D6830" i="106" s="1"/>
  <c r="B7043" i="106"/>
  <c r="D7043" i="106" s="1"/>
  <c r="B7044" i="106"/>
  <c r="D7044" i="106" s="1"/>
  <c r="B7045" i="106"/>
  <c r="D7045" i="106" s="1"/>
  <c r="B7046" i="106"/>
  <c r="D7046"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D139" i="34"/>
  <c r="D140" i="34"/>
  <c r="D141" i="34"/>
  <c r="D142" i="34"/>
  <c r="D143" i="34"/>
  <c r="F146"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B7727" i="106"/>
  <c r="D7727" i="106" s="1"/>
  <c r="C49" i="8"/>
  <c r="B1744" i="106"/>
  <c r="D1744" i="106" s="1"/>
  <c r="B1745" i="106"/>
  <c r="D1745" i="106" s="1"/>
  <c r="B6" i="7"/>
  <c r="D6" i="7" s="1"/>
  <c r="B1762" i="106" s="1"/>
  <c r="D1762" i="106" s="1"/>
  <c r="B1747" i="106"/>
  <c r="D1747" i="106" s="1"/>
  <c r="B1748" i="106"/>
  <c r="D1748" i="106" s="1"/>
  <c r="B9" i="7"/>
  <c r="B1751" i="106" s="1"/>
  <c r="D1751" i="106" s="1"/>
  <c r="B10" i="7"/>
  <c r="B1749" i="106" s="1"/>
  <c r="D1749" i="106" s="1"/>
  <c r="B1752" i="106"/>
  <c r="D1752" i="106" s="1"/>
  <c r="B12" i="7"/>
  <c r="B1753" i="106" s="1"/>
  <c r="D1753" i="106" s="1"/>
  <c r="B13" i="7"/>
  <c r="B3725" i="106" s="1"/>
  <c r="D3725" i="106" s="1"/>
  <c r="B14" i="7"/>
  <c r="B1754" i="106" s="1"/>
  <c r="D1754" i="106" s="1"/>
  <c r="B15" i="7"/>
  <c r="B1756" i="106" s="1"/>
  <c r="D1756" i="106" s="1"/>
  <c r="B3446" i="106"/>
  <c r="D3446" i="106" s="1"/>
  <c r="B17" i="7"/>
  <c r="B4102" i="106" s="1"/>
  <c r="D4102" i="106" s="1"/>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B2633" i="106"/>
  <c r="D2633" i="106" s="1"/>
  <c r="D7" i="118"/>
  <c r="D8" i="118"/>
  <c r="D9" i="118"/>
  <c r="H14" i="118"/>
  <c r="H19" i="118"/>
  <c r="H24" i="118"/>
  <c r="L22" i="37"/>
  <c r="B7027" i="106" l="1"/>
  <c r="D7027" i="106" s="1"/>
  <c r="B1311" i="106"/>
  <c r="D1311" i="106" s="1"/>
  <c r="K164" i="29"/>
  <c r="B1325" i="106" s="1"/>
  <c r="D1325" i="106" s="1"/>
  <c r="L243" i="29"/>
  <c r="B6633" i="106"/>
  <c r="D6633" i="106" s="1"/>
  <c r="B6800" i="106"/>
  <c r="D6800" i="106" s="1"/>
  <c r="B797" i="106"/>
  <c r="D797" i="106" s="1"/>
  <c r="B6860" i="106"/>
  <c r="D6860" i="106" s="1"/>
  <c r="B1031" i="106"/>
  <c r="D1031" i="106" s="1"/>
  <c r="B7036" i="106"/>
  <c r="D7036" i="106" s="1"/>
  <c r="B835" i="106"/>
  <c r="D835" i="106" s="1"/>
  <c r="G65" i="29"/>
  <c r="B977" i="106" s="1"/>
  <c r="D977" i="106" s="1"/>
  <c r="B970" i="106"/>
  <c r="D970" i="106" s="1"/>
  <c r="K191" i="29"/>
  <c r="B3010" i="106" s="1"/>
  <c r="D3010" i="106" s="1"/>
  <c r="B2992" i="106"/>
  <c r="D2992" i="106" s="1"/>
  <c r="L57" i="29"/>
  <c r="E47" i="29"/>
  <c r="B844" i="106"/>
  <c r="D844" i="106" s="1"/>
  <c r="B5856" i="106"/>
  <c r="D5856" i="106" s="1"/>
  <c r="B1360" i="106"/>
  <c r="D1360" i="106" s="1"/>
  <c r="B6991" i="106"/>
  <c r="D6991" i="106" s="1"/>
  <c r="K90" i="29"/>
  <c r="B6992" i="106" s="1"/>
  <c r="D6992" i="106" s="1"/>
  <c r="G42" i="29"/>
  <c r="B959" i="106" s="1"/>
  <c r="D959" i="106" s="1"/>
  <c r="B953" i="106"/>
  <c r="D953" i="106" s="1"/>
  <c r="B6892" i="106"/>
  <c r="D6892" i="106" s="1"/>
  <c r="K28" i="29"/>
  <c r="B7267" i="106"/>
  <c r="K247" i="29"/>
  <c r="B2726" i="106" s="1"/>
  <c r="D2726" i="106" s="1"/>
  <c r="B2725" i="106"/>
  <c r="D2725" i="106" s="1"/>
  <c r="B859" i="106"/>
  <c r="D859" i="106" s="1"/>
  <c r="B7261" i="106"/>
  <c r="B6993" i="106"/>
  <c r="D6993" i="106" s="1"/>
  <c r="K91" i="29"/>
  <c r="B6994" i="106" s="1"/>
  <c r="D6994" i="106" s="1"/>
  <c r="B1012" i="106"/>
  <c r="D1012" i="106" s="1"/>
  <c r="K101" i="29"/>
  <c r="B7015" i="106" s="1"/>
  <c r="D7015" i="106" s="1"/>
  <c r="B2947" i="106"/>
  <c r="D2947" i="106" s="1"/>
  <c r="B1315" i="106"/>
  <c r="D1315" i="106" s="1"/>
  <c r="K170" i="29"/>
  <c r="I72" i="29"/>
  <c r="B6973" i="106" s="1"/>
  <c r="D6973" i="106" s="1"/>
  <c r="B6963" i="106"/>
  <c r="D6963" i="106" s="1"/>
  <c r="L33" i="29"/>
  <c r="B7265" i="106"/>
  <c r="B6861" i="106"/>
  <c r="D6861" i="106" s="1"/>
  <c r="B6641" i="106"/>
  <c r="D6641" i="106" s="1"/>
  <c r="B1228" i="106"/>
  <c r="D1228" i="106" s="1"/>
  <c r="B3375" i="106"/>
  <c r="D3375" i="106" s="1"/>
  <c r="D261" i="29"/>
  <c r="B1427" i="106" s="1"/>
  <c r="D1427" i="106" s="1"/>
  <c r="K259" i="29"/>
  <c r="B1489" i="106" s="1"/>
  <c r="D1489" i="106" s="1"/>
  <c r="B1425" i="106"/>
  <c r="D1425" i="106" s="1"/>
  <c r="L238" i="29"/>
  <c r="B6980" i="106"/>
  <c r="D6980" i="106" s="1"/>
  <c r="B3648" i="106"/>
  <c r="D3648" i="106" s="1"/>
  <c r="L92" i="29"/>
  <c r="B1528" i="106"/>
  <c r="D1528" i="106" s="1"/>
  <c r="B897" i="106"/>
  <c r="D897" i="106" s="1"/>
  <c r="L127" i="29"/>
  <c r="L129" i="29" s="1"/>
  <c r="H194" i="29"/>
  <c r="B2995" i="106"/>
  <c r="D2995" i="106" s="1"/>
  <c r="B1313" i="106"/>
  <c r="D1313" i="106" s="1"/>
  <c r="K167" i="29"/>
  <c r="B1327" i="106" s="1"/>
  <c r="D1327" i="106" s="1"/>
  <c r="K21" i="29"/>
  <c r="B6879" i="106" s="1"/>
  <c r="D6879" i="106" s="1"/>
  <c r="B6878" i="106"/>
  <c r="D6878" i="106" s="1"/>
  <c r="B1020" i="106"/>
  <c r="D1020" i="106" s="1"/>
  <c r="B954" i="106"/>
  <c r="D954" i="106" s="1"/>
  <c r="B1412" i="106"/>
  <c r="D1412" i="106" s="1"/>
  <c r="K233" i="29"/>
  <c r="B1476" i="106" s="1"/>
  <c r="D1476" i="106" s="1"/>
  <c r="B1244" i="106"/>
  <c r="D1244" i="106" s="1"/>
  <c r="K25" i="29"/>
  <c r="B6887" i="106" s="1"/>
  <c r="D6887" i="106" s="1"/>
  <c r="B6886" i="106"/>
  <c r="D6886" i="106" s="1"/>
  <c r="B1415" i="106"/>
  <c r="D1415" i="106" s="1"/>
  <c r="K236" i="29"/>
  <c r="B1479" i="106" s="1"/>
  <c r="D1479" i="106" s="1"/>
  <c r="B6743" i="106"/>
  <c r="D6743" i="106" s="1"/>
  <c r="F150" i="34"/>
  <c r="B855" i="106"/>
  <c r="D855" i="106" s="1"/>
  <c r="B7692" i="106"/>
  <c r="D7692" i="106" s="1"/>
  <c r="L229" i="29"/>
  <c r="B1011" i="106"/>
  <c r="D1011" i="106" s="1"/>
  <c r="H42" i="29"/>
  <c r="B1017" i="106" s="1"/>
  <c r="D1017" i="106" s="1"/>
  <c r="K228" i="29"/>
  <c r="B3392" i="106" s="1"/>
  <c r="D3392" i="106" s="1"/>
  <c r="B3389" i="106"/>
  <c r="D3389" i="106" s="1"/>
  <c r="B1519" i="106"/>
  <c r="D1519" i="106" s="1"/>
  <c r="C303" i="29"/>
  <c r="K301" i="29"/>
  <c r="B1555" i="106" s="1"/>
  <c r="D1555" i="106" s="1"/>
  <c r="K80" i="29"/>
  <c r="B2975" i="106" s="1"/>
  <c r="D2975" i="106" s="1"/>
  <c r="B2951" i="106"/>
  <c r="D2951" i="106" s="1"/>
  <c r="B6849" i="106"/>
  <c r="D6849" i="106" s="1"/>
  <c r="K98" i="29"/>
  <c r="B7007" i="106" s="1"/>
  <c r="D7007" i="106" s="1"/>
  <c r="B7006" i="106"/>
  <c r="D7006" i="106" s="1"/>
  <c r="B7128" i="106"/>
  <c r="D7128" i="106" s="1"/>
  <c r="B2959" i="106"/>
  <c r="D2959" i="106" s="1"/>
  <c r="B4358" i="106"/>
  <c r="D4358" i="106" s="1"/>
  <c r="F172" i="34"/>
  <c r="B1237" i="106"/>
  <c r="D1237" i="106" s="1"/>
  <c r="B6960" i="106"/>
  <c r="D6960" i="106" s="1"/>
  <c r="B6938" i="106"/>
  <c r="D6938" i="106" s="1"/>
  <c r="B832" i="106"/>
  <c r="D832" i="106" s="1"/>
  <c r="B944" i="106"/>
  <c r="D944" i="106" s="1"/>
  <c r="B974" i="106"/>
  <c r="D974" i="106" s="1"/>
  <c r="B4075" i="106"/>
  <c r="D4075" i="106" s="1"/>
  <c r="B961" i="106"/>
  <c r="D961" i="106" s="1"/>
  <c r="B7154" i="106"/>
  <c r="D7154" i="106" s="1"/>
  <c r="K323" i="29"/>
  <c r="B7162" i="106" s="1"/>
  <c r="D7162" i="106" s="1"/>
  <c r="B1262" i="106"/>
  <c r="D1262" i="106" s="1"/>
  <c r="B6956" i="106"/>
  <c r="D6956" i="106" s="1"/>
  <c r="B6918" i="106"/>
  <c r="D6918" i="106" s="1"/>
  <c r="I47" i="29"/>
  <c r="B6924" i="106" s="1"/>
  <c r="D6924" i="106" s="1"/>
  <c r="B3632" i="106"/>
  <c r="D3632" i="106" s="1"/>
  <c r="B7164" i="106"/>
  <c r="D7164" i="106" s="1"/>
  <c r="B5858" i="106"/>
  <c r="D5858" i="106" s="1"/>
  <c r="B828" i="106"/>
  <c r="D828" i="106" s="1"/>
  <c r="B3057" i="106"/>
  <c r="D3057" i="106" s="1"/>
  <c r="B4076" i="106"/>
  <c r="D4076" i="106" s="1"/>
  <c r="B747" i="106"/>
  <c r="D747" i="106" s="1"/>
  <c r="K68" i="29"/>
  <c r="E34" i="108" s="1"/>
  <c r="B7062" i="106"/>
  <c r="D7062" i="106" s="1"/>
  <c r="K307" i="29"/>
  <c r="B7108" i="106"/>
  <c r="D7108" i="106" s="1"/>
  <c r="B1032" i="106"/>
  <c r="D1032" i="106" s="1"/>
  <c r="B7184" i="106"/>
  <c r="D7184" i="106" s="1"/>
  <c r="B914" i="106"/>
  <c r="D914" i="106" s="1"/>
  <c r="B986" i="106"/>
  <c r="D986" i="106" s="1"/>
  <c r="B6847" i="106"/>
  <c r="D6847" i="106" s="1"/>
  <c r="K192" i="29"/>
  <c r="B3011" i="106" s="1"/>
  <c r="D3011" i="106" s="1"/>
  <c r="B2993" i="106"/>
  <c r="D2993" i="106" s="1"/>
  <c r="B6939" i="106"/>
  <c r="D6939" i="106" s="1"/>
  <c r="B1243" i="106"/>
  <c r="D1243" i="106" s="1"/>
  <c r="F127" i="29"/>
  <c r="F129" i="29" s="1"/>
  <c r="K51" i="29"/>
  <c r="E13" i="145" s="1"/>
  <c r="G13" i="145" s="1"/>
  <c r="B2718" i="106"/>
  <c r="D2718" i="106" s="1"/>
  <c r="B7703" i="106"/>
  <c r="D7703" i="106" s="1"/>
  <c r="K18" i="29"/>
  <c r="B1100" i="106" s="1"/>
  <c r="D1100" i="106" s="1"/>
  <c r="B712" i="106"/>
  <c r="D712" i="106" s="1"/>
  <c r="B923" i="106"/>
  <c r="D923" i="106" s="1"/>
  <c r="B1413" i="106"/>
  <c r="D1413" i="106" s="1"/>
  <c r="K234" i="29"/>
  <c r="B1477" i="106" s="1"/>
  <c r="D1477" i="106" s="1"/>
  <c r="B812" i="106"/>
  <c r="D812" i="106" s="1"/>
  <c r="B3055" i="106"/>
  <c r="D3055" i="106" s="1"/>
  <c r="K10" i="29"/>
  <c r="B3062" i="106" s="1"/>
  <c r="D3062" i="106" s="1"/>
  <c r="B867" i="106"/>
  <c r="D867" i="106" s="1"/>
  <c r="K38" i="29"/>
  <c r="B1111" i="106" s="1"/>
  <c r="D1111" i="106" s="1"/>
  <c r="B723" i="106"/>
  <c r="D723" i="106" s="1"/>
  <c r="K111" i="29"/>
  <c r="B7017" i="106" s="1"/>
  <c r="D7017" i="106" s="1"/>
  <c r="B7016" i="106"/>
  <c r="D7016" i="106" s="1"/>
  <c r="K190" i="29"/>
  <c r="B3009" i="106" s="1"/>
  <c r="D3009" i="106" s="1"/>
  <c r="B2991" i="106"/>
  <c r="D2991" i="106" s="1"/>
  <c r="B1236" i="106"/>
  <c r="D1236" i="106" s="1"/>
  <c r="B958" i="106"/>
  <c r="D958" i="106" s="1"/>
  <c r="K12" i="29"/>
  <c r="B1104" i="106" s="1"/>
  <c r="D1104" i="106" s="1"/>
  <c r="B716" i="106"/>
  <c r="D716" i="106" s="1"/>
  <c r="B6850" i="106"/>
  <c r="D6850" i="106" s="1"/>
  <c r="E137" i="29"/>
  <c r="K134" i="29"/>
  <c r="B2986" i="106" s="1"/>
  <c r="D2986" i="106" s="1"/>
  <c r="B4199" i="106"/>
  <c r="D4199" i="106" s="1"/>
  <c r="K218" i="29"/>
  <c r="F68" i="34" s="1"/>
  <c r="B7075" i="106"/>
  <c r="D7075" i="106" s="1"/>
  <c r="B738" i="106"/>
  <c r="D738" i="106" s="1"/>
  <c r="K59" i="29"/>
  <c r="E15" i="145" s="1"/>
  <c r="C65" i="29"/>
  <c r="B745" i="106" s="1"/>
  <c r="D745" i="106" s="1"/>
  <c r="B1552" i="106"/>
  <c r="D1552" i="106" s="1"/>
  <c r="B7691" i="106"/>
  <c r="D7691" i="106" s="1"/>
  <c r="L168" i="29"/>
  <c r="L172" i="29" s="1"/>
  <c r="L174" i="29" s="1"/>
  <c r="L357" i="29"/>
  <c r="E184" i="29"/>
  <c r="B1351" i="106" s="1"/>
  <c r="D1351" i="106" s="1"/>
  <c r="B4083" i="106"/>
  <c r="D4083" i="106" s="1"/>
  <c r="B949" i="106"/>
  <c r="D949" i="106" s="1"/>
  <c r="B920" i="106"/>
  <c r="D920" i="106" s="1"/>
  <c r="F72" i="29"/>
  <c r="B927" i="106" s="1"/>
  <c r="D927" i="106" s="1"/>
  <c r="B7143" i="106"/>
  <c r="D7143" i="106" s="1"/>
  <c r="B4421" i="106"/>
  <c r="D4421" i="106" s="1"/>
  <c r="B3388" i="106"/>
  <c r="D3388" i="106" s="1"/>
  <c r="K217" i="29"/>
  <c r="B3391" i="106" s="1"/>
  <c r="D3391" i="106" s="1"/>
  <c r="F167" i="34"/>
  <c r="B5313" i="106"/>
  <c r="D5313" i="106" s="1"/>
  <c r="B6640" i="106"/>
  <c r="D6640" i="106" s="1"/>
  <c r="F139" i="34"/>
  <c r="K19" i="29"/>
  <c r="B3381" i="106" s="1"/>
  <c r="D3381" i="106" s="1"/>
  <c r="B3367" i="106"/>
  <c r="D3367" i="106" s="1"/>
  <c r="B7150" i="106"/>
  <c r="D7150" i="106" s="1"/>
  <c r="B1440" i="106"/>
  <c r="D1440" i="106" s="1"/>
  <c r="K275" i="29"/>
  <c r="B1504" i="106" s="1"/>
  <c r="D1504" i="106" s="1"/>
  <c r="B7127" i="106"/>
  <c r="D7127" i="106" s="1"/>
  <c r="K320" i="29"/>
  <c r="B7135" i="106" s="1"/>
  <c r="D7135" i="106" s="1"/>
  <c r="B7260" i="106"/>
  <c r="B7148" i="106"/>
  <c r="D7148" i="106" s="1"/>
  <c r="B1015" i="106"/>
  <c r="D1015" i="106" s="1"/>
  <c r="B6710" i="106"/>
  <c r="D6710" i="106" s="1"/>
  <c r="K96" i="29"/>
  <c r="B7003" i="106" s="1"/>
  <c r="D7003" i="106" s="1"/>
  <c r="B7002" i="106"/>
  <c r="D7002" i="106" s="1"/>
  <c r="B2801" i="106"/>
  <c r="D2801" i="106" s="1"/>
  <c r="B822" i="106"/>
  <c r="D822" i="106" s="1"/>
  <c r="B6927" i="106"/>
  <c r="D6927" i="106" s="1"/>
  <c r="J53" i="29"/>
  <c r="B6943" i="106" s="1"/>
  <c r="D6943" i="106" s="1"/>
  <c r="B833" i="106"/>
  <c r="D833" i="106" s="1"/>
  <c r="B7066" i="106"/>
  <c r="D7066" i="106" s="1"/>
  <c r="B7181" i="106"/>
  <c r="D7181" i="106" s="1"/>
  <c r="K326" i="29"/>
  <c r="B7189" i="106" s="1"/>
  <c r="D7189" i="106" s="1"/>
  <c r="B5706" i="106"/>
  <c r="D5706" i="106" s="1"/>
  <c r="B846" i="106"/>
  <c r="D846" i="106" s="1"/>
  <c r="B900" i="106"/>
  <c r="D900" i="106" s="1"/>
  <c r="B6664" i="106"/>
  <c r="D6664" i="106" s="1"/>
  <c r="B1363" i="106"/>
  <c r="D1363" i="106" s="1"/>
  <c r="B2798" i="106"/>
  <c r="D2798" i="106" s="1"/>
  <c r="B4855" i="106"/>
  <c r="D4855" i="106" s="1"/>
  <c r="B7136" i="106"/>
  <c r="D7136" i="106" s="1"/>
  <c r="K321" i="29"/>
  <c r="B838" i="106"/>
  <c r="D838" i="106" s="1"/>
  <c r="B4420" i="106"/>
  <c r="D4420" i="106" s="1"/>
  <c r="B4077" i="106"/>
  <c r="D4077" i="106" s="1"/>
  <c r="B6913" i="106"/>
  <c r="D6913" i="106" s="1"/>
  <c r="K267" i="29"/>
  <c r="B1496" i="106" s="1"/>
  <c r="D1496" i="106" s="1"/>
  <c r="B1432" i="106"/>
  <c r="D1432" i="106" s="1"/>
  <c r="B928" i="106"/>
  <c r="D928" i="106" s="1"/>
  <c r="B1224" i="106"/>
  <c r="D1224" i="106" s="1"/>
  <c r="K128" i="29"/>
  <c r="B1280" i="106" s="1"/>
  <c r="D1280" i="106" s="1"/>
  <c r="B3652" i="106"/>
  <c r="D3652" i="106" s="1"/>
  <c r="H350" i="29"/>
  <c r="B3654" i="106" s="1"/>
  <c r="D3654" i="106" s="1"/>
  <c r="F147" i="34"/>
  <c r="B6718" i="106"/>
  <c r="D6718" i="106" s="1"/>
  <c r="B950" i="106"/>
  <c r="D950" i="106" s="1"/>
  <c r="K62" i="29"/>
  <c r="B1129" i="106" s="1"/>
  <c r="D1129" i="106" s="1"/>
  <c r="B741" i="106"/>
  <c r="D741" i="106" s="1"/>
  <c r="B1018" i="106"/>
  <c r="D1018" i="106" s="1"/>
  <c r="H47" i="29"/>
  <c r="B1021" i="106" s="1"/>
  <c r="D1021" i="106" s="1"/>
  <c r="L362" i="29"/>
  <c r="L365" i="29" s="1"/>
  <c r="B6665" i="106"/>
  <c r="D6665" i="106" s="1"/>
  <c r="B3373" i="106"/>
  <c r="D3373" i="106" s="1"/>
  <c r="K248" i="29"/>
  <c r="B7082" i="106" s="1"/>
  <c r="D7082" i="106" s="1"/>
  <c r="B7081" i="106"/>
  <c r="D7081" i="106" s="1"/>
  <c r="B938" i="106"/>
  <c r="D938" i="106" s="1"/>
  <c r="B6832" i="106"/>
  <c r="D6832" i="106" s="1"/>
  <c r="B6728" i="106"/>
  <c r="D6728" i="106" s="1"/>
  <c r="B6976" i="106"/>
  <c r="D6976" i="106" s="1"/>
  <c r="K78" i="29"/>
  <c r="B2973" i="106" s="1"/>
  <c r="D2973" i="106" s="1"/>
  <c r="E84" i="29"/>
  <c r="B2789" i="106" s="1"/>
  <c r="D2789" i="106" s="1"/>
  <c r="B2949" i="106"/>
  <c r="D2949" i="106" s="1"/>
  <c r="B1543" i="106"/>
  <c r="D1543" i="106" s="1"/>
  <c r="G303" i="29"/>
  <c r="B1547" i="106" s="1"/>
  <c r="D1547" i="106" s="1"/>
  <c r="B6915" i="106"/>
  <c r="D6915" i="106" s="1"/>
  <c r="B7023" i="106"/>
  <c r="D7023" i="106" s="1"/>
  <c r="B892" i="106"/>
  <c r="D892" i="106" s="1"/>
  <c r="B972" i="106"/>
  <c r="D972" i="106" s="1"/>
  <c r="B7769" i="106"/>
  <c r="D7769" i="106" s="1"/>
  <c r="B7177" i="106"/>
  <c r="D7177" i="106" s="1"/>
  <c r="K259" i="5"/>
  <c r="K273" i="5" s="1"/>
  <c r="B4442" i="106" s="1"/>
  <c r="D4442" i="106" s="1"/>
  <c r="B6621" i="106"/>
  <c r="D6621" i="106" s="1"/>
  <c r="B6857" i="106"/>
  <c r="D6857" i="106" s="1"/>
  <c r="B2719" i="106"/>
  <c r="D2719" i="106" s="1"/>
  <c r="B7182" i="106"/>
  <c r="D7182" i="106" s="1"/>
  <c r="B6688" i="106"/>
  <c r="D6688" i="106" s="1"/>
  <c r="F145" i="34"/>
  <c r="H100" i="29"/>
  <c r="B7012" i="106" s="1"/>
  <c r="D7012" i="106" s="1"/>
  <c r="K93" i="29"/>
  <c r="B6997" i="106" s="1"/>
  <c r="D6997" i="106" s="1"/>
  <c r="B6996" i="106"/>
  <c r="D6996" i="106" s="1"/>
  <c r="B3484" i="106"/>
  <c r="D3484" i="106" s="1"/>
  <c r="B6968" i="106"/>
  <c r="D6968" i="106" s="1"/>
  <c r="B2802" i="106"/>
  <c r="D2802" i="106" s="1"/>
  <c r="B971" i="106"/>
  <c r="D971" i="106" s="1"/>
  <c r="B852" i="106"/>
  <c r="D852" i="106" s="1"/>
  <c r="E33" i="29"/>
  <c r="B836" i="106" s="1"/>
  <c r="D836" i="106" s="1"/>
  <c r="B821" i="106"/>
  <c r="D821" i="106" s="1"/>
  <c r="B7259" i="106"/>
  <c r="L65" i="29"/>
  <c r="K60" i="29"/>
  <c r="D27" i="108" s="1"/>
  <c r="B739" i="106"/>
  <c r="D739" i="106" s="1"/>
  <c r="B3059" i="106"/>
  <c r="D3059" i="106" s="1"/>
  <c r="B776" i="106"/>
  <c r="D776" i="106" s="1"/>
  <c r="K203" i="29"/>
  <c r="B1385" i="106" s="1"/>
  <c r="D1385" i="106" s="1"/>
  <c r="B1373" i="106"/>
  <c r="D1373" i="106" s="1"/>
  <c r="B851" i="106"/>
  <c r="D851" i="106" s="1"/>
  <c r="E57" i="29"/>
  <c r="B853" i="106" s="1"/>
  <c r="D853" i="106" s="1"/>
  <c r="B1408" i="106"/>
  <c r="D1408" i="106" s="1"/>
  <c r="K223" i="29"/>
  <c r="B1472" i="106" s="1"/>
  <c r="D1472" i="106" s="1"/>
  <c r="B849" i="106"/>
  <c r="D849" i="106" s="1"/>
  <c r="B1023" i="106"/>
  <c r="D1023" i="106" s="1"/>
  <c r="K216" i="29"/>
  <c r="F67" i="34" s="1"/>
  <c r="B7073" i="106"/>
  <c r="D7073" i="106" s="1"/>
  <c r="K195" i="29"/>
  <c r="B2839" i="106" s="1"/>
  <c r="D2839" i="106" s="1"/>
  <c r="B2824" i="106"/>
  <c r="D2824" i="106" s="1"/>
  <c r="B7195" i="106"/>
  <c r="D7195" i="106" s="1"/>
  <c r="B7699" i="106"/>
  <c r="D7699" i="106" s="1"/>
  <c r="B6874" i="106"/>
  <c r="D6874" i="106" s="1"/>
  <c r="B7166" i="106"/>
  <c r="D7166" i="106" s="1"/>
  <c r="B6863" i="106"/>
  <c r="D6863" i="106" s="1"/>
  <c r="B807" i="106"/>
  <c r="D807" i="106" s="1"/>
  <c r="B4418" i="106"/>
  <c r="D4418" i="106" s="1"/>
  <c r="F170" i="34"/>
  <c r="B6736" i="106"/>
  <c r="D6736" i="106" s="1"/>
  <c r="B2721" i="106"/>
  <c r="D2721" i="106" s="1"/>
  <c r="B3620" i="106"/>
  <c r="D3620" i="106" s="1"/>
  <c r="K351" i="29"/>
  <c r="B3671" i="106" s="1"/>
  <c r="D3671" i="106" s="1"/>
  <c r="B6868" i="106"/>
  <c r="D6868" i="106" s="1"/>
  <c r="B7059" i="106"/>
  <c r="D7059" i="106" s="1"/>
  <c r="B7137" i="106"/>
  <c r="D7137" i="106" s="1"/>
  <c r="E42" i="29"/>
  <c r="B843" i="106" s="1"/>
  <c r="D843" i="106" s="1"/>
  <c r="B837" i="106"/>
  <c r="D837" i="106" s="1"/>
  <c r="B1269" i="106"/>
  <c r="D1269" i="106" s="1"/>
  <c r="K143" i="29"/>
  <c r="B1284" i="106" s="1"/>
  <c r="D1284" i="106" s="1"/>
  <c r="B705" i="106"/>
  <c r="D705" i="106" s="1"/>
  <c r="K5" i="29"/>
  <c r="B1093" i="106" s="1"/>
  <c r="D1093" i="106" s="1"/>
  <c r="C33" i="29"/>
  <c r="B720" i="106" s="1"/>
  <c r="D720" i="106" s="1"/>
  <c r="K219" i="29"/>
  <c r="B3065" i="106" s="1"/>
  <c r="D3065" i="106" s="1"/>
  <c r="B3064" i="106"/>
  <c r="D3064" i="106" s="1"/>
  <c r="B787" i="106"/>
  <c r="D787" i="106" s="1"/>
  <c r="B965" i="106"/>
  <c r="D965" i="106" s="1"/>
  <c r="B1037" i="106"/>
  <c r="D1037" i="106" s="1"/>
  <c r="B3617" i="106"/>
  <c r="D3617" i="106" s="1"/>
  <c r="K348" i="29"/>
  <c r="B3668" i="106" s="1"/>
  <c r="D3668" i="106" s="1"/>
  <c r="C350" i="29"/>
  <c r="B3619" i="106" s="1"/>
  <c r="D3619" i="106" s="1"/>
  <c r="L184" i="29"/>
  <c r="B6869" i="106"/>
  <c r="D6869" i="106" s="1"/>
  <c r="B7129" i="106"/>
  <c r="D7129" i="106" s="1"/>
  <c r="B1041" i="106"/>
  <c r="D1041" i="106" s="1"/>
  <c r="B7133" i="106"/>
  <c r="D7133" i="106" s="1"/>
  <c r="B749" i="106"/>
  <c r="D749" i="106" s="1"/>
  <c r="K70" i="29"/>
  <c r="B1137" i="106" s="1"/>
  <c r="D1137" i="106" s="1"/>
  <c r="B3368" i="106"/>
  <c r="D3368" i="106" s="1"/>
  <c r="B6870" i="106"/>
  <c r="D6870" i="106" s="1"/>
  <c r="B922" i="106"/>
  <c r="D922" i="106" s="1"/>
  <c r="B6912" i="106"/>
  <c r="D6912" i="106" s="1"/>
  <c r="B7266" i="106"/>
  <c r="B6914" i="106"/>
  <c r="D6914" i="106" s="1"/>
  <c r="B6953" i="106"/>
  <c r="D6953" i="106" s="1"/>
  <c r="B879" i="106"/>
  <c r="D879" i="106" s="1"/>
  <c r="F33" i="29"/>
  <c r="B894" i="106" s="1"/>
  <c r="D894" i="106" s="1"/>
  <c r="B1411" i="106"/>
  <c r="D1411" i="106" s="1"/>
  <c r="K232" i="29"/>
  <c r="D238" i="29"/>
  <c r="B1417" i="106" s="1"/>
  <c r="D1417" i="106" s="1"/>
  <c r="B7146" i="106"/>
  <c r="D7146" i="106" s="1"/>
  <c r="B6866" i="106"/>
  <c r="D6866" i="106" s="1"/>
  <c r="B7099" i="106"/>
  <c r="D7099" i="106" s="1"/>
  <c r="I303" i="29"/>
  <c r="B7103" i="106" s="1"/>
  <c r="D7103" i="106" s="1"/>
  <c r="L293" i="29"/>
  <c r="B6703" i="106"/>
  <c r="D6703" i="106" s="1"/>
  <c r="J72" i="29"/>
  <c r="B6974" i="106" s="1"/>
  <c r="D6974" i="106" s="1"/>
  <c r="B6964" i="106"/>
  <c r="D6964" i="106" s="1"/>
  <c r="K145" i="29"/>
  <c r="B2811" i="106" s="1"/>
  <c r="D2811" i="106" s="1"/>
  <c r="B2808" i="106"/>
  <c r="D2808" i="106" s="1"/>
  <c r="B6752" i="106"/>
  <c r="D6752" i="106" s="1"/>
  <c r="B6783" i="106"/>
  <c r="D6783" i="106" s="1"/>
  <c r="F154" i="34"/>
  <c r="B925" i="106"/>
  <c r="D925" i="106" s="1"/>
  <c r="B6807" i="106"/>
  <c r="D6807" i="106" s="1"/>
  <c r="F157" i="34"/>
  <c r="B6971" i="106"/>
  <c r="D6971" i="106" s="1"/>
  <c r="D47" i="29"/>
  <c r="B789" i="106" s="1"/>
  <c r="D789" i="106" s="1"/>
  <c r="B786" i="106"/>
  <c r="D786" i="106" s="1"/>
  <c r="B7140" i="106"/>
  <c r="D7140" i="106" s="1"/>
  <c r="B7229" i="106"/>
  <c r="D7229" i="106" s="1"/>
  <c r="B1335" i="106"/>
  <c r="D1335" i="106" s="1"/>
  <c r="K182" i="29"/>
  <c r="B1377" i="106" s="1"/>
  <c r="D1377" i="106" s="1"/>
  <c r="B6896" i="106"/>
  <c r="D6896" i="106" s="1"/>
  <c r="K30" i="29"/>
  <c r="B6897" i="106" s="1"/>
  <c r="D6897" i="106" s="1"/>
  <c r="B6681" i="106"/>
  <c r="D6681" i="106" s="1"/>
  <c r="B5705" i="106"/>
  <c r="D5705" i="106" s="1"/>
  <c r="B913" i="106"/>
  <c r="D913" i="106" s="1"/>
  <c r="B1019" i="106"/>
  <c r="D1019" i="106" s="1"/>
  <c r="B1522" i="106"/>
  <c r="D1522" i="106" s="1"/>
  <c r="K302" i="29"/>
  <c r="B1558" i="106" s="1"/>
  <c r="D1558" i="106" s="1"/>
  <c r="B7226" i="106"/>
  <c r="D7226" i="106" s="1"/>
  <c r="I350" i="29"/>
  <c r="B7230" i="106" s="1"/>
  <c r="D7230" i="106" s="1"/>
  <c r="B2722" i="106"/>
  <c r="D2722" i="106" s="1"/>
  <c r="B1338" i="106"/>
  <c r="D1338" i="106" s="1"/>
  <c r="K183" i="29"/>
  <c r="B1380" i="106" s="1"/>
  <c r="D1380" i="106" s="1"/>
  <c r="B7031" i="106"/>
  <c r="D7031" i="106" s="1"/>
  <c r="B6815" i="106"/>
  <c r="D6815" i="106" s="1"/>
  <c r="F158" i="34"/>
  <c r="B7147" i="106"/>
  <c r="D7147" i="106" s="1"/>
  <c r="B6947" i="106"/>
  <c r="D6947" i="106" s="1"/>
  <c r="K254" i="29"/>
  <c r="B7094" i="106" s="1"/>
  <c r="D7094" i="106" s="1"/>
  <c r="B7093" i="106"/>
  <c r="D7093" i="106" s="1"/>
  <c r="K75" i="29"/>
  <c r="F52" i="34" s="1"/>
  <c r="B756" i="106"/>
  <c r="D756" i="106" s="1"/>
  <c r="B1341" i="106"/>
  <c r="D1341" i="106" s="1"/>
  <c r="B7178" i="106"/>
  <c r="D7178" i="106" s="1"/>
  <c r="B1310" i="106"/>
  <c r="D1310" i="106" s="1"/>
  <c r="H168" i="29"/>
  <c r="B1314" i="106" s="1"/>
  <c r="D1314" i="106" s="1"/>
  <c r="K163" i="29"/>
  <c r="B1324" i="106" s="1"/>
  <c r="D1324" i="106" s="1"/>
  <c r="B4864" i="106"/>
  <c r="D4864" i="106" s="1"/>
  <c r="B1434" i="106"/>
  <c r="D1434" i="106" s="1"/>
  <c r="K269" i="29"/>
  <c r="B1498" i="106" s="1"/>
  <c r="D1498" i="106" s="1"/>
  <c r="B7707" i="106"/>
  <c r="D7707" i="106" s="1"/>
  <c r="B751" i="106"/>
  <c r="D751" i="106" s="1"/>
  <c r="K71" i="29"/>
  <c r="B1139" i="106" s="1"/>
  <c r="D1139" i="106" s="1"/>
  <c r="B1007" i="106"/>
  <c r="D1007" i="106" s="1"/>
  <c r="B1038" i="106"/>
  <c r="D1038" i="106" s="1"/>
  <c r="B6842" i="106"/>
  <c r="D6842" i="106" s="1"/>
  <c r="B7152" i="106"/>
  <c r="D7152" i="106" s="1"/>
  <c r="L257" i="29"/>
  <c r="B7159" i="106"/>
  <c r="D7159" i="106" s="1"/>
  <c r="H57" i="29"/>
  <c r="B1027" i="106" s="1"/>
  <c r="D1027" i="106" s="1"/>
  <c r="B1025" i="106"/>
  <c r="D1025" i="106" s="1"/>
  <c r="B968" i="106"/>
  <c r="D968" i="106" s="1"/>
  <c r="B6959" i="106"/>
  <c r="D6959" i="106" s="1"/>
  <c r="B1257" i="106"/>
  <c r="D1257" i="106" s="1"/>
  <c r="B7032" i="106"/>
  <c r="D7032" i="106" s="1"/>
  <c r="B898" i="106"/>
  <c r="D898" i="106" s="1"/>
  <c r="B2980" i="106"/>
  <c r="D2980" i="106" s="1"/>
  <c r="B5498" i="106"/>
  <c r="D5498" i="106" s="1"/>
  <c r="B1531" i="106"/>
  <c r="D1531" i="106" s="1"/>
  <c r="E303" i="29"/>
  <c r="B1535" i="106" s="1"/>
  <c r="D1535" i="106" s="1"/>
  <c r="K9" i="29"/>
  <c r="B6853" i="106" s="1"/>
  <c r="D6853" i="106" s="1"/>
  <c r="B7251" i="106"/>
  <c r="B6727" i="106"/>
  <c r="D6727" i="106" s="1"/>
  <c r="K7" i="29"/>
  <c r="B6848" i="106" s="1"/>
  <c r="D6848" i="106" s="1"/>
  <c r="B793" i="106"/>
  <c r="D793" i="106" s="1"/>
  <c r="D57" i="29"/>
  <c r="B795" i="106" s="1"/>
  <c r="D795" i="106" s="1"/>
  <c r="K125" i="29"/>
  <c r="B3488" i="106" s="1"/>
  <c r="D3488" i="106" s="1"/>
  <c r="B3482" i="106"/>
  <c r="D3482" i="106" s="1"/>
  <c r="B719" i="106"/>
  <c r="D719" i="106" s="1"/>
  <c r="K15" i="29"/>
  <c r="B1107" i="106" s="1"/>
  <c r="D1107" i="106" s="1"/>
  <c r="B909" i="106"/>
  <c r="D909" i="106" s="1"/>
  <c r="F57" i="29"/>
  <c r="B911" i="106" s="1"/>
  <c r="D911" i="106" s="1"/>
  <c r="B742" i="106"/>
  <c r="D742" i="106" s="1"/>
  <c r="K63" i="29"/>
  <c r="B1130" i="106" s="1"/>
  <c r="D1130" i="106" s="1"/>
  <c r="K94" i="29"/>
  <c r="B6999" i="106" s="1"/>
  <c r="D6999" i="106" s="1"/>
  <c r="B6998" i="106"/>
  <c r="D6998" i="106" s="1"/>
  <c r="B6767" i="106"/>
  <c r="D6767" i="106" s="1"/>
  <c r="F152" i="34"/>
  <c r="B6933" i="106"/>
  <c r="D6933" i="106" s="1"/>
  <c r="B3625" i="106"/>
  <c r="D3625" i="106" s="1"/>
  <c r="B6632" i="106"/>
  <c r="D6632" i="106" s="1"/>
  <c r="F138" i="34"/>
  <c r="B3369" i="106"/>
  <c r="D3369" i="106" s="1"/>
  <c r="B783" i="106"/>
  <c r="D783" i="106" s="1"/>
  <c r="K49" i="29"/>
  <c r="B1120" i="106" s="1"/>
  <c r="D1120" i="106" s="1"/>
  <c r="B732" i="106"/>
  <c r="D732" i="106" s="1"/>
  <c r="C53" i="29"/>
  <c r="B734" i="106" s="1"/>
  <c r="D734" i="106" s="1"/>
  <c r="H72" i="29"/>
  <c r="B1043" i="106" s="1"/>
  <c r="D1043" i="106" s="1"/>
  <c r="B1036" i="106"/>
  <c r="D1036" i="106" s="1"/>
  <c r="B6776" i="106"/>
  <c r="D6776" i="106" s="1"/>
  <c r="B4415" i="106"/>
  <c r="D4415" i="106" s="1"/>
  <c r="F166" i="34"/>
  <c r="H330" i="29"/>
  <c r="B7204" i="106" s="1"/>
  <c r="D7204" i="106" s="1"/>
  <c r="B7123" i="106"/>
  <c r="D7123" i="106" s="1"/>
  <c r="K201" i="29"/>
  <c r="B2841" i="106" s="1"/>
  <c r="D2841" i="106" s="1"/>
  <c r="B2831" i="106"/>
  <c r="D2831" i="106" s="1"/>
  <c r="K61" i="29"/>
  <c r="B1128" i="106" s="1"/>
  <c r="D1128" i="106" s="1"/>
  <c r="B740" i="106"/>
  <c r="D740" i="106" s="1"/>
  <c r="B7693" i="106"/>
  <c r="D7693" i="106" s="1"/>
  <c r="B6852" i="106"/>
  <c r="D6852" i="106" s="1"/>
  <c r="B2957" i="106"/>
  <c r="D2957" i="106" s="1"/>
  <c r="B4416" i="106"/>
  <c r="D4416" i="106" s="1"/>
  <c r="B1371" i="106"/>
  <c r="D1371" i="106" s="1"/>
  <c r="H204" i="29"/>
  <c r="H208" i="29" s="1"/>
  <c r="B1375" i="106" s="1"/>
  <c r="D1375" i="106" s="1"/>
  <c r="K199" i="29"/>
  <c r="B1383" i="106" s="1"/>
  <c r="D1383" i="106" s="1"/>
  <c r="B7250" i="106"/>
  <c r="K82" i="29"/>
  <c r="B2977" i="106" s="1"/>
  <c r="D2977" i="106" s="1"/>
  <c r="B2953" i="106"/>
  <c r="D2953" i="106" s="1"/>
  <c r="B6816" i="106"/>
  <c r="D6816" i="106" s="1"/>
  <c r="B7170" i="106"/>
  <c r="D7170" i="106" s="1"/>
  <c r="B5710" i="106"/>
  <c r="D5710" i="106" s="1"/>
  <c r="B7688" i="106"/>
  <c r="D7688" i="106" s="1"/>
  <c r="K328" i="29"/>
  <c r="B7696" i="106" s="1"/>
  <c r="D7696" i="106" s="1"/>
  <c r="B7187" i="106"/>
  <c r="D7187" i="106" s="1"/>
  <c r="B4190" i="106"/>
  <c r="D4190" i="106" s="1"/>
  <c r="B1016" i="106"/>
  <c r="D1016" i="106" s="1"/>
  <c r="B4359" i="106"/>
  <c r="D4359" i="106" s="1"/>
  <c r="B3483" i="106"/>
  <c r="D3483" i="106" s="1"/>
  <c r="B6970" i="106"/>
  <c r="D6970" i="106" s="1"/>
  <c r="B2958" i="106"/>
  <c r="D2958" i="106" s="1"/>
  <c r="B782" i="106"/>
  <c r="D782" i="106" s="1"/>
  <c r="B790" i="106"/>
  <c r="D790" i="106" s="1"/>
  <c r="D53" i="29"/>
  <c r="B792" i="106" s="1"/>
  <c r="D792" i="106" s="1"/>
  <c r="B2800" i="106"/>
  <c r="D2800" i="106" s="1"/>
  <c r="B6941" i="106"/>
  <c r="D6941" i="106" s="1"/>
  <c r="B4361" i="106"/>
  <c r="D4361" i="106" s="1"/>
  <c r="B3639" i="106"/>
  <c r="D3639" i="106" s="1"/>
  <c r="B7028" i="106"/>
  <c r="D7028" i="106" s="1"/>
  <c r="B7130" i="106"/>
  <c r="D7130" i="106" s="1"/>
  <c r="B1030" i="106"/>
  <c r="D1030" i="106" s="1"/>
  <c r="B915" i="106"/>
  <c r="D915" i="106" s="1"/>
  <c r="B748" i="106"/>
  <c r="D748" i="106" s="1"/>
  <c r="K69" i="29"/>
  <c r="B1136" i="106" s="1"/>
  <c r="D1136" i="106" s="1"/>
  <c r="B2829" i="106"/>
  <c r="D2829" i="106" s="1"/>
  <c r="K284" i="29"/>
  <c r="B4166" i="106" s="1"/>
  <c r="D4166" i="106" s="1"/>
  <c r="B4165" i="106"/>
  <c r="D4165" i="106" s="1"/>
  <c r="K268" i="29"/>
  <c r="B1497" i="106" s="1"/>
  <c r="D1497" i="106" s="1"/>
  <c r="B1433" i="106"/>
  <c r="D1433" i="106" s="1"/>
  <c r="B955" i="106"/>
  <c r="D955" i="106" s="1"/>
  <c r="L194" i="29"/>
  <c r="L196" i="29" s="1"/>
  <c r="B980" i="106"/>
  <c r="D980" i="106" s="1"/>
  <c r="B814" i="106"/>
  <c r="D814" i="106" s="1"/>
  <c r="B7131" i="106"/>
  <c r="D7131" i="106" s="1"/>
  <c r="B7125" i="106"/>
  <c r="D7125" i="106" s="1"/>
  <c r="J330" i="29"/>
  <c r="B7206" i="106" s="1"/>
  <c r="D7206" i="106" s="1"/>
  <c r="B7060" i="106"/>
  <c r="D7060" i="106" s="1"/>
  <c r="B6862" i="106"/>
  <c r="D6862" i="106" s="1"/>
  <c r="K81" i="29"/>
  <c r="B2976" i="106" s="1"/>
  <c r="D2976" i="106" s="1"/>
  <c r="B2952" i="106"/>
  <c r="D2952" i="106" s="1"/>
  <c r="K364" i="29"/>
  <c r="B7746" i="106" s="1"/>
  <c r="D7746" i="106" s="1"/>
  <c r="B7745" i="106"/>
  <c r="D7745" i="106" s="1"/>
  <c r="K291" i="29"/>
  <c r="B2846" i="106" s="1"/>
  <c r="D2846" i="106" s="1"/>
  <c r="B2844" i="106"/>
  <c r="D2844" i="106" s="1"/>
  <c r="B1235" i="106"/>
  <c r="D1235" i="106" s="1"/>
  <c r="E127" i="29"/>
  <c r="B1239" i="106" s="1"/>
  <c r="D1239" i="106" s="1"/>
  <c r="D72" i="29"/>
  <c r="B811" i="106" s="1"/>
  <c r="D811" i="106" s="1"/>
  <c r="B804" i="106"/>
  <c r="D804" i="106" s="1"/>
  <c r="B6911" i="106"/>
  <c r="D6911" i="106" s="1"/>
  <c r="B7156" i="106"/>
  <c r="D7156" i="106" s="1"/>
  <c r="B1414" i="106"/>
  <c r="D1414" i="106" s="1"/>
  <c r="K235" i="29"/>
  <c r="B1478" i="106" s="1"/>
  <c r="D1478" i="106" s="1"/>
  <c r="B6920" i="106"/>
  <c r="D6920" i="106" s="1"/>
  <c r="B7132" i="106"/>
  <c r="D7132" i="106" s="1"/>
  <c r="B1369" i="106"/>
  <c r="D1369" i="106" s="1"/>
  <c r="B4447" i="106"/>
  <c r="D4447" i="106" s="1"/>
  <c r="B7192" i="106"/>
  <c r="D7192" i="106" s="1"/>
  <c r="B7139" i="106"/>
  <c r="D7139" i="106" s="1"/>
  <c r="B6864" i="106"/>
  <c r="D6864" i="106" s="1"/>
  <c r="B6958" i="106"/>
  <c r="D6958" i="106" s="1"/>
  <c r="K79" i="29"/>
  <c r="B2974" i="106" s="1"/>
  <c r="D2974" i="106" s="1"/>
  <c r="B2950" i="106"/>
  <c r="D2950" i="106" s="1"/>
  <c r="K17" i="29"/>
  <c r="B6871" i="106" s="1"/>
  <c r="D6871" i="106" s="1"/>
  <c r="B7263" i="106"/>
  <c r="K37" i="29"/>
  <c r="B1110" i="106" s="1"/>
  <c r="D1110" i="106" s="1"/>
  <c r="B722" i="106"/>
  <c r="D722" i="106" s="1"/>
  <c r="B1014" i="106"/>
  <c r="D1014" i="106" s="1"/>
  <c r="B7039" i="106"/>
  <c r="D7039" i="106" s="1"/>
  <c r="B979" i="106"/>
  <c r="D979" i="106" s="1"/>
  <c r="K171" i="29"/>
  <c r="B1330" i="106" s="1"/>
  <c r="D1330" i="106" s="1"/>
  <c r="B1316" i="106"/>
  <c r="D1316" i="106" s="1"/>
  <c r="B3374" i="106"/>
  <c r="D3374" i="106" s="1"/>
  <c r="B1451" i="106"/>
  <c r="D1451" i="106" s="1"/>
  <c r="K292" i="29"/>
  <c r="B1514" i="106" s="1"/>
  <c r="D1514" i="106" s="1"/>
  <c r="B775" i="106"/>
  <c r="D775" i="106" s="1"/>
  <c r="B7196" i="106"/>
  <c r="D7196" i="106" s="1"/>
  <c r="H137" i="29"/>
  <c r="B2979" i="106"/>
  <c r="D2979" i="106" s="1"/>
  <c r="B7233" i="106"/>
  <c r="D7233" i="106" s="1"/>
  <c r="B912" i="106"/>
  <c r="D912" i="106" s="1"/>
  <c r="F65" i="29"/>
  <c r="B919" i="106" s="1"/>
  <c r="D919" i="106" s="1"/>
  <c r="K241" i="29"/>
  <c r="B1483" i="106" s="1"/>
  <c r="D1483" i="106" s="1"/>
  <c r="B1419" i="106"/>
  <c r="D1419" i="106" s="1"/>
  <c r="B7264" i="106"/>
  <c r="L261" i="29"/>
  <c r="B834" i="106"/>
  <c r="D834" i="106" s="1"/>
  <c r="B7193" i="106"/>
  <c r="D7193" i="106" s="1"/>
  <c r="B7009" i="106"/>
  <c r="D7009" i="106" s="1"/>
  <c r="B6808" i="106"/>
  <c r="D6808" i="106" s="1"/>
  <c r="B7029" i="106"/>
  <c r="D7029" i="106" s="1"/>
  <c r="B7252" i="106"/>
  <c r="D7252" i="106" s="1"/>
  <c r="B6923" i="106"/>
  <c r="D6923" i="106" s="1"/>
  <c r="B930" i="106"/>
  <c r="D930" i="106" s="1"/>
  <c r="B1013" i="106"/>
  <c r="D1013" i="106" s="1"/>
  <c r="K363" i="29"/>
  <c r="B7241" i="106" s="1"/>
  <c r="D7241" i="106" s="1"/>
  <c r="B7240" i="106"/>
  <c r="D7240" i="106" s="1"/>
  <c r="B7246" i="106"/>
  <c r="K200" i="29"/>
  <c r="B1384" i="106" s="1"/>
  <c r="D1384" i="106" s="1"/>
  <c r="B1372" i="106"/>
  <c r="D1372" i="106" s="1"/>
  <c r="B6928" i="106"/>
  <c r="D6928" i="106" s="1"/>
  <c r="B800" i="106"/>
  <c r="D800" i="106" s="1"/>
  <c r="B6929" i="106"/>
  <c r="D6929" i="106" s="1"/>
  <c r="B6843" i="106"/>
  <c r="D6843" i="106" s="1"/>
  <c r="F148" i="34"/>
  <c r="B6726" i="106"/>
  <c r="D6726" i="106" s="1"/>
  <c r="B1229" i="106"/>
  <c r="D1229" i="106" s="1"/>
  <c r="K226" i="29"/>
  <c r="B7080" i="106" s="1"/>
  <c r="D7080" i="106" s="1"/>
  <c r="B7079" i="106"/>
  <c r="D7079" i="106" s="1"/>
  <c r="B1423" i="106"/>
  <c r="D1423" i="106" s="1"/>
  <c r="K246" i="29"/>
  <c r="B1487" i="106" s="1"/>
  <c r="D1487" i="106" s="1"/>
  <c r="K193" i="29"/>
  <c r="B3012" i="106" s="1"/>
  <c r="D3012" i="106" s="1"/>
  <c r="B2994" i="106"/>
  <c r="D2994" i="106" s="1"/>
  <c r="H110" i="29"/>
  <c r="B1053" i="106" s="1"/>
  <c r="D1053" i="106" s="1"/>
  <c r="K105" i="29"/>
  <c r="B1146" i="106" s="1"/>
  <c r="D1146" i="106" s="1"/>
  <c r="B1048" i="106"/>
  <c r="D1048" i="106" s="1"/>
  <c r="B5708" i="106"/>
  <c r="D5708" i="106" s="1"/>
  <c r="B7268" i="106"/>
  <c r="B6965" i="106"/>
  <c r="D6965" i="106" s="1"/>
  <c r="B733" i="106"/>
  <c r="D733" i="106" s="1"/>
  <c r="K50" i="29"/>
  <c r="B4078" i="106"/>
  <c r="D4078" i="106" s="1"/>
  <c r="B856" i="106"/>
  <c r="D856" i="106" s="1"/>
  <c r="B1270" i="106"/>
  <c r="D1270" i="106" s="1"/>
  <c r="K146" i="29"/>
  <c r="B1285" i="106" s="1"/>
  <c r="D1285" i="106" s="1"/>
  <c r="K14" i="29"/>
  <c r="B1106" i="106" s="1"/>
  <c r="D1106" i="106" s="1"/>
  <c r="B718" i="106"/>
  <c r="D718" i="106" s="1"/>
  <c r="B6759" i="106"/>
  <c r="D6759" i="106" s="1"/>
  <c r="F151" i="34"/>
  <c r="B1252" i="106"/>
  <c r="D1252" i="106" s="1"/>
  <c r="B799" i="106"/>
  <c r="D799" i="106" s="1"/>
  <c r="B2999" i="106"/>
  <c r="D2999" i="106" s="1"/>
  <c r="B7262" i="106"/>
  <c r="B6831" i="106"/>
  <c r="D6831" i="106" s="1"/>
  <c r="F160" i="34"/>
  <c r="L110" i="29"/>
  <c r="L112" i="29" s="1"/>
  <c r="B1265" i="106"/>
  <c r="D1265" i="106" s="1"/>
  <c r="B5315" i="106"/>
  <c r="D5315" i="106" s="1"/>
  <c r="F168" i="34"/>
  <c r="B1549" i="106"/>
  <c r="D1549" i="106" s="1"/>
  <c r="H303" i="29"/>
  <c r="B1553" i="106" s="1"/>
  <c r="D1553" i="106" s="1"/>
  <c r="B7026" i="106"/>
  <c r="D7026" i="106" s="1"/>
  <c r="B1049" i="106"/>
  <c r="D1049" i="106" s="1"/>
  <c r="K106" i="29"/>
  <c r="B1147" i="106" s="1"/>
  <c r="D1147" i="106" s="1"/>
  <c r="L303" i="29"/>
  <c r="B996" i="106"/>
  <c r="D996" i="106" s="1"/>
  <c r="B774" i="106"/>
  <c r="D774" i="106" s="1"/>
  <c r="B1026" i="106"/>
  <c r="D1026" i="106" s="1"/>
  <c r="B798" i="106"/>
  <c r="D798" i="106" s="1"/>
  <c r="B6855" i="106"/>
  <c r="D6855" i="106" s="1"/>
  <c r="K6" i="29"/>
  <c r="B7763" i="106" s="1"/>
  <c r="D7763" i="106" s="1"/>
  <c r="B7762" i="106"/>
  <c r="D7762" i="106" s="1"/>
  <c r="B7121" i="106"/>
  <c r="D7121" i="106" s="1"/>
  <c r="F330" i="29"/>
  <c r="B1245" i="106"/>
  <c r="D1245" i="106" s="1"/>
  <c r="B1240" i="106"/>
  <c r="D1240" i="106" s="1"/>
  <c r="B2723" i="106"/>
  <c r="D2723" i="106" s="1"/>
  <c r="B7022" i="106"/>
  <c r="D7022" i="106" s="1"/>
  <c r="B4852" i="106"/>
  <c r="D4852" i="106" s="1"/>
  <c r="F174" i="34"/>
  <c r="B7145" i="106"/>
  <c r="D7145" i="106" s="1"/>
  <c r="K322" i="29"/>
  <c r="B7153" i="106" s="1"/>
  <c r="D7153" i="106" s="1"/>
  <c r="L53" i="29"/>
  <c r="B891" i="106"/>
  <c r="D891" i="106" s="1"/>
  <c r="B3371" i="106"/>
  <c r="D3371" i="106" s="1"/>
  <c r="B6987" i="106"/>
  <c r="D6987" i="106" s="1"/>
  <c r="K88" i="29"/>
  <c r="B6988" i="106" s="1"/>
  <c r="D6988" i="106" s="1"/>
  <c r="B6908" i="106"/>
  <c r="D6908" i="106" s="1"/>
  <c r="K202" i="29"/>
  <c r="B2832" i="106"/>
  <c r="D2832" i="106" s="1"/>
  <c r="B1366" i="106"/>
  <c r="D1366" i="106" s="1"/>
  <c r="B7118" i="106"/>
  <c r="D7118" i="106" s="1"/>
  <c r="K319" i="29"/>
  <c r="B7126" i="106" s="1"/>
  <c r="D7126" i="106" s="1"/>
  <c r="C330" i="29"/>
  <c r="B7199" i="106" s="1"/>
  <c r="D7199" i="106" s="1"/>
  <c r="B3056" i="106"/>
  <c r="D3056" i="106" s="1"/>
  <c r="K99" i="29"/>
  <c r="B7010" i="106" s="1"/>
  <c r="D7010" i="106" s="1"/>
  <c r="E100" i="29"/>
  <c r="B7011" i="106" s="1"/>
  <c r="D7011" i="106" s="1"/>
  <c r="B7008" i="106"/>
  <c r="D7008" i="106" s="1"/>
  <c r="K290" i="29"/>
  <c r="B2845" i="106" s="1"/>
  <c r="D2845" i="106" s="1"/>
  <c r="B2843" i="106"/>
  <c r="D2843" i="106" s="1"/>
  <c r="B2825" i="106"/>
  <c r="D2825" i="106" s="1"/>
  <c r="K16" i="29"/>
  <c r="B1094" i="106" s="1"/>
  <c r="D1094" i="106" s="1"/>
  <c r="B706" i="106"/>
  <c r="D706" i="106" s="1"/>
  <c r="B4191" i="106"/>
  <c r="D4191" i="106" s="1"/>
  <c r="B1344" i="106"/>
  <c r="D1344" i="106" s="1"/>
  <c r="H184" i="29"/>
  <c r="B1370" i="106" s="1"/>
  <c r="D1370" i="106" s="1"/>
  <c r="B4086" i="106"/>
  <c r="D4086" i="106" s="1"/>
  <c r="E65" i="29"/>
  <c r="B861" i="106" s="1"/>
  <c r="D861" i="106" s="1"/>
  <c r="B854" i="106"/>
  <c r="D854" i="106" s="1"/>
  <c r="B6824" i="106"/>
  <c r="D6824" i="106" s="1"/>
  <c r="K135" i="29"/>
  <c r="B2987" i="106" s="1"/>
  <c r="D2987" i="106" s="1"/>
  <c r="B4200" i="106"/>
  <c r="D4200" i="106" s="1"/>
  <c r="B1251" i="106"/>
  <c r="D1251" i="106" s="1"/>
  <c r="G127" i="29"/>
  <c r="B1256" i="106" s="1"/>
  <c r="D1256" i="106" s="1"/>
  <c r="B967" i="106"/>
  <c r="D967" i="106" s="1"/>
  <c r="G57" i="29"/>
  <c r="B969" i="106" s="1"/>
  <c r="D969" i="106" s="1"/>
  <c r="B717" i="106"/>
  <c r="D717" i="106" s="1"/>
  <c r="K13" i="29"/>
  <c r="B1105" i="106" s="1"/>
  <c r="D1105" i="106" s="1"/>
  <c r="B2720" i="106"/>
  <c r="D2720" i="106" s="1"/>
  <c r="B1540" i="106"/>
  <c r="D1540" i="106" s="1"/>
  <c r="B6656" i="106"/>
  <c r="D6656" i="106" s="1"/>
  <c r="F141" i="34"/>
  <c r="B6907" i="106"/>
  <c r="D6907" i="106" s="1"/>
  <c r="L340" i="29"/>
  <c r="B6930" i="106"/>
  <c r="D6930" i="106" s="1"/>
  <c r="B6719" i="106"/>
  <c r="D6719" i="106" s="1"/>
  <c r="K148" i="29"/>
  <c r="B7050" i="106" s="1"/>
  <c r="D7050" i="106" s="1"/>
  <c r="B7049" i="106"/>
  <c r="D7049" i="106" s="1"/>
  <c r="B805" i="106"/>
  <c r="D805" i="106" s="1"/>
  <c r="B6865" i="106"/>
  <c r="D6865" i="106" s="1"/>
  <c r="B7122" i="106"/>
  <c r="D7122" i="106" s="1"/>
  <c r="G330" i="29"/>
  <c r="B7203" i="106" s="1"/>
  <c r="D7203" i="106" s="1"/>
  <c r="B7689" i="106"/>
  <c r="D7689" i="106" s="1"/>
  <c r="B7248" i="106"/>
  <c r="H310" i="29"/>
  <c r="B7115" i="106" s="1"/>
  <c r="D7115" i="106" s="1"/>
  <c r="B7106" i="106"/>
  <c r="D7106" i="106" s="1"/>
  <c r="B6904" i="106"/>
  <c r="D6904" i="106" s="1"/>
  <c r="I42" i="29"/>
  <c r="B3638" i="106"/>
  <c r="D3638" i="106" s="1"/>
  <c r="F350" i="29"/>
  <c r="F352" i="29" s="1"/>
  <c r="F367" i="29" s="1"/>
  <c r="B840" i="106"/>
  <c r="D840" i="106" s="1"/>
  <c r="K250" i="29"/>
  <c r="B7086" i="106" s="1"/>
  <c r="D7086" i="106" s="1"/>
  <c r="B7085" i="106"/>
  <c r="D7085" i="106" s="1"/>
  <c r="B3377" i="106"/>
  <c r="D3377" i="106" s="1"/>
  <c r="B7025" i="106"/>
  <c r="D7025" i="106" s="1"/>
  <c r="J127" i="29"/>
  <c r="B7034" i="106" s="1"/>
  <c r="D7034" i="106" s="1"/>
  <c r="B7168" i="106"/>
  <c r="D7168" i="106" s="1"/>
  <c r="B988" i="106"/>
  <c r="D988" i="106" s="1"/>
  <c r="K185" i="29"/>
  <c r="F62" i="34" s="1"/>
  <c r="B2820" i="106"/>
  <c r="D2820" i="106" s="1"/>
  <c r="B6876" i="106"/>
  <c r="D6876" i="106" s="1"/>
  <c r="K20" i="29"/>
  <c r="B6877" i="106" s="1"/>
  <c r="D6877" i="106" s="1"/>
  <c r="B981" i="106"/>
  <c r="D981" i="106" s="1"/>
  <c r="F53" i="29"/>
  <c r="B908" i="106" s="1"/>
  <c r="D908" i="106" s="1"/>
  <c r="B906" i="106"/>
  <c r="D906" i="106" s="1"/>
  <c r="B6775" i="106"/>
  <c r="D6775" i="106" s="1"/>
  <c r="F153" i="34"/>
  <c r="B7173" i="106"/>
  <c r="D7173" i="106" s="1"/>
  <c r="K256" i="29"/>
  <c r="B7098" i="106" s="1"/>
  <c r="D7098" i="106" s="1"/>
  <c r="B7097" i="106"/>
  <c r="D7097" i="106" s="1"/>
  <c r="B5317" i="106"/>
  <c r="D5317" i="106" s="1"/>
  <c r="F169" i="34"/>
  <c r="K205" i="29"/>
  <c r="B7068" i="106" s="1"/>
  <c r="D7068" i="106" s="1"/>
  <c r="B7067" i="106"/>
  <c r="D7067" i="106" s="1"/>
  <c r="B948" i="106"/>
  <c r="D948" i="106" s="1"/>
  <c r="B6932" i="106"/>
  <c r="D6932" i="106" s="1"/>
  <c r="K52" i="29"/>
  <c r="B6940" i="106" s="1"/>
  <c r="D6940" i="106" s="1"/>
  <c r="B6972" i="106"/>
  <c r="D6972" i="106" s="1"/>
  <c r="D42" i="29"/>
  <c r="B785" i="106" s="1"/>
  <c r="D785" i="106" s="1"/>
  <c r="B779" i="106"/>
  <c r="D779" i="106" s="1"/>
  <c r="B975" i="106"/>
  <c r="D975" i="106" s="1"/>
  <c r="B6649" i="106"/>
  <c r="D6649" i="106" s="1"/>
  <c r="B7258" i="106"/>
  <c r="B1402" i="106"/>
  <c r="D1402" i="106" s="1"/>
  <c r="K227" i="29"/>
  <c r="B1466" i="106" s="1"/>
  <c r="D1466" i="106" s="1"/>
  <c r="L47" i="29"/>
  <c r="B6954" i="106"/>
  <c r="D6954" i="106" s="1"/>
  <c r="I33" i="29"/>
  <c r="B6902" i="106" s="1"/>
  <c r="D6902" i="106" s="1"/>
  <c r="B6844" i="106"/>
  <c r="D6844" i="106" s="1"/>
  <c r="B6823" i="106"/>
  <c r="D6823" i="106" s="1"/>
  <c r="F159" i="34"/>
  <c r="B6884" i="106"/>
  <c r="D6884" i="106" s="1"/>
  <c r="K24" i="29"/>
  <c r="B764" i="106"/>
  <c r="D764" i="106" s="1"/>
  <c r="B7190" i="106"/>
  <c r="D7190" i="106" s="1"/>
  <c r="K327" i="29"/>
  <c r="B7198" i="106" s="1"/>
  <c r="D7198" i="106" s="1"/>
  <c r="B7030" i="106"/>
  <c r="D7030" i="106" s="1"/>
  <c r="B7014" i="106"/>
  <c r="D7014" i="106" s="1"/>
  <c r="B6744" i="106"/>
  <c r="D6744" i="106" s="1"/>
  <c r="F42" i="29"/>
  <c r="B901" i="106" s="1"/>
  <c r="D901" i="106" s="1"/>
  <c r="B895" i="106"/>
  <c r="D895" i="106" s="1"/>
  <c r="B1248" i="106"/>
  <c r="D1248" i="106" s="1"/>
  <c r="G184" i="29"/>
  <c r="B1364" i="106" s="1"/>
  <c r="D1364" i="106" s="1"/>
  <c r="B4085" i="106"/>
  <c r="D4085" i="106" s="1"/>
  <c r="B7169" i="106"/>
  <c r="D7169" i="106" s="1"/>
  <c r="J33" i="29"/>
  <c r="B6903" i="106" s="1"/>
  <c r="D6903" i="106" s="1"/>
  <c r="B6845" i="106"/>
  <c r="D6845" i="106" s="1"/>
  <c r="B7141" i="106"/>
  <c r="D7141" i="106" s="1"/>
  <c r="K27" i="29"/>
  <c r="B6891" i="106" s="1"/>
  <c r="D6891" i="106" s="1"/>
  <c r="B6890" i="106"/>
  <c r="D6890" i="106" s="1"/>
  <c r="B7700" i="106"/>
  <c r="D7700" i="106" s="1"/>
  <c r="B995" i="106"/>
  <c r="D995" i="106" s="1"/>
  <c r="H33" i="29"/>
  <c r="B1010" i="106" s="1"/>
  <c r="D1010" i="106" s="1"/>
  <c r="B4079" i="106"/>
  <c r="D4079" i="106" s="1"/>
  <c r="B3618" i="106"/>
  <c r="D3618" i="106" s="1"/>
  <c r="K349" i="29"/>
  <c r="B3669" i="106" s="1"/>
  <c r="D3669" i="106" s="1"/>
  <c r="B1219" i="106"/>
  <c r="D1219" i="106" s="1"/>
  <c r="C127" i="29"/>
  <c r="C129" i="29" s="1"/>
  <c r="C151" i="29" s="1"/>
  <c r="B1226" i="106" s="1"/>
  <c r="D1226" i="106" s="1"/>
  <c r="K122" i="29"/>
  <c r="F15" i="145" s="1"/>
  <c r="F19" i="145" s="1"/>
  <c r="K255" i="29"/>
  <c r="B7096" i="106" s="1"/>
  <c r="D7096" i="106" s="1"/>
  <c r="B7095" i="106"/>
  <c r="D7095" i="106" s="1"/>
  <c r="B870" i="106"/>
  <c r="D870" i="106" s="1"/>
  <c r="B7161" i="106"/>
  <c r="D7161" i="106" s="1"/>
  <c r="B3376" i="106"/>
  <c r="D3376" i="106" s="1"/>
  <c r="B6673" i="106"/>
  <c r="D6673" i="106" s="1"/>
  <c r="K41" i="29"/>
  <c r="B1114" i="106" s="1"/>
  <c r="D1114" i="106" s="1"/>
  <c r="B726" i="106"/>
  <c r="D726" i="106" s="1"/>
  <c r="B863" i="106"/>
  <c r="D863" i="106" s="1"/>
  <c r="B6934" i="106"/>
  <c r="D6934" i="106" s="1"/>
  <c r="K251" i="29"/>
  <c r="B7088" i="106" s="1"/>
  <c r="D7088" i="106" s="1"/>
  <c r="B7087" i="106"/>
  <c r="D7087" i="106" s="1"/>
  <c r="B6975" i="106"/>
  <c r="D6975" i="106" s="1"/>
  <c r="B6872" i="106"/>
  <c r="D6872" i="106" s="1"/>
  <c r="B7191" i="106"/>
  <c r="D7191" i="106" s="1"/>
  <c r="B809" i="106"/>
  <c r="D809" i="106" s="1"/>
  <c r="B6680" i="106"/>
  <c r="D6680" i="106" s="1"/>
  <c r="F144" i="34"/>
  <c r="B725" i="106"/>
  <c r="D725" i="106" s="1"/>
  <c r="K40" i="29"/>
  <c r="B1113" i="106" s="1"/>
  <c r="D1113" i="106" s="1"/>
  <c r="B907" i="106"/>
  <c r="D907" i="106" s="1"/>
  <c r="B1406" i="106"/>
  <c r="D1406" i="106" s="1"/>
  <c r="K221" i="29"/>
  <c r="B1470" i="106" s="1"/>
  <c r="D1470" i="106" s="1"/>
  <c r="B1044" i="106"/>
  <c r="D1044" i="106" s="1"/>
  <c r="B806" i="106"/>
  <c r="D806" i="106" s="1"/>
  <c r="B6983" i="106"/>
  <c r="D6983" i="106" s="1"/>
  <c r="K86" i="29"/>
  <c r="B6984" i="106" s="1"/>
  <c r="D6984" i="106" s="1"/>
  <c r="K83" i="29"/>
  <c r="B2978" i="106" s="1"/>
  <c r="D2978" i="106" s="1"/>
  <c r="B2954" i="106"/>
  <c r="D2954" i="106" s="1"/>
  <c r="L350" i="29"/>
  <c r="L352" i="29" s="1"/>
  <c r="D229" i="29"/>
  <c r="K215" i="29"/>
  <c r="B3390" i="106" s="1"/>
  <c r="D3390" i="106" s="1"/>
  <c r="B3387" i="106"/>
  <c r="D3387" i="106" s="1"/>
  <c r="B6921" i="106"/>
  <c r="D6921" i="106" s="1"/>
  <c r="F163" i="34"/>
  <c r="B7765" i="106"/>
  <c r="D7765" i="106" s="1"/>
  <c r="E310" i="29"/>
  <c r="B7114" i="106" s="1"/>
  <c r="D7114" i="106" s="1"/>
  <c r="K306" i="29"/>
  <c r="B7107" i="106" s="1"/>
  <c r="D7107" i="106" s="1"/>
  <c r="B7105" i="106"/>
  <c r="D7105" i="106" s="1"/>
  <c r="B7142" i="106"/>
  <c r="D7142" i="106" s="1"/>
  <c r="B7124" i="106"/>
  <c r="D7124" i="106" s="1"/>
  <c r="I330" i="29"/>
  <c r="B7205" i="106" s="1"/>
  <c r="D7205" i="106" s="1"/>
  <c r="H65" i="29"/>
  <c r="B1035" i="106" s="1"/>
  <c r="D1035" i="106" s="1"/>
  <c r="B1028" i="106"/>
  <c r="D1028" i="106" s="1"/>
  <c r="B890" i="106"/>
  <c r="D890" i="106" s="1"/>
  <c r="B864" i="106"/>
  <c r="D864" i="106" s="1"/>
  <c r="L72" i="29"/>
  <c r="B736" i="106"/>
  <c r="D736" i="106" s="1"/>
  <c r="K56" i="29"/>
  <c r="E14" i="145" s="1"/>
  <c r="G14" i="145" s="1"/>
  <c r="B1445" i="106"/>
  <c r="D1445" i="106" s="1"/>
  <c r="K278" i="29"/>
  <c r="B1509" i="106" s="1"/>
  <c r="D1509" i="106" s="1"/>
  <c r="F184" i="29"/>
  <c r="B4084" i="106"/>
  <c r="D4084" i="106" s="1"/>
  <c r="B6784" i="106"/>
  <c r="D6784" i="106" s="1"/>
  <c r="B1312" i="106"/>
  <c r="D1312" i="106" s="1"/>
  <c r="K169" i="29"/>
  <c r="B1326" i="106" s="1"/>
  <c r="D1326" i="106" s="1"/>
  <c r="B6946" i="106"/>
  <c r="D6946" i="106" s="1"/>
  <c r="H293" i="29"/>
  <c r="B1452" i="106" s="1"/>
  <c r="D1452" i="106" s="1"/>
  <c r="B1449" i="106"/>
  <c r="D1449" i="106" s="1"/>
  <c r="K288" i="29"/>
  <c r="B729" i="106"/>
  <c r="D729" i="106" s="1"/>
  <c r="K45" i="29"/>
  <c r="B1117" i="106" s="1"/>
  <c r="D1117" i="106" s="1"/>
  <c r="L149" i="29"/>
  <c r="L147" i="29"/>
  <c r="B2960" i="106"/>
  <c r="D2960" i="106" s="1"/>
  <c r="B4446" i="106"/>
  <c r="D4446" i="106" s="1"/>
  <c r="K29" i="29"/>
  <c r="B6895" i="106" s="1"/>
  <c r="D6895" i="106" s="1"/>
  <c r="B6894" i="106"/>
  <c r="D6894" i="106" s="1"/>
  <c r="B6935" i="106"/>
  <c r="D6935" i="106" s="1"/>
  <c r="B4868" i="106"/>
  <c r="D4868" i="106" s="1"/>
  <c r="B7185" i="106"/>
  <c r="D7185" i="106" s="1"/>
  <c r="B801" i="106"/>
  <c r="D801" i="106" s="1"/>
  <c r="B1253" i="106"/>
  <c r="D1253" i="106" s="1"/>
  <c r="K207" i="29"/>
  <c r="B7070" i="106" s="1"/>
  <c r="D7070" i="106" s="1"/>
  <c r="B7069" i="106"/>
  <c r="D7069" i="106" s="1"/>
  <c r="B6952" i="106"/>
  <c r="D6952" i="106" s="1"/>
  <c r="B7188" i="106"/>
  <c r="D7188" i="106" s="1"/>
  <c r="B1430" i="106"/>
  <c r="D1430" i="106" s="1"/>
  <c r="K265" i="29"/>
  <c r="B1494" i="106" s="1"/>
  <c r="D1494" i="106" s="1"/>
  <c r="B6931" i="106"/>
  <c r="D6931" i="106" s="1"/>
  <c r="B7698" i="106"/>
  <c r="D7698" i="106" s="1"/>
  <c r="B7257" i="106"/>
  <c r="K11" i="29"/>
  <c r="B6858" i="106" s="1"/>
  <c r="D6858" i="106" s="1"/>
  <c r="B957" i="106"/>
  <c r="D957" i="106" s="1"/>
  <c r="B7694" i="106"/>
  <c r="D7694" i="106" s="1"/>
  <c r="B7065" i="106"/>
  <c r="D7065" i="106" s="1"/>
  <c r="B6791" i="106"/>
  <c r="D6791" i="106" s="1"/>
  <c r="B6851" i="106"/>
  <c r="D6851" i="106" s="1"/>
  <c r="B848" i="106"/>
  <c r="D848" i="106" s="1"/>
  <c r="E53" i="29"/>
  <c r="B850" i="106" s="1"/>
  <c r="D850" i="106" s="1"/>
  <c r="K8" i="29"/>
  <c r="B3380" i="106" s="1"/>
  <c r="D3380" i="106" s="1"/>
  <c r="B3366" i="106"/>
  <c r="D3366" i="106" s="1"/>
  <c r="B1525" i="106"/>
  <c r="D1525" i="106" s="1"/>
  <c r="D303" i="29"/>
  <c r="B1529" i="106" s="1"/>
  <c r="D1529" i="106" s="1"/>
  <c r="B1450" i="106"/>
  <c r="D1450" i="106" s="1"/>
  <c r="K289" i="29"/>
  <c r="B1513" i="106" s="1"/>
  <c r="D1513" i="106" s="1"/>
  <c r="D330" i="29"/>
  <c r="B7119" i="106"/>
  <c r="D7119" i="106" s="1"/>
  <c r="B6856" i="106"/>
  <c r="D6856" i="106" s="1"/>
  <c r="B6854" i="106"/>
  <c r="D6854" i="106" s="1"/>
  <c r="B5312" i="106"/>
  <c r="D5312" i="106" s="1"/>
  <c r="F165" i="34"/>
  <c r="B1006" i="106"/>
  <c r="D1006" i="106" s="1"/>
  <c r="B763" i="106"/>
  <c r="D763" i="106" s="1"/>
  <c r="D33" i="29"/>
  <c r="B778" i="106" s="1"/>
  <c r="D778" i="106" s="1"/>
  <c r="B2821" i="106"/>
  <c r="D2821" i="106" s="1"/>
  <c r="B937" i="106"/>
  <c r="D937" i="106" s="1"/>
  <c r="G33" i="29"/>
  <c r="B952" i="106" s="1"/>
  <c r="D952" i="106" s="1"/>
  <c r="B7208" i="106"/>
  <c r="D7208" i="106" s="1"/>
  <c r="K337" i="29"/>
  <c r="B7209" i="106" s="1"/>
  <c r="D7209" i="106" s="1"/>
  <c r="H340" i="29"/>
  <c r="H342" i="29" s="1"/>
  <c r="B7221" i="106" s="1"/>
  <c r="D7221" i="106" s="1"/>
  <c r="B7165" i="106"/>
  <c r="D7165" i="106" s="1"/>
  <c r="B770" i="106"/>
  <c r="D770" i="106" s="1"/>
  <c r="B7174" i="106"/>
  <c r="D7174" i="106" s="1"/>
  <c r="K23" i="29"/>
  <c r="B6883" i="106" s="1"/>
  <c r="D6883" i="106" s="1"/>
  <c r="B6882" i="106"/>
  <c r="D6882" i="106" s="1"/>
  <c r="B7212" i="106"/>
  <c r="D7212" i="106" s="1"/>
  <c r="K339" i="29"/>
  <c r="B7213" i="106" s="1"/>
  <c r="D7213" i="106" s="1"/>
  <c r="K189" i="29"/>
  <c r="B3008" i="106" s="1"/>
  <c r="D3008" i="106" s="1"/>
  <c r="B2990" i="106"/>
  <c r="D2990" i="106" s="1"/>
  <c r="B1260" i="106"/>
  <c r="D1260" i="106" s="1"/>
  <c r="H127" i="29"/>
  <c r="B1264" i="106" s="1"/>
  <c r="D1264" i="106" s="1"/>
  <c r="B7113" i="106"/>
  <c r="D7113" i="106" s="1"/>
  <c r="B1422" i="106"/>
  <c r="D1422" i="106" s="1"/>
  <c r="D257" i="29"/>
  <c r="B1424" i="106" s="1"/>
  <c r="D1424" i="106" s="1"/>
  <c r="K245" i="29"/>
  <c r="B1486" i="106" s="1"/>
  <c r="D1486" i="106" s="1"/>
  <c r="B1431" i="106"/>
  <c r="D1431" i="106" s="1"/>
  <c r="K266" i="29"/>
  <c r="B1495" i="106" s="1"/>
  <c r="D1495" i="106" s="1"/>
  <c r="B7102" i="106"/>
  <c r="D7102" i="106" s="1"/>
  <c r="B6735" i="106"/>
  <c r="D6735" i="106" s="1"/>
  <c r="F149" i="34"/>
  <c r="F29" i="34" s="1"/>
  <c r="B6867" i="106"/>
  <c r="D6867" i="106" s="1"/>
  <c r="B983" i="106"/>
  <c r="D983" i="106" s="1"/>
  <c r="B7704" i="106"/>
  <c r="D7704" i="106" s="1"/>
  <c r="B6888" i="106"/>
  <c r="D6888" i="106" s="1"/>
  <c r="K26" i="29"/>
  <c r="B6889" i="106" s="1"/>
  <c r="D6889" i="106" s="1"/>
  <c r="B903" i="106"/>
  <c r="D903" i="106" s="1"/>
  <c r="B1442" i="106"/>
  <c r="D1442" i="106" s="1"/>
  <c r="K276" i="29"/>
  <c r="B1506" i="106" s="1"/>
  <c r="D1506" i="106" s="1"/>
  <c r="B917" i="106"/>
  <c r="D917" i="106" s="1"/>
  <c r="B6922" i="106"/>
  <c r="D6922" i="106" s="1"/>
  <c r="B7120" i="106"/>
  <c r="D7120" i="106" s="1"/>
  <c r="E330" i="29"/>
  <c r="B7201" i="106" s="1"/>
  <c r="D7201" i="106" s="1"/>
  <c r="D65" i="29"/>
  <c r="B803" i="106" s="1"/>
  <c r="D803" i="106" s="1"/>
  <c r="B796" i="106"/>
  <c r="D796" i="106" s="1"/>
  <c r="B1354" i="106"/>
  <c r="D1354" i="106" s="1"/>
  <c r="B880" i="106"/>
  <c r="D880" i="106" s="1"/>
  <c r="L42" i="29"/>
  <c r="B3655" i="106"/>
  <c r="D3655" i="106" s="1"/>
  <c r="B1046" i="106"/>
  <c r="D1046" i="106" s="1"/>
  <c r="B1357" i="106"/>
  <c r="D1357" i="106" s="1"/>
  <c r="K338" i="29"/>
  <c r="B7210" i="106"/>
  <c r="D7210" i="106" s="1"/>
  <c r="B841" i="106"/>
  <c r="D841" i="106" s="1"/>
  <c r="B7109" i="106"/>
  <c r="D7109" i="106" s="1"/>
  <c r="B1439" i="106"/>
  <c r="D1439" i="106" s="1"/>
  <c r="K274" i="29"/>
  <c r="B1503" i="106" s="1"/>
  <c r="D1503" i="106" s="1"/>
  <c r="B6768" i="106"/>
  <c r="D6768" i="106" s="1"/>
  <c r="B7040" i="106"/>
  <c r="D7040" i="106" s="1"/>
  <c r="B6648" i="106"/>
  <c r="D6648" i="106" s="1"/>
  <c r="F140" i="34"/>
  <c r="B4448" i="106"/>
  <c r="D4448" i="106" s="1"/>
  <c r="F164" i="34"/>
  <c r="B6841" i="106"/>
  <c r="D6841" i="106" s="1"/>
  <c r="B1438" i="106"/>
  <c r="D1438" i="106" s="1"/>
  <c r="K273" i="29"/>
  <c r="B1502" i="106" s="1"/>
  <c r="D1502" i="106" s="1"/>
  <c r="B7701" i="106"/>
  <c r="D7701" i="106" s="1"/>
  <c r="B1232" i="106"/>
  <c r="D1232" i="106" s="1"/>
  <c r="B3485" i="106"/>
  <c r="D3485" i="106" s="1"/>
  <c r="B7766" i="106"/>
  <c r="D7766" i="106" s="1"/>
  <c r="B1546" i="106"/>
  <c r="D1546" i="106" s="1"/>
  <c r="B842" i="106"/>
  <c r="D842" i="106" s="1"/>
  <c r="B6702" i="106"/>
  <c r="D6702" i="106" s="1"/>
  <c r="B7160" i="106"/>
  <c r="D7160" i="106" s="1"/>
  <c r="B1254" i="106"/>
  <c r="D1254" i="106" s="1"/>
  <c r="K126" i="29"/>
  <c r="B1277" i="106" s="1"/>
  <c r="D1277" i="106" s="1"/>
  <c r="L277" i="29"/>
  <c r="B7232" i="106"/>
  <c r="D7232" i="106" s="1"/>
  <c r="B1426" i="106"/>
  <c r="D1426" i="106" s="1"/>
  <c r="K260" i="29"/>
  <c r="B1490" i="106" s="1"/>
  <c r="D1490" i="106" s="1"/>
  <c r="B6880" i="106"/>
  <c r="D6880" i="106" s="1"/>
  <c r="K22" i="29"/>
  <c r="B6881" i="106" s="1"/>
  <c r="D6881" i="106" s="1"/>
  <c r="B845" i="106"/>
  <c r="D845" i="106" s="1"/>
  <c r="B6873" i="106"/>
  <c r="D6873" i="106" s="1"/>
  <c r="B6760" i="106"/>
  <c r="D6760" i="106" s="1"/>
  <c r="K95" i="29"/>
  <c r="B7001" i="106" s="1"/>
  <c r="D7001" i="106" s="1"/>
  <c r="B7000" i="106"/>
  <c r="D7000" i="106" s="1"/>
  <c r="B865" i="106"/>
  <c r="D865" i="106" s="1"/>
  <c r="B6926" i="106"/>
  <c r="D6926" i="106" s="1"/>
  <c r="I53" i="29"/>
  <c r="B6942" i="106" s="1"/>
  <c r="D6942" i="106" s="1"/>
  <c r="B721" i="106"/>
  <c r="D721" i="106" s="1"/>
  <c r="C42" i="29"/>
  <c r="B727" i="106" s="1"/>
  <c r="D727" i="106" s="1"/>
  <c r="K36" i="29"/>
  <c r="B7179" i="106"/>
  <c r="D7179" i="106" s="1"/>
  <c r="L137" i="29"/>
  <c r="L139" i="29" s="1"/>
  <c r="L151" i="29" s="1"/>
  <c r="B7194" i="106"/>
  <c r="D7194" i="106" s="1"/>
  <c r="K67" i="29"/>
  <c r="E33" i="108" s="1"/>
  <c r="B746" i="106"/>
  <c r="D746" i="106" s="1"/>
  <c r="C72" i="29"/>
  <c r="B753" i="106" s="1"/>
  <c r="D753" i="106" s="1"/>
  <c r="L84" i="29"/>
  <c r="D17" i="171"/>
  <c r="B4362" i="106"/>
  <c r="D4362" i="106" s="1"/>
  <c r="F173" i="34"/>
  <c r="K308" i="29"/>
  <c r="B4100" i="106" s="1"/>
  <c r="D4100" i="106" s="1"/>
  <c r="B7110" i="106"/>
  <c r="D7110" i="106" s="1"/>
  <c r="B7695" i="106"/>
  <c r="D7695" i="106" s="1"/>
  <c r="K166" i="29"/>
  <c r="B2819" i="106" s="1"/>
  <c r="D2819" i="106" s="1"/>
  <c r="B2813" i="106"/>
  <c r="D2813" i="106" s="1"/>
  <c r="B916" i="106"/>
  <c r="D916" i="106" s="1"/>
  <c r="B7256" i="106"/>
  <c r="B6985" i="106"/>
  <c r="D6985" i="106" s="1"/>
  <c r="K87" i="29"/>
  <c r="B6986" i="106" s="1"/>
  <c r="D6986" i="106" s="1"/>
  <c r="K253" i="29"/>
  <c r="B7092" i="106" s="1"/>
  <c r="D7092" i="106" s="1"/>
  <c r="B7091" i="106"/>
  <c r="D7091" i="106" s="1"/>
  <c r="B1418" i="106"/>
  <c r="D1418" i="106" s="1"/>
  <c r="D243" i="29"/>
  <c r="B1421" i="106" s="1"/>
  <c r="D1421" i="106" s="1"/>
  <c r="K240" i="29"/>
  <c r="B1482" i="106" s="1"/>
  <c r="D1482" i="106" s="1"/>
  <c r="J184" i="29"/>
  <c r="B7064" i="106" s="1"/>
  <c r="D7064" i="106" s="1"/>
  <c r="B7058" i="106"/>
  <c r="D7058" i="106" s="1"/>
  <c r="B1008" i="106"/>
  <c r="D1008" i="106" s="1"/>
  <c r="B7100" i="106"/>
  <c r="D7100" i="106" s="1"/>
  <c r="J303" i="29"/>
  <c r="B7104" i="106" s="1"/>
  <c r="D7104" i="106" s="1"/>
  <c r="B7247" i="106"/>
  <c r="B6966" i="106"/>
  <c r="D6966" i="106" s="1"/>
  <c r="B5860" i="106"/>
  <c r="D5860" i="106" s="1"/>
  <c r="B921" i="106"/>
  <c r="D921" i="106" s="1"/>
  <c r="B1029" i="106"/>
  <c r="D1029" i="106" s="1"/>
  <c r="B7134" i="106"/>
  <c r="D7134" i="106" s="1"/>
  <c r="B7157" i="106"/>
  <c r="D7157" i="106" s="1"/>
  <c r="B754" i="106"/>
  <c r="D754" i="106" s="1"/>
  <c r="K73" i="29"/>
  <c r="B1142" i="106" s="1"/>
  <c r="D1142" i="106" s="1"/>
  <c r="B7035" i="106"/>
  <c r="D7035" i="106" s="1"/>
  <c r="B728" i="106"/>
  <c r="D728" i="106" s="1"/>
  <c r="K44" i="29"/>
  <c r="C47" i="29"/>
  <c r="B731" i="106" s="1"/>
  <c r="D731" i="106" s="1"/>
  <c r="B7761" i="106"/>
  <c r="D7761" i="106" s="1"/>
  <c r="F162" i="34"/>
  <c r="K272" i="29"/>
  <c r="B1501" i="106" s="1"/>
  <c r="D1501" i="106" s="1"/>
  <c r="D277" i="29"/>
  <c r="B1444" i="106" s="1"/>
  <c r="D1444" i="106" s="1"/>
  <c r="B1437" i="106"/>
  <c r="D1437" i="106" s="1"/>
  <c r="L100" i="29"/>
  <c r="B1416" i="106"/>
  <c r="D1416" i="106" s="1"/>
  <c r="K237" i="29"/>
  <c r="B1480" i="106" s="1"/>
  <c r="D1480" i="106" s="1"/>
  <c r="K108" i="29"/>
  <c r="B2796" i="106" s="1"/>
  <c r="D2796" i="106" s="1"/>
  <c r="B2792" i="106"/>
  <c r="D2792" i="106" s="1"/>
  <c r="B7768" i="106"/>
  <c r="D7768" i="106" s="1"/>
  <c r="B6906" i="106"/>
  <c r="D6906" i="106" s="1"/>
  <c r="B2997" i="106"/>
  <c r="D2997" i="106" s="1"/>
  <c r="B6875" i="106"/>
  <c r="D6875" i="106" s="1"/>
  <c r="K165" i="29"/>
  <c r="B2818" i="106" s="1"/>
  <c r="D2818" i="106" s="1"/>
  <c r="B2812" i="106"/>
  <c r="D2812" i="106" s="1"/>
  <c r="E72" i="29"/>
  <c r="B869" i="106" s="1"/>
  <c r="D869" i="106" s="1"/>
  <c r="B862" i="106"/>
  <c r="D862" i="106" s="1"/>
  <c r="C184" i="29"/>
  <c r="K180" i="29"/>
  <c r="B4087" i="106" s="1"/>
  <c r="D4087" i="106" s="1"/>
  <c r="B4081" i="106"/>
  <c r="D4081" i="106" s="1"/>
  <c r="B857" i="106"/>
  <c r="D857" i="106" s="1"/>
  <c r="K329" i="29"/>
  <c r="B7705" i="106" s="1"/>
  <c r="D7705" i="106" s="1"/>
  <c r="B7697" i="106"/>
  <c r="D7697" i="106" s="1"/>
  <c r="B7138" i="106"/>
  <c r="D7138" i="106" s="1"/>
  <c r="B7228" i="106"/>
  <c r="D7228" i="106" s="1"/>
  <c r="B893" i="106"/>
  <c r="D893" i="106" s="1"/>
  <c r="B780" i="106"/>
  <c r="D780" i="106" s="1"/>
  <c r="B962" i="106"/>
  <c r="D962" i="106" s="1"/>
  <c r="K361" i="29"/>
  <c r="B7239" i="106" s="1"/>
  <c r="D7239" i="106" s="1"/>
  <c r="B7238" i="106"/>
  <c r="D7238" i="106" s="1"/>
  <c r="B6910" i="106"/>
  <c r="D6910" i="106" s="1"/>
  <c r="F47" i="29"/>
  <c r="B902" i="106"/>
  <c r="D902" i="106" s="1"/>
  <c r="B1350" i="106"/>
  <c r="D1350" i="106" s="1"/>
  <c r="B886" i="106"/>
  <c r="D886" i="106" s="1"/>
  <c r="B1002" i="106"/>
  <c r="D1002" i="106" s="1"/>
  <c r="B3646" i="106"/>
  <c r="D3646" i="106" s="1"/>
  <c r="B964" i="106"/>
  <c r="D964" i="106" s="1"/>
  <c r="G53" i="29"/>
  <c r="B966" i="106" s="1"/>
  <c r="D966" i="106" s="1"/>
  <c r="B6657" i="106"/>
  <c r="D6657" i="106" s="1"/>
  <c r="B781" i="106"/>
  <c r="D781" i="106" s="1"/>
  <c r="B3641" i="106"/>
  <c r="D3641" i="106" s="1"/>
  <c r="L270" i="29"/>
  <c r="L279" i="29" s="1"/>
  <c r="L295" i="29" s="1"/>
  <c r="B7155" i="106"/>
  <c r="D7155" i="106" s="1"/>
  <c r="B1033" i="106"/>
  <c r="D1033" i="106" s="1"/>
  <c r="B1347" i="106"/>
  <c r="D1347" i="106" s="1"/>
  <c r="K136" i="29"/>
  <c r="B2988" i="106" s="1"/>
  <c r="D2988" i="106" s="1"/>
  <c r="B4201" i="106"/>
  <c r="D4201" i="106" s="1"/>
  <c r="L285" i="29"/>
  <c r="B3060" i="106"/>
  <c r="D3060" i="106" s="1"/>
  <c r="B904" i="106"/>
  <c r="D904" i="106" s="1"/>
  <c r="H357" i="29"/>
  <c r="K356" i="29"/>
  <c r="K357" i="29" s="1"/>
  <c r="K15" i="4" s="1"/>
  <c r="K309" i="29"/>
  <c r="B3717" i="106" s="1"/>
  <c r="D3717" i="106" s="1"/>
  <c r="B7112" i="106"/>
  <c r="D7112" i="106" s="1"/>
  <c r="B3487" i="106"/>
  <c r="D3487" i="106" s="1"/>
  <c r="G72" i="29"/>
  <c r="B985" i="106" s="1"/>
  <c r="D985" i="106" s="1"/>
  <c r="B978" i="106"/>
  <c r="D978" i="106" s="1"/>
  <c r="B7249" i="106"/>
  <c r="D7249" i="106" s="1"/>
  <c r="K109" i="29"/>
  <c r="B1149" i="106" s="1"/>
  <c r="D1149" i="106" s="1"/>
  <c r="B1051" i="106"/>
  <c r="D1051" i="106" s="1"/>
  <c r="B956" i="106"/>
  <c r="D956" i="106" s="1"/>
  <c r="B7061" i="106"/>
  <c r="D7061" i="106" s="1"/>
  <c r="B4192" i="106"/>
  <c r="D4192" i="106" s="1"/>
  <c r="K220" i="29"/>
  <c r="B7078" i="106" s="1"/>
  <c r="D7078" i="106" s="1"/>
  <c r="B7077" i="106"/>
  <c r="D7077" i="106" s="1"/>
  <c r="K46" i="29"/>
  <c r="B1118" i="106" s="1"/>
  <c r="D1118" i="106" s="1"/>
  <c r="B730" i="106"/>
  <c r="D730" i="106" s="1"/>
  <c r="B7690" i="106"/>
  <c r="D7690" i="106" s="1"/>
  <c r="B4419" i="106"/>
  <c r="D4419" i="106" s="1"/>
  <c r="B6979" i="106"/>
  <c r="D6979" i="106" s="1"/>
  <c r="B7172" i="106"/>
  <c r="D7172" i="106" s="1"/>
  <c r="K325" i="29"/>
  <c r="B7180" i="106" s="1"/>
  <c r="D7180" i="106" s="1"/>
  <c r="B2956" i="106"/>
  <c r="D2956" i="106" s="1"/>
  <c r="B7149" i="106"/>
  <c r="D7149" i="106" s="1"/>
  <c r="B1227" i="106"/>
  <c r="D1227" i="106" s="1"/>
  <c r="D127" i="29"/>
  <c r="B1231" i="106" s="1"/>
  <c r="D1231" i="106" s="1"/>
  <c r="B7111" i="106"/>
  <c r="D7111" i="106" s="1"/>
  <c r="B6944" i="106"/>
  <c r="D6944" i="106" s="1"/>
  <c r="I57" i="29"/>
  <c r="B6948" i="106" s="1"/>
  <c r="D6948" i="106" s="1"/>
  <c r="B6900" i="106"/>
  <c r="D6900" i="106" s="1"/>
  <c r="K32" i="29"/>
  <c r="B7163" i="106"/>
  <c r="D7163" i="106" s="1"/>
  <c r="K324" i="29"/>
  <c r="B7171" i="106" s="1"/>
  <c r="D7171" i="106" s="1"/>
  <c r="B6945" i="106"/>
  <c r="D6945" i="106" s="1"/>
  <c r="J57" i="29"/>
  <c r="B6949" i="106" s="1"/>
  <c r="D6949" i="106" s="1"/>
  <c r="L204" i="29"/>
  <c r="L208" i="29" s="1"/>
  <c r="L210" i="29" s="1"/>
  <c r="B6957" i="106"/>
  <c r="D6957" i="106" s="1"/>
  <c r="K188" i="29"/>
  <c r="B3007" i="106" s="1"/>
  <c r="D3007" i="106" s="1"/>
  <c r="B2989" i="106"/>
  <c r="D2989" i="106" s="1"/>
  <c r="E194" i="29"/>
  <c r="E196" i="29" s="1"/>
  <c r="B1352" i="106" s="1"/>
  <c r="D1352" i="106" s="1"/>
  <c r="B3000" i="106"/>
  <c r="D3000" i="106" s="1"/>
  <c r="B6989" i="106"/>
  <c r="D6989" i="106" s="1"/>
  <c r="K89" i="29"/>
  <c r="B6990" i="106" s="1"/>
  <c r="D6990" i="106" s="1"/>
  <c r="J47" i="29"/>
  <c r="B6925" i="106" s="1"/>
  <c r="D6925" i="106" s="1"/>
  <c r="B6919" i="106"/>
  <c r="D6919" i="106" s="1"/>
  <c r="B2981" i="106"/>
  <c r="D2981" i="106" s="1"/>
  <c r="B7101" i="106"/>
  <c r="D7101" i="106" s="1"/>
  <c r="B6859" i="106"/>
  <c r="D6859" i="106" s="1"/>
  <c r="B1009" i="106"/>
  <c r="D1009" i="106" s="1"/>
  <c r="B4189" i="106"/>
  <c r="D4189" i="106" s="1"/>
  <c r="F171" i="34"/>
  <c r="K249" i="29"/>
  <c r="B7084" i="106" s="1"/>
  <c r="D7084" i="106" s="1"/>
  <c r="B7083" i="106"/>
  <c r="D7083" i="106" s="1"/>
  <c r="B7183" i="106"/>
  <c r="D7183" i="106" s="1"/>
  <c r="D350" i="29"/>
  <c r="B3626" i="106" s="1"/>
  <c r="D3626" i="106" s="1"/>
  <c r="B3624" i="106"/>
  <c r="D3624" i="106" s="1"/>
  <c r="B6905" i="106"/>
  <c r="D6905" i="106" s="1"/>
  <c r="J42" i="29"/>
  <c r="K64" i="29"/>
  <c r="B1131" i="106" s="1"/>
  <c r="D1131" i="106" s="1"/>
  <c r="B743" i="106"/>
  <c r="D743" i="106" s="1"/>
  <c r="B3370" i="106"/>
  <c r="D3370" i="106" s="1"/>
  <c r="B5496" i="106"/>
  <c r="D5496" i="106" s="1"/>
  <c r="B6936" i="106"/>
  <c r="D6936" i="106" s="1"/>
  <c r="I65" i="29"/>
  <c r="B6961" i="106" s="1"/>
  <c r="D6961" i="106" s="1"/>
  <c r="B6950" i="106"/>
  <c r="D6950" i="106" s="1"/>
  <c r="I127" i="29"/>
  <c r="B7033" i="106" s="1"/>
  <c r="D7033" i="106" s="1"/>
  <c r="B7024" i="106"/>
  <c r="D7024" i="106" s="1"/>
  <c r="B3645" i="106"/>
  <c r="D3645" i="106" s="1"/>
  <c r="G350" i="29"/>
  <c r="G352" i="29" s="1"/>
  <c r="H84" i="29"/>
  <c r="B2081" i="106" s="1"/>
  <c r="D2081" i="106" s="1"/>
  <c r="B2955" i="106"/>
  <c r="D2955" i="106" s="1"/>
  <c r="D184" i="29"/>
  <c r="B1345" i="106" s="1"/>
  <c r="D1345" i="106" s="1"/>
  <c r="B4082" i="106"/>
  <c r="D4082" i="106" s="1"/>
  <c r="B777" i="106"/>
  <c r="D777" i="106" s="1"/>
  <c r="G47" i="29"/>
  <c r="B963" i="106" s="1"/>
  <c r="D963" i="106" s="1"/>
  <c r="B960" i="106"/>
  <c r="D960" i="106" s="1"/>
  <c r="B1039" i="106"/>
  <c r="D1039" i="106" s="1"/>
  <c r="B1534" i="106"/>
  <c r="D1534" i="106" s="1"/>
  <c r="K263" i="29"/>
  <c r="B1492" i="106" s="1"/>
  <c r="D1492" i="106" s="1"/>
  <c r="B1428" i="106"/>
  <c r="D1428" i="106" s="1"/>
  <c r="D270" i="29"/>
  <c r="B1436" i="106" s="1"/>
  <c r="D1436" i="106" s="1"/>
  <c r="B1220" i="106"/>
  <c r="D1220" i="106" s="1"/>
  <c r="K123" i="29"/>
  <c r="B1275" i="106" s="1"/>
  <c r="D1275" i="106" s="1"/>
  <c r="B910" i="106"/>
  <c r="D910" i="106" s="1"/>
  <c r="K31" i="29"/>
  <c r="B6899" i="106" s="1"/>
  <c r="D6899" i="106" s="1"/>
  <c r="B6898" i="106"/>
  <c r="D6898" i="106" s="1"/>
  <c r="B2822" i="106"/>
  <c r="D2822" i="106" s="1"/>
  <c r="B7151" i="106"/>
  <c r="D7151" i="106" s="1"/>
  <c r="B4360" i="106"/>
  <c r="D4360" i="106" s="1"/>
  <c r="B4417" i="106"/>
  <c r="D4417" i="106" s="1"/>
  <c r="K97" i="29"/>
  <c r="B7005" i="106" s="1"/>
  <c r="D7005" i="106" s="1"/>
  <c r="B7004" i="106"/>
  <c r="D7004" i="106" s="1"/>
  <c r="I184" i="29"/>
  <c r="B7063" i="106" s="1"/>
  <c r="D7063" i="106" s="1"/>
  <c r="B7057" i="106"/>
  <c r="D7057" i="106" s="1"/>
  <c r="B973" i="106"/>
  <c r="D973" i="106" s="1"/>
  <c r="B4865" i="106"/>
  <c r="D4865" i="106" s="1"/>
  <c r="B784" i="106"/>
  <c r="D784" i="106" s="1"/>
  <c r="B788" i="106"/>
  <c r="D788" i="106" s="1"/>
  <c r="B7186" i="106"/>
  <c r="D7186" i="106" s="1"/>
  <c r="K130" i="29"/>
  <c r="B2797" i="106"/>
  <c r="D2797" i="106" s="1"/>
  <c r="B7167" i="106"/>
  <c r="D7167" i="106" s="1"/>
  <c r="B6689" i="106"/>
  <c r="D6689" i="106" s="1"/>
  <c r="B2807" i="106"/>
  <c r="D2807" i="106" s="1"/>
  <c r="K144" i="29"/>
  <c r="B2810" i="106" s="1"/>
  <c r="D2810" i="106" s="1"/>
  <c r="L310" i="29"/>
  <c r="K206" i="29"/>
  <c r="B4211" i="106" s="1"/>
  <c r="D4211" i="106" s="1"/>
  <c r="B4210" i="106"/>
  <c r="D4210" i="106" s="1"/>
  <c r="B872" i="106"/>
  <c r="D872" i="106" s="1"/>
  <c r="B1537" i="106"/>
  <c r="D1537" i="106" s="1"/>
  <c r="F303" i="29"/>
  <c r="B1541" i="106" s="1"/>
  <c r="D1541" i="106" s="1"/>
  <c r="B2827" i="106"/>
  <c r="D2827" i="106" s="1"/>
  <c r="H92" i="29"/>
  <c r="B6981" i="106"/>
  <c r="D6981" i="106" s="1"/>
  <c r="K85" i="29"/>
  <c r="B6982" i="106" s="1"/>
  <c r="D6982" i="106" s="1"/>
  <c r="K252" i="29"/>
  <c r="B7090" i="106" s="1"/>
  <c r="D7090" i="106" s="1"/>
  <c r="B7089" i="106"/>
  <c r="D7089" i="106" s="1"/>
  <c r="B1221" i="106"/>
  <c r="D1221" i="106" s="1"/>
  <c r="K124" i="29"/>
  <c r="B1276" i="106" s="1"/>
  <c r="D1276" i="106" s="1"/>
  <c r="B6846" i="106"/>
  <c r="D6846" i="106" s="1"/>
  <c r="B7197" i="106"/>
  <c r="D7197" i="106" s="1"/>
  <c r="B2998" i="106"/>
  <c r="D2998" i="106" s="1"/>
  <c r="B2092" i="106"/>
  <c r="D2092" i="106" s="1"/>
  <c r="K138" i="29"/>
  <c r="B2094" i="106" s="1"/>
  <c r="D2094" i="106" s="1"/>
  <c r="B3486" i="106"/>
  <c r="D3486" i="106" s="1"/>
  <c r="B1268" i="106"/>
  <c r="D1268" i="106" s="1"/>
  <c r="H147" i="29"/>
  <c r="K142" i="29"/>
  <c r="K147" i="29" s="1"/>
  <c r="B7158" i="106"/>
  <c r="D7158" i="106" s="1"/>
  <c r="B3627" i="106"/>
  <c r="D3627" i="106" s="1"/>
  <c r="B791" i="106"/>
  <c r="D791" i="106" s="1"/>
  <c r="B1447" i="106"/>
  <c r="D1447" i="106" s="1"/>
  <c r="K280" i="29"/>
  <c r="B1396" i="106"/>
  <c r="D1396" i="106" s="1"/>
  <c r="K225" i="29"/>
  <c r="B1460" i="106" s="1"/>
  <c r="D1460" i="106" s="1"/>
  <c r="B5855" i="106"/>
  <c r="D5855" i="106" s="1"/>
  <c r="B2996" i="106"/>
  <c r="D2996" i="106" s="1"/>
  <c r="B6969" i="106"/>
  <c r="D6969" i="106" s="1"/>
  <c r="B6799" i="106"/>
  <c r="D6799" i="106" s="1"/>
  <c r="F156" i="34"/>
  <c r="B724" i="106"/>
  <c r="D724" i="106" s="1"/>
  <c r="K39" i="29"/>
  <c r="B1112" i="106" s="1"/>
  <c r="D1112" i="106" s="1"/>
  <c r="B6955" i="106"/>
  <c r="D6955" i="106" s="1"/>
  <c r="B2799" i="106"/>
  <c r="D2799" i="106" s="1"/>
  <c r="B3058" i="106"/>
  <c r="D3058" i="106" s="1"/>
  <c r="K264" i="29"/>
  <c r="B1493" i="106" s="1"/>
  <c r="D1493" i="106" s="1"/>
  <c r="B1429" i="106"/>
  <c r="D1429" i="106" s="1"/>
  <c r="B7702" i="106"/>
  <c r="D7702" i="106" s="1"/>
  <c r="B6937" i="106"/>
  <c r="D6937" i="106" s="1"/>
  <c r="B7227" i="106"/>
  <c r="D7227" i="106" s="1"/>
  <c r="J350" i="29"/>
  <c r="B7231" i="106" s="1"/>
  <c r="D7231" i="106" s="1"/>
  <c r="B735" i="106"/>
  <c r="D735" i="106" s="1"/>
  <c r="C57" i="29"/>
  <c r="B737" i="106" s="1"/>
  <c r="D737" i="106" s="1"/>
  <c r="K55" i="29"/>
  <c r="B3372" i="106"/>
  <c r="D3372" i="106" s="1"/>
  <c r="B6751" i="106"/>
  <c r="D6751" i="106" s="1"/>
  <c r="B6909" i="106"/>
  <c r="D6909" i="106" s="1"/>
  <c r="B4853" i="106"/>
  <c r="D4853" i="106" s="1"/>
  <c r="B3634" i="106"/>
  <c r="D3634" i="106" s="1"/>
  <c r="B1022" i="106"/>
  <c r="D1022" i="106" s="1"/>
  <c r="H53" i="29"/>
  <c r="B1024" i="106" s="1"/>
  <c r="D1024" i="106" s="1"/>
  <c r="B899" i="106"/>
  <c r="D899" i="106" s="1"/>
  <c r="B6967" i="106"/>
  <c r="D6967" i="106" s="1"/>
  <c r="B858" i="106"/>
  <c r="D858" i="106" s="1"/>
  <c r="F143" i="34"/>
  <c r="B6672" i="106"/>
  <c r="D6672" i="106" s="1"/>
  <c r="K224" i="29"/>
  <c r="B1473" i="106" s="1"/>
  <c r="D1473" i="106" s="1"/>
  <c r="B1409" i="106"/>
  <c r="D1409" i="106" s="1"/>
  <c r="J65" i="29"/>
  <c r="B6962" i="106" s="1"/>
  <c r="D6962" i="106" s="1"/>
  <c r="B6951" i="106"/>
  <c r="D6951" i="106" s="1"/>
  <c r="B7176" i="106"/>
  <c r="D7176" i="106" s="1"/>
  <c r="B3653" i="106"/>
  <c r="D3653" i="106" s="1"/>
  <c r="L330" i="29"/>
  <c r="K107" i="29"/>
  <c r="B2795" i="106" s="1"/>
  <c r="D2795" i="106" s="1"/>
  <c r="B2791" i="106"/>
  <c r="D2791" i="106" s="1"/>
  <c r="B7175" i="106"/>
  <c r="D7175" i="106" s="1"/>
  <c r="H362" i="29"/>
  <c r="B3658" i="106" s="1"/>
  <c r="D3658" i="106" s="1"/>
  <c r="K360" i="29"/>
  <c r="B3675" i="106" s="1"/>
  <c r="D3675" i="106" s="1"/>
  <c r="B3657" i="106"/>
  <c r="D3657" i="106" s="1"/>
  <c r="K242" i="29"/>
  <c r="B1484" i="106" s="1"/>
  <c r="D1484" i="106" s="1"/>
  <c r="B1420" i="106"/>
  <c r="D1420" i="106" s="1"/>
  <c r="B839" i="106"/>
  <c r="D839" i="106" s="1"/>
  <c r="D285" i="29"/>
  <c r="B3722" i="106" s="1"/>
  <c r="D3722" i="106" s="1"/>
  <c r="K283" i="29"/>
  <c r="B3723" i="106" s="1"/>
  <c r="D3723" i="106" s="1"/>
  <c r="B3721" i="106"/>
  <c r="D3721" i="106" s="1"/>
  <c r="E350" i="29"/>
  <c r="B3631" i="106"/>
  <c r="D3631" i="106" s="1"/>
  <c r="B6792" i="106"/>
  <c r="D6792" i="106" s="1"/>
  <c r="B2826" i="106"/>
  <c r="D2826" i="106" s="1"/>
  <c r="B951" i="106"/>
  <c r="D951" i="106" s="1"/>
  <c r="B6620" i="106"/>
  <c r="D6620" i="106" s="1"/>
  <c r="J259" i="5"/>
  <c r="J273" i="5" s="1"/>
  <c r="J274" i="5" s="1"/>
  <c r="B7054" i="106" s="1"/>
  <c r="D7054" i="106" s="1"/>
  <c r="B1407" i="106"/>
  <c r="D1407" i="106" s="1"/>
  <c r="K222" i="29"/>
  <c r="B1471" i="106" s="1"/>
  <c r="D1471" i="106" s="1"/>
  <c r="B6711" i="106"/>
  <c r="D6711" i="106" s="1"/>
  <c r="B896" i="106"/>
  <c r="D896" i="106" s="1"/>
  <c r="K120" i="29"/>
  <c r="B4080" i="106" s="1"/>
  <c r="D4080" i="106" s="1"/>
  <c r="B4074" i="106"/>
  <c r="D4074" i="106" s="1"/>
  <c r="B1261" i="106"/>
  <c r="D1261" i="106" s="1"/>
  <c r="B794" i="106"/>
  <c r="D794" i="106" s="1"/>
  <c r="H273" i="5"/>
  <c r="B4441" i="106" s="1"/>
  <c r="D4441" i="106" s="1"/>
  <c r="L13" i="11"/>
  <c r="B2060" i="106" s="1"/>
  <c r="D2060" i="106" s="1"/>
  <c r="E35" i="108"/>
  <c r="F45" i="34"/>
  <c r="G35" i="108"/>
  <c r="F26" i="108"/>
  <c r="G33" i="108"/>
  <c r="G30" i="108"/>
  <c r="D31" i="36"/>
  <c r="D69" i="36"/>
  <c r="L5" i="11"/>
  <c r="B2056" i="106" s="1"/>
  <c r="D2056" i="106" s="1"/>
  <c r="D5" i="4"/>
  <c r="B3406" i="106" s="1"/>
  <c r="D3406" i="106" s="1"/>
  <c r="F69" i="34"/>
  <c r="F41" i="34"/>
  <c r="D26" i="108"/>
  <c r="B1126" i="106"/>
  <c r="D1126" i="106" s="1"/>
  <c r="B2836" i="106"/>
  <c r="D2836" i="106" s="1"/>
  <c r="E30" i="108"/>
  <c r="F72" i="34"/>
  <c r="B1746" i="106"/>
  <c r="D1746" i="106" s="1"/>
  <c r="F38" i="34"/>
  <c r="B7076" i="106"/>
  <c r="D7076"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B279" i="106"/>
  <c r="D279" i="106" s="1"/>
  <c r="D14" i="4"/>
  <c r="B2570" i="106" s="1"/>
  <c r="D2570" i="106" s="1"/>
  <c r="F37" i="108"/>
  <c r="E26" i="108"/>
  <c r="J210" i="29"/>
  <c r="B7072" i="106" s="1"/>
  <c r="D7072" i="106" s="1"/>
  <c r="F106" i="34"/>
  <c r="H76" i="4"/>
  <c r="B3298" i="106" s="1"/>
  <c r="D3298" i="106" s="1"/>
  <c r="F14" i="4"/>
  <c r="B2597" i="106" s="1"/>
  <c r="D2597" i="106" s="1"/>
  <c r="C14" i="4"/>
  <c r="B2558" i="106" s="1"/>
  <c r="D2558" i="106" s="1"/>
  <c r="B5096" i="106"/>
  <c r="D5096" i="106" s="1"/>
  <c r="F35" i="34"/>
  <c r="B1124" i="106"/>
  <c r="D1124" i="106" s="1"/>
  <c r="D13" i="7"/>
  <c r="B3726" i="106" s="1"/>
  <c r="D3726" i="106" s="1"/>
  <c r="F70" i="34"/>
  <c r="H112" i="29"/>
  <c r="B7018" i="106" s="1"/>
  <c r="D7018" i="106" s="1"/>
  <c r="H365" i="29"/>
  <c r="B7242" i="106" s="1"/>
  <c r="D7242" i="106" s="1"/>
  <c r="I210" i="29"/>
  <c r="B7071" i="106" s="1"/>
  <c r="D7071" i="106" s="1"/>
  <c r="K76" i="4"/>
  <c r="B3586" i="106" s="1"/>
  <c r="D3586" i="106" s="1"/>
  <c r="B5161" i="106"/>
  <c r="D5161" i="106" s="1"/>
  <c r="F128" i="34"/>
  <c r="B4373" i="106"/>
  <c r="D4373" i="106" s="1"/>
  <c r="K173" i="5"/>
  <c r="K6" i="4" s="1"/>
  <c r="B3570" i="106" s="1"/>
  <c r="D3570" i="106" s="1"/>
  <c r="F136" i="34"/>
  <c r="B7074" i="106"/>
  <c r="D7074" i="106" s="1"/>
  <c r="G26" i="108"/>
  <c r="B1274" i="106"/>
  <c r="D1274" i="106" s="1"/>
  <c r="G34" i="108"/>
  <c r="F50" i="34"/>
  <c r="F46" i="34"/>
  <c r="F130" i="34"/>
  <c r="F127" i="34"/>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E109" i="5"/>
  <c r="E4" i="4" s="1"/>
  <c r="B2630" i="106" s="1"/>
  <c r="D2630" i="106" s="1"/>
  <c r="B3649" i="106"/>
  <c r="D3649" i="106" s="1"/>
  <c r="G367" i="29"/>
  <c r="B3650" i="106" s="1"/>
  <c r="D3650" i="106" s="1"/>
  <c r="K350" i="29"/>
  <c r="F77" i="4"/>
  <c r="B3255" i="106" s="1"/>
  <c r="D3255" i="106" s="1"/>
  <c r="K24" i="12"/>
  <c r="B3647" i="106"/>
  <c r="D3647" i="106" s="1"/>
  <c r="L15" i="11"/>
  <c r="B3459" i="106" s="1"/>
  <c r="D3459" i="106" s="1"/>
  <c r="G210" i="29"/>
  <c r="L312" i="29"/>
  <c r="B1410" i="106"/>
  <c r="D1410" i="106" s="1"/>
  <c r="B1329" i="106"/>
  <c r="D1329" i="106" s="1"/>
  <c r="F61" i="34"/>
  <c r="H295" i="29"/>
  <c r="B1454" i="106" s="1"/>
  <c r="D1454" i="106" s="1"/>
  <c r="J90" i="28"/>
  <c r="H352" i="29"/>
  <c r="B3656" i="106" s="1"/>
  <c r="D3656" i="106" s="1"/>
  <c r="E102" i="29"/>
  <c r="B2790" i="106" s="1"/>
  <c r="D2790" i="106" s="1"/>
  <c r="J342" i="29"/>
  <c r="B7223" i="106" s="1"/>
  <c r="D7223" i="106" s="1"/>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38" i="106"/>
  <c r="D6838" i="106" s="1"/>
  <c r="D172" i="5"/>
  <c r="B5412" i="106" s="1"/>
  <c r="D5412" i="106" s="1"/>
  <c r="B5618" i="106"/>
  <c r="D5618" i="106" s="1"/>
  <c r="K109" i="5"/>
  <c r="F16" i="11"/>
  <c r="B2031" i="106" s="1"/>
  <c r="D2031" i="106" s="1"/>
  <c r="F40" i="34"/>
  <c r="B7200" i="106"/>
  <c r="D7200" i="106" s="1"/>
  <c r="D342" i="29"/>
  <c r="B7217" i="106" s="1"/>
  <c r="D7217" i="106" s="1"/>
  <c r="B7144" i="106"/>
  <c r="D7144" i="106" s="1"/>
  <c r="B6901" i="106"/>
  <c r="D6901" i="106" s="1"/>
  <c r="F51" i="34"/>
  <c r="B6885" i="106"/>
  <c r="D6885" i="106" s="1"/>
  <c r="F43" i="34"/>
  <c r="B7211" i="106"/>
  <c r="D7211" i="106" s="1"/>
  <c r="K340" i="29"/>
  <c r="B6893" i="106"/>
  <c r="D6893" i="106" s="1"/>
  <c r="F47" i="34"/>
  <c r="F39" i="34"/>
  <c r="B3703" i="106"/>
  <c r="D3703" i="106" s="1"/>
  <c r="I76" i="4"/>
  <c r="K16" i="11"/>
  <c r="B2055" i="106" s="1"/>
  <c r="D2055" i="106" s="1"/>
  <c r="H312" i="29"/>
  <c r="B1554" i="106" s="1"/>
  <c r="D1554" i="106" s="1"/>
  <c r="B1512" i="106"/>
  <c r="D1512" i="106" s="1"/>
  <c r="H129" i="29"/>
  <c r="B122" i="106"/>
  <c r="D122" i="106" s="1"/>
  <c r="E17" i="145"/>
  <c r="G17" i="145" s="1"/>
  <c r="B1134" i="106"/>
  <c r="D1134" i="106" s="1"/>
  <c r="B7759" i="106"/>
  <c r="D7759" i="106" s="1"/>
  <c r="B1339" i="106"/>
  <c r="D1339" i="106" s="1"/>
  <c r="C210" i="29"/>
  <c r="B1340" i="106" s="1"/>
  <c r="D1340" i="106" s="1"/>
  <c r="B169" i="106"/>
  <c r="D169" i="106" s="1"/>
  <c r="E16" i="145"/>
  <c r="G16" i="145"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L102" i="29"/>
  <c r="B1121" i="106"/>
  <c r="D1121" i="106" s="1"/>
  <c r="E12" i="145"/>
  <c r="B1116" i="106"/>
  <c r="D1116" i="106" s="1"/>
  <c r="B7600" i="106"/>
  <c r="L6" i="11"/>
  <c r="B7605" i="106" s="1"/>
  <c r="A7250" i="106"/>
  <c r="A7251" i="106" s="1"/>
  <c r="A7252" i="106" s="1"/>
  <c r="A7253" i="106" s="1"/>
  <c r="A7254" i="106" s="1"/>
  <c r="A7255" i="106" s="1"/>
  <c r="A7256" i="106" s="1"/>
  <c r="A7257" i="106" s="1"/>
  <c r="E273" i="5"/>
  <c r="B6835" i="106"/>
  <c r="D6835" i="106" s="1"/>
  <c r="G273" i="5"/>
  <c r="B4398" i="106"/>
  <c r="D4398" i="106" s="1"/>
  <c r="B5537" i="106"/>
  <c r="D5537" i="106" s="1"/>
  <c r="E173" i="5"/>
  <c r="I109" i="5"/>
  <c r="B7618" i="106"/>
  <c r="L14" i="11"/>
  <c r="B7623" i="106" s="1"/>
  <c r="I352" i="29"/>
  <c r="I367" i="29" s="1"/>
  <c r="B7202" i="106"/>
  <c r="D7202" i="106" s="1"/>
  <c r="F342" i="29"/>
  <c r="B7219" i="106" s="1"/>
  <c r="D7219" i="106" s="1"/>
  <c r="B7503" i="106"/>
  <c r="B7531" i="106"/>
  <c r="D7253" i="106"/>
  <c r="B6917" i="106"/>
  <c r="D6917" i="106" s="1"/>
  <c r="D273" i="5"/>
  <c r="B5501" i="106" s="1"/>
  <c r="D5501" i="106" s="1"/>
  <c r="D7248" i="106"/>
  <c r="D7247" i="106"/>
  <c r="D7246" i="106"/>
  <c r="B6916" i="106"/>
  <c r="D6916" i="106" s="1"/>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B4099" i="106"/>
  <c r="D4099" i="106" s="1"/>
  <c r="G312" i="29"/>
  <c r="B1548" i="106" s="1"/>
  <c r="D1548" i="106" s="1"/>
  <c r="F312" i="29"/>
  <c r="B1542" i="106" s="1"/>
  <c r="D1542" i="106" s="1"/>
  <c r="B1523" i="106"/>
  <c r="D1523" i="106" s="1"/>
  <c r="C312" i="29"/>
  <c r="B1524" i="106" s="1"/>
  <c r="D1524" i="106" s="1"/>
  <c r="B1475" i="106"/>
  <c r="D1475" i="106" s="1"/>
  <c r="K204" i="29"/>
  <c r="B2842" i="106"/>
  <c r="D2842" i="106" s="1"/>
  <c r="B1127" i="106"/>
  <c r="D1127" i="106" s="1"/>
  <c r="K65" i="29"/>
  <c r="B1133" i="106" s="1"/>
  <c r="D1133" i="106" s="1"/>
  <c r="B1123" i="106"/>
  <c r="D1123" i="106" s="1"/>
  <c r="K57" i="29"/>
  <c r="B3640" i="106"/>
  <c r="D3640" i="106" s="1"/>
  <c r="B3296" i="106"/>
  <c r="D3296" i="106" s="1"/>
  <c r="G77" i="4"/>
  <c r="B3261" i="106" s="1"/>
  <c r="D3261" i="106" s="1"/>
  <c r="L12" i="11"/>
  <c r="B2059" i="106" s="1"/>
  <c r="D2059" i="106" s="1"/>
  <c r="L8" i="11"/>
  <c r="B2057" i="106" s="1"/>
  <c r="D2057" i="106" s="1"/>
  <c r="G24" i="12"/>
  <c r="H196" i="29"/>
  <c r="B2828" i="106"/>
  <c r="D2828" i="106" s="1"/>
  <c r="B1135" i="106"/>
  <c r="D1135" i="106" s="1"/>
  <c r="K72" i="29"/>
  <c r="B1141" i="106" s="1"/>
  <c r="D1141" i="106" s="1"/>
  <c r="B847" i="106"/>
  <c r="D847" i="106" s="1"/>
  <c r="B1144" i="106"/>
  <c r="D1144" i="106" s="1"/>
  <c r="B1358" i="106"/>
  <c r="D1358" i="106" s="1"/>
  <c r="F210" i="29"/>
  <c r="B1359" i="106" s="1"/>
  <c r="D1359" i="106" s="1"/>
  <c r="B1247" i="106"/>
  <c r="D1247" i="106" s="1"/>
  <c r="D129" i="29"/>
  <c r="B1109" i="106"/>
  <c r="D1109" i="106" s="1"/>
  <c r="B905" i="106"/>
  <c r="D905" i="106" s="1"/>
  <c r="B211" i="106"/>
  <c r="D211" i="106" s="1"/>
  <c r="B188" i="106"/>
  <c r="D188" i="106" s="1"/>
  <c r="B139" i="106"/>
  <c r="D139" i="106" s="1"/>
  <c r="J19" i="145"/>
  <c r="D82" i="36" s="1"/>
  <c r="C273" i="5"/>
  <c r="J24" i="12"/>
  <c r="B7730" i="106"/>
  <c r="D7730" i="106" s="1"/>
  <c r="B7270" i="106"/>
  <c r="L342" i="29" l="1"/>
  <c r="K362" i="29"/>
  <c r="B3676" i="106" s="1"/>
  <c r="D3676" i="106" s="1"/>
  <c r="L367" i="29"/>
  <c r="J352" i="29"/>
  <c r="J367" i="29" s="1"/>
  <c r="B7245" i="106" s="1"/>
  <c r="D7245" i="106" s="1"/>
  <c r="D352" i="29"/>
  <c r="D367" i="29" s="1"/>
  <c r="B3629" i="106" s="1"/>
  <c r="D3629" i="106" s="1"/>
  <c r="K310" i="29"/>
  <c r="K303" i="29"/>
  <c r="I312" i="29"/>
  <c r="B7116" i="106" s="1"/>
  <c r="D7116" i="106" s="1"/>
  <c r="D312" i="29"/>
  <c r="B1530" i="106" s="1"/>
  <c r="D1530" i="106" s="1"/>
  <c r="J312" i="29"/>
  <c r="B7117" i="106" s="1"/>
  <c r="D7117" i="106" s="1"/>
  <c r="E312" i="29"/>
  <c r="B1536" i="106" s="1"/>
  <c r="D1536" i="106" s="1"/>
  <c r="F71" i="34"/>
  <c r="K229" i="29"/>
  <c r="F64" i="34"/>
  <c r="B4156" i="106"/>
  <c r="D4156" i="106" s="1"/>
  <c r="B1283" i="106"/>
  <c r="D1283" i="106" s="1"/>
  <c r="B1225" i="106"/>
  <c r="D1225" i="106" s="1"/>
  <c r="K127" i="29"/>
  <c r="B1279" i="106" s="1"/>
  <c r="D1279" i="106" s="1"/>
  <c r="G129" i="29"/>
  <c r="B1258" i="106" s="1"/>
  <c r="D1258" i="106" s="1"/>
  <c r="E129" i="29"/>
  <c r="B1241" i="106" s="1"/>
  <c r="D1241" i="106" s="1"/>
  <c r="E28" i="108"/>
  <c r="F28" i="108"/>
  <c r="G29" i="108"/>
  <c r="I129" i="29"/>
  <c r="B7037" i="106" s="1"/>
  <c r="D7037" i="106" s="1"/>
  <c r="J129" i="29"/>
  <c r="B7038" i="106" s="1"/>
  <c r="D7038" i="106" s="1"/>
  <c r="G15" i="145"/>
  <c r="H102" i="29"/>
  <c r="B1047" i="106" s="1"/>
  <c r="D1047" i="106" s="1"/>
  <c r="D37" i="108"/>
  <c r="D36" i="108"/>
  <c r="F36" i="108"/>
  <c r="L74" i="29"/>
  <c r="L114" i="29" s="1"/>
  <c r="E29" i="108"/>
  <c r="F27" i="108"/>
  <c r="F74" i="29"/>
  <c r="B929" i="106" s="1"/>
  <c r="D929" i="106" s="1"/>
  <c r="B2724" i="106"/>
  <c r="D2724" i="106" s="1"/>
  <c r="K53" i="29"/>
  <c r="F49" i="34"/>
  <c r="F44" i="34"/>
  <c r="F34" i="34"/>
  <c r="F37" i="34"/>
  <c r="H74" i="29"/>
  <c r="H114" i="29" s="1"/>
  <c r="B1054" i="106" s="1"/>
  <c r="D1054" i="106" s="1"/>
  <c r="K100" i="29"/>
  <c r="B7013" i="106" s="1"/>
  <c r="D7013" i="106" s="1"/>
  <c r="K270" i="29"/>
  <c r="B1500" i="106" s="1"/>
  <c r="D1500" i="106" s="1"/>
  <c r="K243" i="29"/>
  <c r="B1485" i="106" s="1"/>
  <c r="D1485" i="106" s="1"/>
  <c r="K293" i="29"/>
  <c r="K330" i="29"/>
  <c r="G342" i="29"/>
  <c r="B7220" i="106" s="1"/>
  <c r="D7220" i="106" s="1"/>
  <c r="C74" i="29"/>
  <c r="B755" i="106" s="1"/>
  <c r="D755" i="106" s="1"/>
  <c r="K110" i="29"/>
  <c r="B1151" i="106" s="1"/>
  <c r="D1151" i="106" s="1"/>
  <c r="H172" i="29"/>
  <c r="H174" i="29" s="1"/>
  <c r="B1318" i="106" s="1"/>
  <c r="D1318" i="106" s="1"/>
  <c r="K261" i="29"/>
  <c r="B1491" i="106" s="1"/>
  <c r="D1491" i="106" s="1"/>
  <c r="D74" i="29"/>
  <c r="D114" i="29" s="1"/>
  <c r="B815" i="106" s="1"/>
  <c r="D815" i="106" s="1"/>
  <c r="K42" i="29"/>
  <c r="E74" i="29"/>
  <c r="B871" i="106" s="1"/>
  <c r="D871" i="106" s="1"/>
  <c r="D279" i="29"/>
  <c r="D295" i="29" s="1"/>
  <c r="B1448" i="106" s="1"/>
  <c r="D1448" i="106" s="1"/>
  <c r="C352" i="29"/>
  <c r="C367" i="29" s="1"/>
  <c r="B3622" i="106" s="1"/>
  <c r="D3622" i="106" s="1"/>
  <c r="K184" i="29"/>
  <c r="F13" i="4" s="1"/>
  <c r="B2596" i="106" s="1"/>
  <c r="D2596" i="106" s="1"/>
  <c r="H274" i="5"/>
  <c r="H7" i="4" s="1"/>
  <c r="B2657" i="106" s="1"/>
  <c r="D2657" i="106" s="1"/>
  <c r="B6840" i="106"/>
  <c r="D6840" i="106" s="1"/>
  <c r="K274" i="5"/>
  <c r="B6022" i="106" s="1"/>
  <c r="D6022" i="106" s="1"/>
  <c r="G74" i="29"/>
  <c r="B987" i="106" s="1"/>
  <c r="D987" i="106" s="1"/>
  <c r="D210" i="29"/>
  <c r="B1346" i="106" s="1"/>
  <c r="D1346" i="106" s="1"/>
  <c r="K194" i="29"/>
  <c r="K196" i="29" s="1"/>
  <c r="E342" i="29"/>
  <c r="B7218" i="106" s="1"/>
  <c r="D7218" i="106" s="1"/>
  <c r="F161" i="34"/>
  <c r="F178" i="34" s="1"/>
  <c r="E210" i="29"/>
  <c r="B1353" i="106" s="1"/>
  <c r="D1353" i="106" s="1"/>
  <c r="F48" i="34"/>
  <c r="F36" i="34"/>
  <c r="B1223" i="106"/>
  <c r="D1223" i="106" s="1"/>
  <c r="H149" i="29"/>
  <c r="B1272" i="106" s="1"/>
  <c r="D1272" i="106" s="1"/>
  <c r="B7047" i="106"/>
  <c r="D7047" i="106" s="1"/>
  <c r="D31" i="108"/>
  <c r="F31" i="108"/>
  <c r="E139" i="29"/>
  <c r="B4203" i="106" s="1"/>
  <c r="D4203" i="106" s="1"/>
  <c r="B4202" i="106"/>
  <c r="D4202" i="106" s="1"/>
  <c r="K257" i="29"/>
  <c r="B1488" i="106" s="1"/>
  <c r="D1488" i="106" s="1"/>
  <c r="K238" i="29"/>
  <c r="K277" i="29"/>
  <c r="B1508" i="106" s="1"/>
  <c r="D1508" i="106" s="1"/>
  <c r="K47" i="29"/>
  <c r="K74" i="29" s="1"/>
  <c r="B2823" i="106"/>
  <c r="D2823" i="106" s="1"/>
  <c r="B7041" i="106"/>
  <c r="D7041" i="106" s="1"/>
  <c r="F42" i="34"/>
  <c r="E38" i="108"/>
  <c r="B2091" i="106"/>
  <c r="D2091" i="106" s="1"/>
  <c r="H139" i="29"/>
  <c r="B1267" i="106" s="1"/>
  <c r="D1267" i="106" s="1"/>
  <c r="F56" i="34"/>
  <c r="B2805" i="106"/>
  <c r="D2805" i="106" s="1"/>
  <c r="E39" i="108"/>
  <c r="I74" i="29"/>
  <c r="B6977" i="106" s="1"/>
  <c r="D6977" i="106" s="1"/>
  <c r="J74" i="29"/>
  <c r="J114" i="29" s="1"/>
  <c r="B7021" i="106" s="1"/>
  <c r="D7021" i="106" s="1"/>
  <c r="B7214" i="106"/>
  <c r="D7214" i="106" s="1"/>
  <c r="K33" i="29"/>
  <c r="E19" i="108" s="1"/>
  <c r="B6839" i="106"/>
  <c r="D6839" i="106" s="1"/>
  <c r="K137" i="29"/>
  <c r="K139" i="29" s="1"/>
  <c r="F57" i="34" s="1"/>
  <c r="K168" i="29"/>
  <c r="K172" i="29" s="1"/>
  <c r="K174" i="29" s="1"/>
  <c r="F10" i="34" s="1"/>
  <c r="G38" i="108"/>
  <c r="K285" i="29"/>
  <c r="B3724" i="106" s="1"/>
  <c r="D3724" i="106" s="1"/>
  <c r="G39" i="108"/>
  <c r="B1511" i="106"/>
  <c r="D1511" i="106" s="1"/>
  <c r="G14" i="4"/>
  <c r="B2609" i="106" s="1"/>
  <c r="D2609" i="106" s="1"/>
  <c r="K92" i="29"/>
  <c r="B2089" i="106" s="1"/>
  <c r="D2089" i="106" s="1"/>
  <c r="B6995" i="106"/>
  <c r="D6995" i="106" s="1"/>
  <c r="F66" i="34"/>
  <c r="B1266" i="106"/>
  <c r="D1266" i="106" s="1"/>
  <c r="G6" i="4"/>
  <c r="B2604" i="106" s="1"/>
  <c r="D2604" i="106" s="1"/>
  <c r="C4" i="4"/>
  <c r="B2551" i="106" s="1"/>
  <c r="D2551" i="106" s="1"/>
  <c r="H77" i="4"/>
  <c r="B3299" i="106" s="1"/>
  <c r="D3299" i="106" s="1"/>
  <c r="D41" i="108"/>
  <c r="E43" i="108" s="1"/>
  <c r="B5770" i="106"/>
  <c r="D5770" i="106" s="1"/>
  <c r="B7235" i="106"/>
  <c r="D7235" i="106" s="1"/>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M41" i="3"/>
  <c r="B280" i="106"/>
  <c r="D280" i="106" s="1"/>
  <c r="I6" i="4"/>
  <c r="B5011" i="106" s="1"/>
  <c r="D5011" i="106" s="1"/>
  <c r="B6014" i="106"/>
  <c r="D6014" i="106" s="1"/>
  <c r="G15" i="4"/>
  <c r="B6032" i="106" s="1"/>
  <c r="D6032" i="106" s="1"/>
  <c r="K342" i="29"/>
  <c r="F13" i="34" s="1"/>
  <c r="B3628" i="106"/>
  <c r="D3628" i="106" s="1"/>
  <c r="J16" i="4"/>
  <c r="B6226" i="106" s="1"/>
  <c r="D6226" i="106" s="1"/>
  <c r="B7215" i="106"/>
  <c r="D7215" i="106" s="1"/>
  <c r="B1381" i="106"/>
  <c r="D1381"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B7733" i="106"/>
  <c r="D7733" i="106" s="1"/>
  <c r="K26" i="12"/>
  <c r="B7743" i="106" s="1"/>
  <c r="D7743" i="106" s="1"/>
  <c r="B1365" i="106"/>
  <c r="D1365" i="106" s="1"/>
  <c r="F65" i="34"/>
  <c r="B7760" i="106"/>
  <c r="D7760" i="106" s="1"/>
  <c r="D24" i="36"/>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1115" i="106"/>
  <c r="D1115" i="106" s="1"/>
  <c r="G21" i="108"/>
  <c r="E21" i="108"/>
  <c r="D151" i="29"/>
  <c r="B1234" i="106" s="1"/>
  <c r="D1234" i="106" s="1"/>
  <c r="B1233" i="106"/>
  <c r="D1233" i="106" s="1"/>
  <c r="F151" i="29"/>
  <c r="B1250" i="106" s="1"/>
  <c r="D1250" i="106" s="1"/>
  <c r="B1249" i="106"/>
  <c r="D1249" i="106" s="1"/>
  <c r="K149" i="29"/>
  <c r="B7048" i="106"/>
  <c r="D70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045" i="106"/>
  <c r="D1045" i="106" s="1"/>
  <c r="B2093" i="106"/>
  <c r="D2093" i="106" s="1"/>
  <c r="H210" i="29"/>
  <c r="B1376" i="106" s="1"/>
  <c r="D1376" i="106" s="1"/>
  <c r="B2830" i="106"/>
  <c r="D2830" i="106" s="1"/>
  <c r="B1958" i="106"/>
  <c r="D1958" i="106" s="1"/>
  <c r="G26" i="12"/>
  <c r="B7739" i="106" s="1"/>
  <c r="D7739" i="106" s="1"/>
  <c r="B3642" i="106"/>
  <c r="D3642" i="106" s="1"/>
  <c r="B3643" i="106"/>
  <c r="D3643" i="106" s="1"/>
  <c r="B1481" i="106"/>
  <c r="D1481" i="106" s="1"/>
  <c r="B2102" i="106"/>
  <c r="D2102" i="106" s="1"/>
  <c r="H15" i="4"/>
  <c r="B2660" i="106" s="1"/>
  <c r="D2660" i="106" s="1"/>
  <c r="B3636" i="106"/>
  <c r="D3636" i="106" s="1"/>
  <c r="B3635" i="106"/>
  <c r="D3635" i="106" s="1"/>
  <c r="B4171" i="106"/>
  <c r="D4171" i="106" s="1"/>
  <c r="N36" i="3"/>
  <c r="B6978" i="106"/>
  <c r="D6978" i="106" s="1"/>
  <c r="B7244" i="106"/>
  <c r="D7244" i="106" s="1"/>
  <c r="B7234" i="106"/>
  <c r="D7234" i="106" s="1"/>
  <c r="B5544" i="106"/>
  <c r="D5544" i="106" s="1"/>
  <c r="E6" i="4"/>
  <c r="B1119" i="106"/>
  <c r="D1119" i="106" s="1"/>
  <c r="E22" i="108"/>
  <c r="G12" i="145"/>
  <c r="G19" i="145" s="1"/>
  <c r="J20" i="145" s="1"/>
  <c r="E19" i="145"/>
  <c r="B7298" i="106"/>
  <c r="B7299" i="106"/>
  <c r="B1446" i="106" l="1"/>
  <c r="D1446" i="106" s="1"/>
  <c r="B2837" i="106"/>
  <c r="D2837" i="106" s="1"/>
  <c r="B1328" i="106"/>
  <c r="D1328" i="106" s="1"/>
  <c r="B1317" i="106"/>
  <c r="D1317" i="106" s="1"/>
  <c r="E16" i="4"/>
  <c r="E17" i="4" s="1"/>
  <c r="B1331" i="106"/>
  <c r="D1331" i="106" s="1"/>
  <c r="E151" i="29"/>
  <c r="B1242" i="106" s="1"/>
  <c r="D1242" i="106" s="1"/>
  <c r="G151" i="29"/>
  <c r="F58" i="34" s="1"/>
  <c r="K129" i="29"/>
  <c r="K151" i="29" s="1"/>
  <c r="I151" i="29"/>
  <c r="F59" i="34" s="1"/>
  <c r="K112" i="29"/>
  <c r="F41" i="108"/>
  <c r="G43" i="108" s="1"/>
  <c r="F114" i="29"/>
  <c r="B931" i="106" s="1"/>
  <c r="D931" i="106" s="1"/>
  <c r="E114" i="29"/>
  <c r="B873" i="106" s="1"/>
  <c r="D873" i="106" s="1"/>
  <c r="G114" i="29"/>
  <c r="F54" i="34" s="1"/>
  <c r="G22" i="108"/>
  <c r="B813" i="106"/>
  <c r="D813" i="106" s="1"/>
  <c r="G19" i="108"/>
  <c r="B1108" i="106"/>
  <c r="D1108" i="106" s="1"/>
  <c r="C12" i="4"/>
  <c r="K279" i="29"/>
  <c r="G13" i="4" s="1"/>
  <c r="C114" i="29"/>
  <c r="B757" i="106" s="1"/>
  <c r="D757" i="106" s="1"/>
  <c r="H151" i="29"/>
  <c r="B1273" i="106" s="1"/>
  <c r="D1273" i="106" s="1"/>
  <c r="D275" i="5"/>
  <c r="F73" i="34"/>
  <c r="K102" i="29"/>
  <c r="F53" i="34" s="1"/>
  <c r="F24" i="37"/>
  <c r="J17" i="4"/>
  <c r="J19" i="4" s="1"/>
  <c r="B6229" i="106" s="1"/>
  <c r="D6229" i="106" s="1"/>
  <c r="B7224" i="106"/>
  <c r="D7224" i="106" s="1"/>
  <c r="B7243" i="106"/>
  <c r="D7243" i="106" s="1"/>
  <c r="F6" i="4"/>
  <c r="B2593" i="106" s="1"/>
  <c r="D2593" i="106" s="1"/>
  <c r="D7" i="4"/>
  <c r="B2567" i="106" s="1"/>
  <c r="D2567" i="106" s="1"/>
  <c r="B281" i="106"/>
  <c r="D281" i="106" s="1"/>
  <c r="D54" i="36"/>
  <c r="F275" i="5"/>
  <c r="B5720" i="106" s="1"/>
  <c r="D5720" i="106" s="1"/>
  <c r="B5719" i="106"/>
  <c r="D5719" i="106" s="1"/>
  <c r="G41" i="108"/>
  <c r="G44"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B1281" i="106"/>
  <c r="D1281" i="106" s="1"/>
  <c r="D13" i="4"/>
  <c r="B2634" i="106"/>
  <c r="D2634" i="106" s="1"/>
  <c r="B1332" i="106"/>
  <c r="D1332" i="106" s="1"/>
  <c r="B1259" i="106"/>
  <c r="D1259" i="106" s="1"/>
  <c r="B989" i="106"/>
  <c r="D989" i="106" s="1"/>
  <c r="C275" i="5"/>
  <c r="B5326" i="106"/>
  <c r="D5326" i="106" s="1"/>
  <c r="C7" i="4"/>
  <c r="H37" i="37"/>
  <c r="B285" i="106"/>
  <c r="D285" i="106" s="1"/>
  <c r="N37" i="3"/>
  <c r="K295" i="29"/>
  <c r="F12" i="34" s="1"/>
  <c r="B3574" i="106"/>
  <c r="D3574" i="106" s="1"/>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G45" i="108" l="1"/>
  <c r="B1510" i="106"/>
  <c r="D1510" i="106" s="1"/>
  <c r="F17" i="11"/>
  <c r="I17" i="11" s="1"/>
  <c r="B7051" i="106"/>
  <c r="D7051" i="106" s="1"/>
  <c r="K114" i="29"/>
  <c r="B1152" i="106" s="1"/>
  <c r="D1152" i="106" s="1"/>
  <c r="B1145" i="106"/>
  <c r="D1145" i="106" s="1"/>
  <c r="C15" i="4"/>
  <c r="B2559" i="106" s="1"/>
  <c r="D2559" i="106" s="1"/>
  <c r="B6227" i="106"/>
  <c r="D6227" i="106" s="1"/>
  <c r="J20" i="4"/>
  <c r="B6230" i="106" s="1"/>
  <c r="D6230" i="106" s="1"/>
  <c r="F8" i="4"/>
  <c r="D8" i="146" s="1"/>
  <c r="D8" i="4"/>
  <c r="C8" i="146" s="1"/>
  <c r="B6223" i="106"/>
  <c r="D6223" i="106" s="1"/>
  <c r="K17" i="4"/>
  <c r="K20" i="4"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7624" i="106" l="1"/>
  <c r="C17" i="4"/>
  <c r="J78" i="4"/>
  <c r="J81" i="4" s="1"/>
  <c r="D10" i="4"/>
  <c r="B4123" i="106" s="1"/>
  <c r="D4123" i="106" s="1"/>
  <c r="B2568" i="106"/>
  <c r="D2568" i="106" s="1"/>
  <c r="K19" i="4"/>
  <c r="B4144" i="106" s="1"/>
  <c r="D4144" i="106" s="1"/>
  <c r="H13" i="118"/>
  <c r="B3575" i="106"/>
  <c r="D3575" i="106" s="1"/>
  <c r="D20" i="4"/>
  <c r="D78" i="4" s="1"/>
  <c r="F10" i="4"/>
  <c r="B4125" i="106" s="1"/>
  <c r="D4125" i="106" s="1"/>
  <c r="B2595" i="106"/>
  <c r="D2595"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F179" i="34"/>
  <c r="F79" i="34"/>
  <c r="B2574" i="106"/>
  <c r="D2574" i="106" s="1"/>
  <c r="J41" i="3"/>
  <c r="B6215" i="106"/>
  <c r="D6215"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N2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<sst xmlns="http://schemas.openxmlformats.org/spreadsheetml/2006/main" count="5082" uniqueCount="2142">
  <si>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</si>
  <si>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</si>
  <si>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</si>
  <si>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</si>
  <si>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</si>
  <si>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</si>
  <si>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</si>
  <si>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</si>
  <si>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</si>
  <si>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</si>
  <si>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</si>
  <si>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</si>
  <si>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</si>
  <si>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</si>
  <si>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</si>
  <si>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</si>
  <si>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</si>
  <si>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</si>
  <si>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</si>
  <si>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</si>
  <si>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</si>
  <si>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</si>
  <si>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</si>
  <si>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</si>
  <si>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</si>
  <si>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</si>
  <si>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</si>
  <si>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</si>
  <si>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</si>
  <si>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</si>
  <si>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</si>
  <si>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</si>
  <si>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</si>
  <si>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</si>
  <si>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</si>
  <si>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</si>
  <si>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</si>
  <si>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</si>
  <si>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</si>
  <si>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</si>
  <si>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</si>
  <si>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</si>
  <si>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</si>
  <si>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</si>
  <si>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</si>
  <si>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</si>
  <si>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</si>
  <si>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</si>
  <si>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</si>
  <si>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</si>
  <si>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</si>
  <si>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</si>
  <si>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</si>
  <si>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</si>
  <si>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</si>
  <si>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</si>
  <si>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</si>
  <si>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</si>
  <si>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</si>
  <si>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</si>
  <si>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</si>
  <si>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</si>
  <si>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</si>
  <si>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</si>
  <si>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</si>
  <si>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</si>
  <si>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</si>
  <si>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</si>
  <si>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</si>
  <si>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</si>
  <si>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</si>
  <si>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</si>
  <si>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</si>
  <si>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</si>
  <si>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</si>
  <si>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</si>
  <si>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</si>
  <si>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</si>
  <si>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</si>
  <si>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</si>
  <si>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</si>
  <si>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</si>
  <si>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</si>
  <si>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</si>
  <si>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</si>
  <si>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</si>
  <si>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</si>
  <si>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</si>
  <si>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</si>
  <si>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</si>
  <si>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</si>
  <si>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</si>
  <si>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</si>
  <si>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</si>
  <si>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</si>
  <si>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</si>
  <si>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</si>
  <si>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</si>
  <si>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</si>
  <si>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</si>
  <si>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</si>
  <si>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</si>
  <si>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</si>
  <si>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</si>
  <si>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</si>
  <si>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</si>
  <si>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</si>
  <si>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</si>
  <si>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</si>
  <si>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</si>
  <si>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</si>
  <si>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</si>
  <si>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</si>
  <si>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</si>
  <si>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</si>
  <si>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</si>
  <si>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</si>
  <si>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</si>
  <si>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</si>
  <si>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</si>
  <si>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</si>
  <si>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</si>
  <si>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</si>
  <si>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</si>
  <si>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</si>
  <si>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</si>
  <si>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</si>
  <si>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</si>
  <si>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</si>
  <si>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</si>
  <si>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</si>
  <si>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</si>
  <si>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</si>
  <si>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</si>
  <si>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</si>
  <si>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</si>
  <si>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</si>
  <si>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</si>
  <si>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</si>
  <si>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</si>
  <si>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</si>
  <si>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</si>
  <si>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</si>
  <si>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</si>
  <si>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</si>
  <si>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</si>
  <si>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</si>
  <si>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</si>
  <si>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</si>
  <si>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</si>
  <si>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</si>
  <si>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</si>
  <si>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</si>
  <si>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</si>
  <si>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</si>
  <si>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</si>
  <si>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</si>
  <si>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</si>
  <si>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</si>
  <si>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</si>
  <si>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</si>
  <si>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</si>
  <si>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</si>
  <si>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</si>
  <si>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</si>
  <si>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</si>
  <si>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</si>
  <si>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</si>
  <si>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</si>
  <si>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</si>
  <si>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</si>
  <si>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</si>
  <si>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</si>
  <si>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</si>
  <si>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</si>
  <si>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</si>
  <si>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</si>
  <si>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</si>
  <si>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</si>
  <si>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</si>
  <si>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</si>
  <si>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</si>
  <si>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</si>
  <si>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</si>
  <si>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</si>
  <si>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</si>
  <si>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</si>
  <si>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</si>
  <si>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</si>
  <si>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</si>
  <si>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</si>
  <si>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</si>
  <si>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</si>
  <si>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</si>
  <si>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</si>
  <si>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</si>
  <si>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</si>
  <si>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</si>
  <si>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</si>
  <si>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</si>
  <si>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</si>
  <si>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</si>
  <si>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</si>
  <si>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</si>
  <si>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</si>
  <si>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</si>
  <si>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</si>
  <si>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</si>
  <si>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</si>
  <si>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</si>
  <si>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</si>
  <si>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</si>
  <si>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</si>
  <si>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</si>
  <si>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</si>
  <si>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</si>
  <si>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</si>
  <si>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</si>
  <si>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</si>
  <si>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</si>
  <si>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</si>
  <si>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</si>
  <si>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</si>
  <si>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</si>
  <si>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</si>
  <si>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</si>
  <si>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</si>
  <si>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</si>
  <si>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</si>
  <si>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</si>
  <si>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</si>
  <si>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</si>
  <si>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</si>
  <si>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</si>
  <si>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</si>
  <si>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</si>
  <si>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</si>
  <si>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</si>
  <si>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</si>
  <si>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</si>
  <si>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</si>
  <si>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</si>
  <si>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</si>
  <si>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</si>
  <si>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</si>
  <si>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</si>
  <si>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</si>
  <si>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</si>
  <si>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</si>
  <si>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</si>
  <si>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</si>
  <si>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</si>
  <si>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</si>
  <si>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</si>
  <si>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</si>
  <si>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</si>
  <si>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</si>
  <si>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</si>
  <si>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</si>
  <si>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</si>
  <si>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</si>
  <si>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</si>
  <si>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</si>
  <si>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</si>
  <si>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</si>
  <si>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</si>
  <si>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</si>
  <si>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</si>
  <si>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</si>
  <si>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</si>
  <si>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</si>
  <si>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</si>
  <si>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</si>
  <si>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</si>
  <si>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</si>
  <si>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</si>
  <si>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</si>
  <si>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</si>
  <si>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</si>
  <si>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</si>
  <si>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</si>
  <si>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</si>
  <si>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</si>
  <si>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</si>
  <si>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</si>
  <si>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</si>
  <si>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</si>
  <si>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</si>
  <si>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</si>
  <si>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</si>
  <si>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</si>
  <si>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</si>
  <si>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</si>
  <si>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</si>
  <si>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</si>
  <si>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</si>
  <si>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</si>
  <si>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</si>
  <si>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</si>
  <si>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</si>
  <si>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</si>
  <si>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</si>
  <si>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</si>
  <si>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</si>
  <si>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</si>
  <si>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</si>
  <si>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</si>
  <si>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</si>
  <si>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</si>
  <si>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</si>
  <si>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</si>
  <si>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</si>
  <si>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</si>
  <si>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</si>
  <si>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</si>
  <si>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</si>
  <si>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</si>
  <si>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</si>
  <si>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</si>
  <si>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</si>
  <si>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</si>
  <si>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</si>
  <si>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</si>
  <si>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</si>
  <si>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</si>
  <si>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</si>
  <si>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</si>
  <si>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</si>
  <si>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</si>
  <si>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</si>
  <si>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</si>
  <si>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</si>
  <si>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</si>
  <si>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</si>
  <si>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</si>
  <si>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</si>
  <si>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</si>
  <si>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</si>
  <si>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</si>
  <si>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</si>
  <si>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</si>
  <si>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</si>
  <si>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</si>
  <si>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</si>
  <si>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</si>
  <si>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</si>
  <si>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</si>
  <si>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</si>
  <si>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</si>
  <si>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</si>
  <si>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</si>
  <si>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</si>
  <si>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</si>
  <si>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</si>
  <si>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</si>
  <si>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</si>
  <si>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</si>
  <si>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</si>
  <si>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</si>
  <si>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</si>
  <si>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</si>
  <si>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</si>
  <si>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</si>
  <si>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</si>
  <si>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</si>
  <si>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</si>
  <si>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</si>
  <si>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</si>
  <si>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</si>
  <si>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</si>
  <si>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</si>
  <si>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</si>
  <si>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</si>
  <si>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</si>
  <si>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</si>
  <si>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</si>
  <si>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</si>
  <si>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</si>
  <si>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</si>
  <si>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</si>
  <si>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</si>
  <si>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</si>
  <si>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</si>
  <si>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</si>
  <si>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</si>
  <si>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</si>
  <si>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</si>
  <si>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</si>
  <si>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</si>
  <si>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</si>
  <si>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</si>
  <si>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</si>
  <si>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</si>
  <si>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</si>
  <si>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</si>
  <si>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</si>
  <si>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</si>
  <si>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</si>
  <si>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</si>
  <si>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</si>
  <si>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</si>
  <si>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</si>
  <si>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</si>
  <si>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</si>
  <si>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</si>
  <si>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</si>
  <si>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</si>
  <si>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</si>
  <si>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</si>
  <si>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</si>
  <si>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</si>
  <si>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</si>
  <si>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</si>
  <si>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</si>
  <si>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</si>
  <si>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</si>
  <si>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</si>
  <si>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</si>
  <si>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</si>
  <si>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</si>
  <si>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</si>
  <si>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</si>
  <si>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</si>
  <si>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</si>
  <si>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</si>
  <si>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</si>
  <si>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</si>
  <si>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</si>
  <si>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</si>
  <si>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</si>
  <si>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</si>
  <si>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</si>
  <si>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</si>
  <si>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</si>
  <si>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</si>
  <si>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</si>
  <si>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</si>
  <si>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</si>
  <si>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</si>
  <si>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</si>
  <si>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</si>
  <si>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</si>
  <si>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</si>
  <si>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</si>
  <si>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</si>
  <si>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</si>
  <si>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</si>
  <si>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</si>
  <si>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</si>
  <si>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</si>
  <si>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</si>
  <si>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</si>
  <si>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</si>
  <si>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</si>
  <si>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</si>
  <si>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</si>
  <si>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</si>
  <si>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</si>
  <si>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</si>
  <si>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</si>
  <si>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</si>
  <si>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</si>
  <si>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</si>
  <si>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</si>
  <si>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</si>
  <si>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</si>
  <si>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</si>
  <si>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</si>
  <si>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</si>
  <si>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</si>
  <si>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</si>
  <si>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</si>
  <si>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</si>
  <si>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</si>
  <si>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</si>
  <si>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</si>
  <si>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</si>
  <si>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</si>
  <si>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</si>
  <si>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</si>
  <si>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</si>
  <si>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</si>
  <si>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</si>
  <si>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</si>
  <si>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</si>
  <si>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</si>
  <si>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</si>
  <si>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</si>
  <si>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</si>
  <si>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</si>
  <si>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</si>
  <si>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</si>
  <si>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</si>
  <si>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</si>
  <si>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</si>
  <si>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</si>
  <si>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</si>
  <si>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</si>
  <si>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</si>
  <si>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</si>
  <si>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</si>
  <si>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</si>
  <si>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</si>
  <si>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</si>
  <si>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</si>
  <si>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</si>
  <si>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</si>
  <si>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</si>
  <si>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</si>
  <si>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</si>
  <si>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</si>
  <si>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</si>
  <si>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</si>
  <si>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</si>
  <si>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</si>
  <si>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</si>
  <si>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</si>
  <si>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</si>
  <si>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</si>
  <si>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</si>
  <si>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</si>
  <si>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</si>
  <si>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</si>
  <si>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</si>
  <si>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</si>
  <si>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</si>
  <si>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</si>
  <si>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</si>
  <si>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</si>
  <si>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</si>
  <si>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</si>
  <si>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</si>
  <si>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</si>
  <si>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</si>
  <si>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</si>
  <si>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</si>
  <si>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</si>
  <si>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</si>
  <si>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</si>
  <si>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</si>
  <si>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</si>
  <si>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</si>
  <si>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</si>
  <si>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</si>
  <si>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</si>
  <si>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</si>
  <si>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</si>
  <si>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</si>
  <si>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</si>
  <si>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</si>
  <si>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</si>
  <si>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</si>
  <si>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</si>
  <si>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</si>
  <si>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</si>
  <si>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</si>
  <si>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</si>
  <si>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</si>
  <si>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</si>
  <si>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</si>
  <si>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</si>
  <si>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</si>
  <si>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</si>
  <si>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</si>
  <si>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</si>
  <si>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</si>
  <si>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</si>
  <si>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</si>
  <si>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</si>
  <si>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</si>
  <si>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</si>
  <si>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</si>
  <si>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</si>
  <si>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</si>
  <si>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</si>
  <si>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</si>
  <si>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</si>
  <si>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</si>
  <si>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</si>
  <si>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</si>
  <si>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</si>
  <si>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</si>
  <si>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</si>
  <si>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</si>
  <si>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</si>
  <si>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</si>
  <si>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</si>
  <si>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</si>
  <si>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</si>
  <si>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</si>
  <si>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</si>
  <si>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</si>
  <si>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</si>
  <si>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</si>
  <si>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</si>
  <si>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</si>
  <si>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</si>
  <si>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</si>
  <si>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</si>
  <si>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</si>
  <si>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</si>
  <si>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</si>
  <si>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</si>
  <si>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</si>
  <si>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</si>
  <si>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</si>
  <si>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</si>
  <si>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</si>
  <si>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</si>
  <si>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</si>
  <si>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</si>
  <si>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</si>
  <si>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</si>
  <si>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</si>
  <si>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</si>
  <si>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</si>
  <si>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</si>
  <si>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</si>
  <si>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</si>
  <si>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</si>
  <si>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</si>
  <si>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</si>
  <si>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</si>
  <si>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</si>
  <si>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</si>
  <si>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</si>
  <si>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</si>
  <si>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</si>
  <si>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</si>
  <si>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</si>
  <si>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</si>
  <si>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</si>
  <si>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</si>
  <si>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</si>
  <si>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</si>
  <si>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</si>
  <si>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</si>
  <si>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</si>
  <si>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</si>
  <si>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</si>
  <si>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</si>
  <si>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</si>
  <si>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</si>
  <si>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</si>
  <si>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</si>
  <si>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</si>
  <si>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</si>
  <si>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</si>
  <si>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</si>
  <si>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</si>
  <si>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</si>
  <si>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</si>
  <si>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</si>
  <si>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</si>
  <si>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</si>
  <si>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</si>
  <si>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</si>
  <si>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</si>
  <si>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</si>
  <si>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</si>
  <si>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</si>
  <si>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</si>
  <si>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</si>
  <si>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</si>
  <si>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</si>
  <si>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</si>
  <si>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</si>
  <si>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</si>
  <si>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</si>
  <si>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</si>
  <si>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</si>
  <si>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</si>
  <si>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</si>
  <si>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</si>
  <si>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</si>
  <si>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</si>
  <si>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</si>
  <si>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</si>
  <si>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</si>
  <si>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</si>
  <si>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</si>
  <si>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</si>
  <si>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</si>
  <si>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</si>
  <si>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</si>
  <si>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</si>
  <si>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</si>
  <si>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</si>
  <si>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</si>
  <si>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</si>
  <si>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</si>
  <si>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</si>
  <si>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</si>
  <si>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</si>
  <si>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</si>
  <si>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</si>
  <si>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</si>
  <si>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</si>
  <si>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</si>
  <si>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</si>
  <si>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</si>
  <si>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</si>
  <si>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</si>
  <si>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</si>
  <si>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</si>
  <si>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</si>
  <si>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</si>
  <si>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</si>
  <si>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</si>
  <si>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</si>
  <si>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</si>
  <si>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</si>
  <si>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</si>
  <si>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</si>
  <si>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</si>
  <si>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</si>
  <si>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</si>
  <si>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</si>
  <si>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</si>
  <si>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</si>
  <si>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</si>
  <si>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</si>
  <si>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</si>
  <si>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</si>
  <si>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</si>
  <si>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</si>
  <si>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</si>
  <si>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</si>
  <si>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</si>
  <si>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</si>
  <si>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</si>
  <si>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</si>
  <si>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</si>
  <si>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</si>
  <si>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</si>
  <si>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</si>
  <si>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</si>
  <si>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</si>
  <si>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</si>
  <si>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</si>
  <si>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</si>
  <si>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</si>
  <si>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</si>
  <si>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</si>
  <si>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</si>
  <si>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</si>
  <si>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</si>
  <si>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</si>
  <si>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</si>
  <si>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</si>
  <si>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</si>
  <si>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</si>
  <si>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</si>
  <si>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</si>
  <si>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</si>
  <si>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</si>
  <si>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</si>
  <si>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</si>
  <si>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</si>
  <si>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</si>
  <si>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</si>
  <si>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</si>
  <si>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</si>
  <si>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</si>
  <si>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</si>
  <si>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</si>
  <si>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</si>
  <si>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</si>
  <si>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</si>
  <si>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</si>
  <si>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</si>
  <si>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</si>
  <si>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</si>
  <si>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</si>
  <si>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</si>
  <si>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</si>
  <si>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</si>
  <si>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</si>
  <si>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</si>
  <si>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</si>
  <si>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</si>
  <si>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</si>
  <si>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</si>
  <si>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</si>
  <si>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</si>
  <si>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</si>
  <si>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</si>
  <si>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</si>
  <si>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</si>
  <si>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</si>
  <si>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</si>
  <si>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</si>
  <si>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</si>
  <si>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</si>
  <si>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</si>
  <si>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</si>
  <si>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</si>
  <si>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</si>
  <si>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</si>
  <si>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</si>
  <si>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</si>
  <si>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</si>
  <si>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</si>
  <si>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</si>
  <si>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</si>
  <si>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</si>
  <si>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</si>
  <si>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</si>
  <si>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</si>
  <si>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</si>
  <si>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</si>
  <si>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</si>
  <si>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</si>
  <si>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</si>
  <si>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</si>
  <si>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</si>
  <si>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</si>
  <si>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</si>
  <si>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</si>
  <si>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</si>
  <si>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</si>
  <si>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</si>
  <si>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</si>
  <si>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</si>
  <si>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</si>
  <si>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</si>
  <si>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</si>
  <si>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</si>
  <si>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</si>
  <si>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</si>
  <si>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</si>
  <si>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</si>
  <si>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</si>
  <si>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</si>
  <si>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</si>
  <si>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</si>
  <si>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</si>
  <si>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</si>
  <si>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</si>
  <si>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</si>
  <si>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</si>
  <si>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</si>
  <si>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</si>
  <si>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</si>
  <si>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</si>
  <si>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</si>
  <si>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</si>
  <si>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</si>
  <si>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</si>
  <si>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</si>
  <si>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</si>
  <si>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</si>
  <si>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</si>
  <si>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</si>
  <si>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</si>
  <si>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</si>
  <si>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</si>
  <si>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</si>
  <si>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</si>
  <si>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</si>
  <si>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</si>
  <si>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</si>
  <si>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</si>
  <si>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</si>
  <si>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</si>
  <si>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</si>
  <si>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</si>
  <si>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</si>
  <si>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</si>
  <si>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</si>
  <si>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</si>
  <si>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</si>
  <si>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</si>
  <si>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</si>
  <si>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</si>
  <si>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</si>
  <si>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</si>
  <si>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</si>
  <si>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</si>
  <si>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</si>
  <si>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</si>
  <si>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</si>
  <si>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</si>
  <si>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</si>
  <si>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</si>
  <si>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</si>
  <si>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</si>
  <si>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</si>
  <si>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</si>
  <si>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</si>
  <si>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</si>
  <si>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</si>
  <si>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</si>
  <si>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</si>
  <si>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</si>
  <si>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</si>
  <si>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</si>
  <si>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</si>
  <si>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</si>
  <si>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</si>
  <si>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</si>
  <si>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</si>
  <si>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</si>
  <si>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</si>
  <si>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</si>
  <si>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</si>
  <si>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</si>
  <si>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</si>
  <si>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</si>
  <si>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</si>
  <si>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</si>
  <si>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</si>
  <si>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</si>
  <si>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</si>
  <si>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</si>
  <si>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</si>
  <si>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</si>
  <si>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</si>
  <si>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</si>
  <si>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</si>
  <si>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</si>
  <si>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</si>
  <si>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</si>
  <si>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</si>
  <si>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</si>
  <si>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</si>
  <si>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</si>
  <si>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</si>
  <si>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</si>
  <si>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</si>
  <si>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</si>
  <si>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</si>
  <si>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</si>
  <si>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</si>
  <si>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</si>
  <si>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</si>
  <si>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</si>
  <si>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</si>
  <si>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</si>
  <si>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</si>
  <si>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</si>
  <si>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</si>
  <si>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</si>
  <si>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</si>
  <si>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</si>
  <si>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</si>
  <si>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</si>
  <si>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</si>
  <si>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</si>
  <si>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</si>
  <si>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</si>
  <si>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</si>
  <si>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</si>
  <si>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</si>
  <si>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</si>
  <si>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</si>
  <si>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</si>
  <si>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</si>
  <si>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</si>
  <si>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</si>
  <si>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</si>
  <si>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</si>
  <si>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</si>
  <si>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</si>
  <si>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</si>
  <si>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</si>
  <si>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</si>
  <si>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</si>
  <si>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</si>
  <si>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</si>
  <si>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</si>
  <si>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</si>
  <si>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</si>
  <si>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</si>
  <si>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</si>
  <si>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</si>
  <si>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</si>
  <si>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</si>
  <si>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</si>
  <si>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</si>
  <si>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</si>
  <si>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</si>
  <si>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</si>
  <si>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</si>
  <si>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</si>
  <si>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</si>
  <si>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</si>
  <si>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</si>
  <si>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</si>
  <si>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</si>
  <si>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</si>
  <si>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</si>
  <si>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</si>
  <si>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</si>
  <si>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</si>
  <si>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</si>
  <si>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</si>
  <si>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</si>
  <si>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</si>
  <si>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</si>
  <si>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</si>
  <si>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</si>
  <si>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</si>
  <si>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</si>
  <si>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</si>
  <si>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</si>
  <si>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</si>
  <si>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</si>
  <si>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</si>
  <si>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</si>
  <si>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</si>
  <si>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</si>
  <si>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</si>
  <si>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</si>
  <si>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</si>
  <si>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</si>
  <si>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</si>
  <si>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</si>
  <si>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</si>
  <si>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</si>
  <si>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</si>
  <si>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</si>
  <si>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</si>
  <si>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</si>
  <si>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</si>
  <si>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</si>
  <si>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</si>
  <si>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</si>
  <si>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</si>
  <si>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</si>
  <si>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</si>
  <si>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</si>
  <si>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</si>
  <si>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</si>
  <si>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</si>
  <si>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</si>
  <si>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</si>
  <si>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</si>
  <si>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</si>
  <si>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</si>
  <si>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</si>
  <si>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</si>
  <si>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</si>
  <si>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</si>
  <si>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</si>
  <si>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</si>
  <si>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</si>
  <si>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</si>
  <si>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</si>
  <si>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</si>
  <si>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</si>
  <si>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</si>
  <si>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</si>
  <si>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</si>
  <si>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</si>
  <si>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</si>
  <si>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</si>
  <si>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</si>
  <si>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</si>
  <si>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</si>
  <si>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</si>
  <si>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</si>
  <si>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</si>
  <si>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</si>
  <si>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</si>
  <si>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</si>
  <si>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</si>
  <si>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</si>
  <si>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</si>
  <si>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</si>
  <si>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</si>
  <si>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</si>
  <si>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</si>
  <si>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</si>
  <si>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</si>
  <si>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</si>
  <si>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</si>
  <si>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</si>
  <si>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</si>
  <si>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</si>
  <si>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</si>
  <si>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</si>
  <si>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</si>
  <si>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</si>
  <si>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</si>
  <si>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</si>
  <si>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</si>
  <si>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</si>
  <si>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</si>
  <si>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</si>
  <si>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</si>
  <si>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</si>
  <si>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</si>
  <si>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</si>
  <si>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</si>
  <si>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</si>
  <si>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</si>
  <si>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</si>
  <si>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</si>
  <si>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</si>
  <si>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</si>
  <si>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</si>
  <si>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</si>
  <si>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</si>
  <si>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</si>
  <si>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</si>
  <si>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</si>
  <si>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</si>
  <si>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</si>
  <si>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</si>
  <si>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</si>
  <si>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</si>
  <si>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</si>
  <si>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</si>
  <si>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</si>
  <si>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</si>
  <si>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</si>
  <si>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</si>
  <si>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</si>
  <si>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</si>
  <si>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</si>
  <si>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</si>
  <si>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</si>
  <si>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</si>
  <si>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</si>
  <si>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</si>
  <si>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</si>
  <si>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</si>
  <si>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</si>
  <si>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</si>
  <si>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</si>
  <si>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</si>
  <si>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</si>
  <si>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</si>
  <si>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</si>
  <si>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</si>
  <si>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</si>
  <si>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</si>
  <si>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</si>
  <si>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</si>
  <si>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</si>
  <si>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</si>
  <si>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</si>
  <si>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</si>
  <si>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</si>
  <si>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</si>
  <si>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</si>
  <si>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</si>
  <si>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</si>
  <si>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</si>
  <si>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</si>
  <si>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</si>
  <si>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</si>
  <si>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</si>
  <si>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</si>
  <si>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</si>
  <si>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</si>
  <si>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</si>
  <si>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</si>
  <si>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</si>
  <si>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</si>
  <si>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</si>
  <si>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</si>
  <si>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</si>
  <si>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</si>
  <si>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</si>
  <si>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</si>
  <si>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</si>
  <si>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</si>
  <si>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</si>
  <si>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</si>
  <si>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</si>
  <si>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</si>
  <si>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</si>
  <si>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</si>
  <si>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</si>
  <si>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</si>
  <si>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</si>
  <si>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</si>
  <si>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</si>
  <si>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</si>
  <si>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</si>
  <si>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</si>
  <si>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</si>
  <si>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</si>
  <si>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</si>
  <si>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</si>
  <si>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</si>
  <si>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</si>
  <si>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</si>
  <si>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</si>
  <si>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</si>
  <si>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</si>
  <si>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</si>
  <si>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</si>
  <si>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</si>
  <si>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</si>
  <si>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</si>
  <si>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</si>
  <si>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</si>
  <si>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</si>
  <si>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</si>
  <si>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</si>
  <si>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</si>
  <si>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</si>
  <si>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</si>
  <si>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</si>
  <si>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</si>
  <si>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</si>
  <si>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</si>
  <si>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</si>
  <si>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</si>
  <si>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</si>
  <si>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</si>
  <si>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</si>
  <si>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</si>
  <si>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</si>
  <si>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</si>
  <si>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</si>
  <si>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</si>
  <si>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</si>
  <si>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</si>
  <si>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</si>
  <si>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</si>
  <si>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</si>
  <si>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</si>
  <si>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</si>
  <si>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</si>
  <si>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</si>
  <si>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</si>
  <si>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</si>
  <si>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</si>
  <si>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</si>
  <si>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</si>
  <si>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</si>
  <si>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</si>
  <si>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</si>
  <si>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</si>
  <si>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</si>
  <si>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</si>
  <si>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</si>
  <si>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</si>
  <si>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</si>
  <si>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</si>
  <si>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</si>
  <si>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</si>
  <si>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</si>
  <si>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</si>
  <si>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</si>
  <si>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</si>
  <si>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</si>
  <si>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</si>
  <si>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</si>
  <si>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</si>
  <si>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</si>
  <si>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</si>
  <si>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</si>
  <si>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</si>
  <si>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</si>
  <si>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</si>
  <si>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</si>
  <si>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</si>
  <si>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</si>
  <si>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</si>
  <si>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</si>
  <si>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</si>
  <si>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</si>
  <si>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</si>
  <si>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</si>
  <si>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</si>
  <si>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</si>
  <si>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</si>
  <si>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</si>
  <si>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</si>
  <si>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</si>
  <si>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</si>
  <si>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</si>
  <si>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</si>
  <si>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</si>
  <si>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</si>
  <si>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</si>
  <si>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</si>
  <si>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</si>
  <si>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</si>
  <si>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</si>
  <si>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</si>
  <si>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</si>
  <si>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</si>
  <si>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</si>
  <si>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</si>
  <si>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</si>
  <si>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</si>
  <si>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</si>
  <si>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</si>
  <si>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</si>
  <si>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</si>
  <si>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</si>
  <si>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</si>
  <si>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</si>
  <si>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</si>
  <si>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</si>
  <si>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</si>
  <si>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</si>
  <si>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</si>
  <si>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</si>
  <si>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</si>
  <si>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</si>
  <si>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</si>
  <si>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</si>
  <si>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</si>
  <si>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</si>
  <si>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</si>
  <si>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</si>
  <si>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</si>
  <si>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</si>
  <si>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</si>
  <si>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</si>
  <si>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</si>
  <si>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</si>
  <si>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</si>
  <si>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</si>
  <si>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</si>
  <si>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</si>
  <si>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</si>
  <si>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</si>
  <si>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</si>
  <si>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</si>
  <si>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</si>
  <si>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</si>
  <si>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</si>
  <si>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</si>
  <si>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</si>
  <si>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</si>
  <si>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</si>
  <si>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</si>
  <si>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</si>
  <si>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</si>
  <si>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</si>
  <si>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</si>
  <si>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</si>
  <si>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</si>
  <si>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</si>
  <si>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</si>
  <si>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</si>
  <si>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</si>
  <si>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</si>
  <si>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</si>
  <si>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</si>
  <si>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</si>
  <si>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</si>
  <si>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</si>
  <si>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</si>
  <si>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</si>
  <si>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</si>
  <si>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</si>
  <si>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</si>
  <si>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</si>
  <si>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</si>
  <si>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</si>
  <si>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</si>
  <si>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</si>
  <si>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</si>
  <si>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</si>
  <si>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</si>
  <si>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</si>
  <si>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</si>
  <si>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</si>
  <si>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</si>
  <si>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</si>
  <si>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</si>
  <si>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</si>
  <si>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</si>
  <si>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</si>
  <si>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</si>
  <si>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</si>
  <si>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</si>
  <si>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</si>
  <si>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</si>
  <si>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</si>
  <si>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</si>
  <si>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</si>
  <si>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</si>
  <si>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</si>
  <si>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</si>
  <si>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</si>
  <si>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</si>
  <si>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</si>
  <si>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</si>
  <si>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</si>
  <si>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</si>
  <si>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</si>
  <si>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</si>
  <si>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</si>
  <si>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</si>
  <si>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</si>
  <si>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</si>
  <si>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</si>
  <si>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</si>
  <si>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</si>
  <si>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</si>
  <si>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</si>
  <si>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</si>
  <si>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</si>
  <si>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</si>
  <si>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</si>
  <si>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</si>
  <si>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</si>
  <si>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</si>
  <si>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</si>
  <si>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</si>
  <si>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</si>
  <si>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</si>
  <si>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</si>
  <si>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</si>
  <si>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</si>
  <si>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</si>
  <si>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</si>
  <si>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</si>
  <si>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</si>
  <si>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</si>
  <si>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</si>
  <si>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</si>
  <si>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</si>
  <si>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</si>
  <si>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</si>
  <si>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</si>
  <si>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</si>
  <si>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</si>
  <si>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</si>
  <si>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</si>
  <si>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</si>
  <si>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</si>
  <si>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</si>
  <si>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</si>
  <si>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</si>
  <si>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</si>
  <si>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</si>
  <si>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</si>
  <si>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</si>
  <si>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</si>
  <si>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</si>
  <si>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</si>
  <si>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</si>
  <si>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</si>
  <si>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</si>
  <si>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</si>
  <si>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</si>
  <si>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</si>
  <si>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</si>
  <si>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</si>
  <si>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</si>
  <si>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</si>
  <si>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</si>
  <si>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</si>
  <si>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</si>
  <si>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</si>
  <si>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</si>
  <si>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</si>
  <si>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</si>
  <si>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</si>
  <si>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</si>
  <si>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</si>
  <si>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</si>
  <si>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</si>
  <si>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</si>
  <si>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</si>
  <si>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</si>
  <si>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</si>
  <si>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</si>
  <si>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</si>
  <si>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</si>
  <si>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</si>
  <si>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</si>
  <si>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</si>
  <si>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</si>
  <si>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</si>
  <si>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</si>
  <si>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</si>
  <si>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</si>
  <si>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</si>
  <si>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</si>
  <si>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</si>
  <si>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</si>
  <si>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</si>
  <si>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</si>
  <si>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</si>
  <si>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</si>
  <si>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</si>
  <si>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</si>
  <si>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</si>
  <si>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</si>
  <si>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</si>
  <si>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</si>
  <si>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</si>
  <si>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</si>
  <si>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</si>
  <si>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</si>
  <si>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</si>
  <si>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</si>
  <si>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</si>
  <si>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</si>
  <si>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</si>
  <si>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</si>
  <si>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</si>
  <si>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</si>
  <si>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</si>
  <si>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</si>
  <si>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</si>
  <si>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</si>
  <si>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</si>
  <si>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</si>
  <si>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</si>
  <si>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</si>
  <si>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</si>
  <si>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</si>
  <si>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</si>
  <si>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</si>
  <si>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</si>
  <si>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</si>
  <si>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</si>
  <si>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</si>
  <si>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</si>
  <si>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</si>
  <si>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</si>
  <si>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</si>
  <si>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</si>
  <si>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</si>
  <si>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</si>
  <si>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</si>
  <si>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</si>
  <si>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</si>
  <si>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</si>
  <si>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</si>
  <si>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</si>
  <si>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</si>
  <si>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</si>
  <si>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</si>
  <si>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</si>
  <si>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</si>
  <si>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</si>
  <si>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</si>
  <si>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</si>
  <si>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</si>
  <si>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</si>
  <si>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</si>
  <si>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</si>
  <si>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</si>
  <si>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</si>
  <si>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</si>
  <si>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</si>
  <si>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</si>
  <si>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</si>
  <si>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</si>
  <si>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</si>
  <si>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</si>
  <si>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</si>
  <si>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</si>
  <si>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</si>
  <si>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</si>
  <si>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</si>
  <si>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</si>
  <si>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</si>
  <si>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</si>
  <si>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</si>
  <si>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</si>
  <si>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</si>
  <si>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</si>
  <si>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</si>
  <si>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</si>
  <si>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</si>
  <si>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</si>
  <si>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</si>
  <si>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</si>
  <si>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</si>
  <si>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</si>
  <si>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</si>
  <si>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</si>
  <si>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</si>
  <si>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</si>
  <si>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</si>
  <si>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</si>
  <si>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</si>
  <si>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</si>
  <si>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</si>
  <si>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</si>
  <si>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</si>
  <si>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</si>
  <si>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</si>
  <si>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</si>
  <si>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</si>
  <si>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</si>
  <si>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</si>
  <si>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</si>
  <si>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</si>
  <si>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</si>
  <si>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</si>
  <si>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</si>
  <si>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</si>
  <si>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</si>
  <si>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</si>
  <si>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</si>
  <si>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</si>
  <si>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</si>
  <si>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</si>
  <si>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</si>
  <si>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</si>
  <si>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</si>
  <si>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</si>
  <si>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</si>
  <si>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</si>
  <si>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</si>
  <si>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</si>
  <si>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</si>
  <si>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</si>
  <si>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</si>
  <si>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</si>
  <si>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</si>
  <si>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</si>
  <si>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</si>
  <si>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</si>
  <si>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</si>
  <si>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</si>
  <si>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</si>
  <si>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</si>
  <si>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</si>
  <si>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</si>
  <si>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</si>
  <si>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</si>
  <si>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</si>
  <si>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</si>
  <si>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</si>
  <si>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</si>
  <si>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</si>
  <si>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</si>
  <si>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</si>
  <si>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</si>
  <si>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</si>
  <si>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</si>
  <si>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</si>
  <si>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</si>
  <si>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</si>
  <si>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</si>
  <si>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</si>
  <si>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</si>
  <si>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</si>
  <si>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</si>
  <si>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</si>
  <si>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</si>
  <si>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</si>
  <si>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</si>
  <si>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</si>
  <si>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</si>
  <si>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</si>
  <si>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</si>
  <si>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</si>
  <si>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</si>
  <si>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</si>
  <si>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</si>
  <si>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</si>
  <si>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</si>
  <si>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</si>
  <si>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</si>
  <si>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</si>
  <si>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</si>
  <si>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</si>
  <si>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</si>
  <si>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</si>
  <si>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</si>
  <si>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</si>
  <si>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</si>
  <si>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</si>
  <si>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</si>
  <si>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</si>
  <si>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</si>
  <si>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</si>
  <si>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</si>
  <si>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</si>
  <si>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</si>
  <si>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</si>
  <si>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</si>
  <si>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</si>
  <si>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</si>
  <si>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</si>
  <si>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</si>
  <si>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</si>
  <si>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</si>
  <si>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</si>
  <si>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</si>
  <si>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</si>
  <si>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</si>
  <si>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</si>
  <si>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</si>
  <si>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</si>
  <si>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</si>
  <si>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</si>
  <si>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</si>
  <si>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</si>
  <si>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</si>
  <si>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</si>
  <si>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</si>
  <si>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</si>
  <si>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</si>
  <si>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</si>
  <si>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</si>
  <si>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</si>
  <si>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</si>
  <si>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</si>
  <si>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</si>
  <si>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</si>
  <si>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</si>
  <si>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</si>
  <si>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</si>
  <si>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</si>
  <si>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</si>
  <si>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</si>
  <si>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</si>
  <si>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</si>
  <si>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</si>
  <si>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</si>
  <si>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</si>
  <si>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</si>
  <si>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</si>
  <si>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</si>
  <si>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</si>
  <si>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</si>
  <si>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</si>
  <si>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</si>
  <si>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</si>
  <si>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</si>
  <si>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</si>
  <si>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</si>
  <si>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</si>
  <si>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</si>
  <si>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</si>
  <si>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</si>
  <si>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</si>
  <si>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</si>
  <si>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</si>
  <si>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</si>
  <si>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</si>
  <si>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</si>
  <si>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</si>
  <si>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</si>
  <si>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</si>
  <si>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</si>
  <si>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</si>
  <si>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</si>
  <si>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</si>
  <si>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</si>
  <si>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</si>
  <si>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</si>
  <si>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</si>
  <si>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</si>
  <si>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</si>
  <si>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</si>
  <si>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</si>
  <si>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</si>
  <si>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</si>
  <si>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</si>
  <si>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</si>
  <si>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</si>
  <si>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</si>
  <si>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</si>
  <si>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</si>
  <si>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</si>
  <si>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</si>
  <si>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</si>
  <si>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</si>
  <si>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</si>
  <si>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</si>
  <si>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</si>
  <si>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</si>
  <si>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</si>
  <si>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</si>
  <si>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</si>
  <si>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</si>
  <si>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</si>
  <si>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</si>
  <si>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</si>
  <si>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</si>
  <si>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</si>
  <si>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</si>
  <si>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</si>
  <si>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</si>
  <si>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</si>
  <si>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</si>
  <si>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</si>
  <si>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</si>
  <si>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</si>
  <si>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</si>
  <si>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</si>
  <si>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</si>
  <si>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</si>
  <si>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</si>
  <si>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</si>
  <si>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</si>
  <si>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</si>
  <si>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</si>
  <si>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</si>
  <si>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</si>
  <si>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</si>
  <si>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</si>
  <si>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</si>
  <si>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</si>
  <si>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</si>
  <si>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</si>
  <si>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</si>
  <si>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</si>
  <si>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</si>
  <si>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</si>
  <si>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</si>
  <si>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</si>
  <si>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</si>
  <si>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</si>
  <si>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</si>
  <si>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</si>
  <si>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</si>
  <si>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</si>
  <si>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</si>
  <si>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</si>
  <si>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</si>
  <si>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</si>
  <si>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</si>
  <si>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</si>
  <si>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</si>
  <si>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</si>
  <si>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</si>
  <si>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</si>
  <si>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</si>
  <si>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</si>
  <si>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</si>
  <si>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</si>
  <si>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</si>
  <si>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</si>
  <si>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</si>
  <si>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</si>
  <si>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</si>
  <si>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</si>
  <si>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</si>
  <si>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</si>
  <si>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</si>
  <si>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</si>
  <si>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</si>
  <si>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</si>
  <si>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</si>
  <si>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</si>
  <si>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</si>
  <si>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</si>
  <si>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</si>
  <si>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</si>
  <si>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</si>
  <si>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</si>
  <si>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</si>
  <si>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</si>
  <si>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</si>
  <si>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</si>
  <si>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</si>
  <si>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</si>
  <si>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</si>
  <si>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</si>
  <si>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</si>
  <si>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</si>
  <si>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</si>
  <si>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</si>
  <si>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</si>
  <si>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</si>
  <si>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</si>
  <si>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</si>
  <si>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</si>
  <si>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</si>
  <si>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</si>
  <si>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</si>
  <si>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</si>
  <si>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</si>
  <si>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</si>
  <si>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</si>
  <si>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</si>
  <si>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</si>
  <si>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</si>
  <si>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</si>
  <si>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</si>
  <si>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</si>
  <si>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</si>
  <si>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</si>
  <si>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</si>
  <si>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</si>
  <si>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</si>
  <si>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</si>
  <si>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</si>
  <si>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</si>
  <si>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</si>
  <si>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</si>
  <si>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</si>
  <si>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</si>
  <si>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</si>
  <si>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</si>
  <si>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</si>
  <si>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</si>
  <si>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</si>
  <si>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</si>
  <si>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</si>
  <si>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</si>
  <si>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</si>
  <si>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</si>
  <si>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</si>
  <si>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</si>
  <si>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</si>
  <si>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</si>
  <si>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</si>
  <si>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</si>
  <si>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</si>
  <si>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</si>
  <si>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</si>
  <si>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</si>
  <si>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</si>
  <si>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</si>
  <si>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</si>
  <si>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</si>
  <si>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</si>
  <si>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</si>
  <si>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</si>
  <si>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</si>
  <si>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</si>
  <si>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</si>
  <si>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</si>
  <si>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</si>
  <si>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</si>
  <si>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</si>
  <si>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</si>
  <si>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</si>
  <si>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</si>
  <si>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</si>
  <si>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</si>
  <si>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</si>
  <si>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</si>
  <si>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</si>
  <si>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</si>
  <si>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</si>
  <si>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</si>
  <si>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</si>
  <si>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</si>
  <si>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</si>
  <si>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</si>
  <si>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</si>
  <si>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</si>
  <si>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</si>
  <si>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</si>
  <si>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</si>
  <si>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</si>
  <si>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</si>
  <si>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</si>
  <si>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</si>
  <si>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</si>
  <si>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</si>
  <si>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</si>
  <si>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</si>
  <si>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</si>
  <si>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</si>
  <si>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</si>
  <si>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</si>
  <si>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</si>
  <si>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</si>
  <si>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</si>
  <si>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</si>
  <si>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</si>
  <si>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</si>
  <si>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</si>
  <si>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</si>
  <si>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</si>
  <si>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</si>
  <si>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</si>
  <si>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</si>
  <si>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</si>
  <si>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</si>
  <si>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</si>
  <si>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</si>
  <si>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</si>
  <si>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</si>
  <si>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</si>
  <si>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</si>
  <si>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</si>
  <si>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</si>
  <si>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</si>
  <si>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</si>
  <si>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</si>
  <si>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</si>
  <si>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</si>
  <si>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</si>
  <si>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</si>
  <si>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</si>
  <si>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</si>
  <si>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</si>
  <si>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</si>
  <si>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</si>
  <si>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</si>
  <si>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</si>
  <si>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</si>
  <si>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</si>
  <si>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</si>
  <si>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</si>
  <si>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</si>
  <si>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</si>
  <si>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</si>
  <si>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</si>
  <si>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</si>
  <si>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</si>
  <si>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</si>
  <si>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</si>
  <si>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</si>
  <si>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</si>
  <si>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</si>
  <si>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</si>
  <si>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</si>
  <si>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</si>
  <si>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</si>
  <si>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</si>
  <si>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</si>
  <si>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</si>
  <si>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</si>
  <si>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</si>
  <si>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</si>
  <si>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</si>
  <si>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</si>
  <si>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</si>
  <si>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</si>
  <si>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</si>
  <si>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</si>
  <si>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</si>
  <si>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</si>
  <si>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</si>
  <si>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</si>
  <si>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</si>
  <si>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</si>
  <si>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</si>
  <si>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</si>
  <si>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</si>
  <si>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</si>
  <si>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</si>
  <si>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</si>
  <si>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</si>
  <si>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</si>
  <si>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</si>
  <si>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</si>
  <si>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</si>
  <si>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</si>
  <si>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</si>
  <si>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</si>
  <si>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</si>
  <si>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</si>
  <si>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</si>
  <si>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</si>
  <si>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</si>
  <si>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</si>
  <si>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</si>
  <si>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</si>
  <si>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</si>
  <si>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</si>
  <si>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</si>
  <si>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</si>
  <si>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</si>
  <si>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</si>
  <si>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</si>
  <si>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</si>
  <si>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</si>
  <si>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</si>
  <si>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</si>
  <si>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</si>
  <si>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</si>
  <si>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</si>
  <si>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</si>
  <si>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</si>
  <si>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</si>
  <si>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</si>
  <si>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</si>
  <si>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</si>
  <si>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</si>
  <si>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</si>
  <si>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2007 DEBT CERTIFICATE</t>
  </si>
  <si>
    <t>2016 DEBT CERTIFICATE</t>
  </si>
  <si>
    <t>x</t>
  </si>
  <si>
    <t>X</t>
  </si>
  <si>
    <t>EDER, CASELLA &amp; CO.</t>
  </si>
  <si>
    <t>ANTHONY MICHELOTTI</t>
  </si>
  <si>
    <t>5400 WEST ELM STREET, SUITE 203</t>
  </si>
  <si>
    <t>MCHENRY</t>
  </si>
  <si>
    <t>IL</t>
  </si>
  <si>
    <t>815-344-1300</t>
  </si>
  <si>
    <t>815-344-1320</t>
  </si>
  <si>
    <t>CPAS@EDERCASELLA.COM</t>
  </si>
  <si>
    <t>LAKE</t>
  </si>
  <si>
    <t>1700 SOUTH O'PLAINE ROAD</t>
  </si>
  <si>
    <t>GREEN OAKS</t>
  </si>
  <si>
    <t>VALENTIN@OGSCHOOL.ORG</t>
  </si>
  <si>
    <t>KURT VALENTIN</t>
  </si>
  <si>
    <t>847-367-4120</t>
  </si>
  <si>
    <t>847-367-4172</t>
  </si>
  <si>
    <t>DEBT CERTIFICATES</t>
  </si>
  <si>
    <t>COLLECTIVE LIABILITY INSURANCE COOPERATIVE</t>
  </si>
  <si>
    <t>IIIT AND PMA</t>
  </si>
  <si>
    <t>LIBERTYVILLE SCHOOL DIST #70 - (SEE BELOW)</t>
  </si>
  <si>
    <t>SPECIAL EDUCATION DISTRICT OF LAKE COUNTY</t>
  </si>
  <si>
    <t>BUSINESS OFFICE AND ART TEACHER</t>
  </si>
  <si>
    <t>Page 9, Line 11 - Other Tax Levies</t>
  </si>
  <si>
    <t>IMRF/SS Fund</t>
  </si>
  <si>
    <t xml:space="preserve">  SEDOL IMRF Property Tax Revenue</t>
  </si>
  <si>
    <t>Page 10, Line 72 - Sales to Pupils - Other</t>
  </si>
  <si>
    <t>Education Fund</t>
  </si>
  <si>
    <t xml:space="preserve">  Student Milk Payments</t>
  </si>
  <si>
    <t>Page 11, Line 107 - Other Local Revenues</t>
  </si>
  <si>
    <t xml:space="preserve">  PTO Donations and Refunds</t>
  </si>
  <si>
    <t>Operations and Maintenance Fund</t>
  </si>
  <si>
    <t>Tort Fund</t>
  </si>
  <si>
    <t xml:space="preserve">  CLIC Member Refund</t>
  </si>
  <si>
    <t xml:space="preserve">  Energy Reduction Program Payments</t>
  </si>
  <si>
    <t>EDUCATION - INSTRUCTION - PURCHASED SERVICES</t>
  </si>
  <si>
    <t>OPERATIONS &amp; MAINTENANCE -OPERS/MAINT - PURCHASED SERVICES</t>
  </si>
  <si>
    <t>EDUCATION - BUSINESS - PURCHASED SERVICES</t>
  </si>
  <si>
    <t>EDUCATION - TECHNOLOGY - PURCHASES SERVICES</t>
  </si>
  <si>
    <t>TRANSPORTATION - TRANSPORTATION - PURCHASED SERVICES</t>
  </si>
  <si>
    <t>EDUCATION - CURRICULUM - PURCHASED SERVICES</t>
  </si>
  <si>
    <t>SITE CONSTRUCTION -FACILITY IMPROVEMENTS - PURCHASED SERVICES</t>
  </si>
  <si>
    <t>BRIGHTSPARK</t>
  </si>
  <si>
    <t>BUSS LANDSCAPE</t>
  </si>
  <si>
    <t>CANON FINANCIAL SERVICES</t>
  </si>
  <si>
    <t>COMCAST</t>
  </si>
  <si>
    <t>DURHAM SCHOOL SERVICES</t>
  </si>
  <si>
    <t>ECRA GROUP</t>
  </si>
  <si>
    <t>GRAVES DESIGN GROUP</t>
  </si>
  <si>
    <t>LIBERTYVILLE SCHOOL DISTRICT #70</t>
  </si>
  <si>
    <t>UNITED LANDSCAPE ARTISTS</t>
  </si>
  <si>
    <t>20-2540-300</t>
  </si>
  <si>
    <t>10-2520-300</t>
  </si>
  <si>
    <t>40-2550-300</t>
  </si>
  <si>
    <t>10-1100-300</t>
  </si>
  <si>
    <t>Page 12, Line 171 - Other Restricted Revenue</t>
  </si>
  <si>
    <t xml:space="preserve">  Library Grant</t>
  </si>
  <si>
    <t>Page 23, Line 18 - Other Tax Levies</t>
  </si>
  <si>
    <t xml:space="preserve">  SEDOL IMRF Levy</t>
  </si>
  <si>
    <t>066-005142</t>
  </si>
  <si>
    <t>Oak Grove SD 68</t>
  </si>
  <si>
    <t>10-2200-300</t>
  </si>
  <si>
    <t>60-2540-300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</si>
</sst>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1" fontId="162" fillId="0" borderId="0" applyFont="0" applyFill="0" applyBorder="0" applyAlignment="0" applyProtection="0"/>
    <xf numFmtId="182"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2" fillId="0" borderId="0" applyFont="0" applyFill="0" applyBorder="0" applyAlignment="0" applyProtection="0"/>
    <xf numFmtId="184" fontId="162" fillId="0" borderId="0" applyFont="0" applyFill="0" applyBorder="0" applyAlignment="0" applyProtection="0"/>
    <xf numFmtId="43" fontId="139"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1" borderId="0" applyNumberFormat="0" applyBorder="0" applyAlignment="0" applyProtection="0"/>
    <xf numFmtId="0" fontId="143" fillId="32" borderId="0" applyNumberFormat="0" applyBorder="0" applyAlignment="0" applyProtection="0"/>
    <xf numFmtId="0" fontId="155" fillId="33"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43" fillId="31" borderId="0" applyNumberFormat="0" applyBorder="0" applyAlignment="0" applyProtection="0"/>
    <xf numFmtId="0" fontId="143" fillId="35"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28" borderId="0" applyNumberFormat="0" applyBorder="0" applyAlignment="0" applyProtection="0"/>
    <xf numFmtId="0" fontId="143" fillId="32" borderId="0" applyNumberFormat="0" applyBorder="0" applyAlignment="0" applyProtection="0"/>
    <xf numFmtId="0" fontId="155" fillId="32"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6"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43" fillId="31" borderId="0" applyNumberFormat="0" applyBorder="0" applyAlignment="0" applyProtection="0"/>
    <xf numFmtId="0" fontId="143" fillId="38" borderId="0" applyNumberFormat="0" applyBorder="0" applyAlignment="0" applyProtection="0"/>
    <xf numFmtId="0" fontId="155" fillId="38"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62" fillId="0" borderId="166" applyNumberFormat="0" applyFill="0" applyAlignment="0" applyProtection="0"/>
    <xf numFmtId="191" fontId="163" fillId="0" borderId="166" applyNumberFormat="0" applyFill="0" applyAlignment="0" applyProtection="0">
      <alignment horizontal="center"/>
    </xf>
    <xf numFmtId="191" fontId="163" fillId="0" borderId="78" applyFill="0" applyAlignment="0" applyProtection="0">
      <alignment horizontal="center"/>
    </xf>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64" fillId="0" borderId="0" applyProtection="0"/>
    <xf numFmtId="191"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3"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5" fontId="139" fillId="0" borderId="0" applyFont="0" applyFill="0" applyBorder="0" applyAlignment="0" applyProtection="0"/>
    <xf numFmtId="0" fontId="141" fillId="0" borderId="0" applyProtection="0"/>
    <xf numFmtId="192" fontId="162" fillId="0" borderId="0" applyFont="0" applyFill="0" applyBorder="0" applyAlignment="0" applyProtection="0"/>
    <xf numFmtId="191" fontId="163" fillId="0" borderId="168" applyNumberFormat="0" applyFill="0" applyAlignment="0" applyProtection="0"/>
    <xf numFmtId="0" fontId="162" fillId="0" borderId="168" applyNumberFormat="0" applyFill="0" applyAlignment="0" applyProtection="0"/>
    <xf numFmtId="0" fontId="154" fillId="42" borderId="0" applyNumberFormat="0" applyBorder="0" applyAlignment="0" applyProtection="0"/>
    <xf numFmtId="0" fontId="154" fillId="43" borderId="0" applyNumberFormat="0" applyBorder="0" applyAlignment="0" applyProtection="0"/>
    <xf numFmtId="0" fontId="154" fillId="44"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1" fillId="0" borderId="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1" fillId="0" borderId="0" applyProtection="0"/>
    <xf numFmtId="0" fontId="142" fillId="0" borderId="0" applyProtection="0"/>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2" fillId="0" borderId="0" applyFont="0" applyFill="0" applyBorder="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63" fillId="0" borderId="0" applyNumberFormat="0" applyFill="0" applyAlignment="0" applyProtection="0"/>
    <xf numFmtId="0" fontId="139" fillId="0" borderId="0"/>
    <xf numFmtId="0" fontId="11" fillId="0" borderId="0"/>
    <xf numFmtId="0" fontId="11" fillId="0" borderId="0"/>
    <xf numFmtId="0" fontId="139" fillId="0" borderId="0"/>
    <xf numFmtId="0" fontId="4" fillId="0" borderId="0"/>
    <xf numFmtId="0" fontId="140" fillId="0" borderId="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194" fontId="163" fillId="0" borderId="0" applyFill="0" applyBorder="0" applyProtection="0">
      <alignment horizontal="right"/>
    </xf>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195" fontId="163" fillId="0" borderId="0" applyProtection="0"/>
    <xf numFmtId="0" fontId="144"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4" applyNumberFormat="0" applyFont="0" applyFill="0" applyAlignment="0" applyProtection="0"/>
    <xf numFmtId="0" fontId="162" fillId="0" borderId="175" applyNumberFormat="0" applyFont="0" applyFill="0" applyAlignment="0" applyProtection="0"/>
    <xf numFmtId="0" fontId="162" fillId="0" borderId="142" applyNumberFormat="0" applyFon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39" fillId="0" borderId="0" applyAlignment="0"/>
    <xf numFmtId="43" fontId="11" fillId="0" borderId="0" applyAlignment="0"/>
    <xf numFmtId="43" fontId="139" fillId="0" borderId="0" applyAlignment="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1" fillId="0" borderId="0"/>
    <xf numFmtId="0" fontId="11" fillId="0" borderId="0"/>
    <xf numFmtId="0" fontId="11" fillId="0" borderId="0"/>
    <xf numFmtId="0" fontId="139"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0" fillId="0" borderId="0"/>
    <xf numFmtId="0" fontId="11" fillId="0" borderId="0"/>
    <xf numFmtId="0" fontId="11" fillId="0" borderId="0"/>
    <xf numFmtId="0" fontId="11" fillId="0" borderId="0"/>
    <xf numFmtId="0" fontId="11" fillId="0" borderId="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62" fillId="0" borderId="142" applyNumberFormat="0" applyFont="0" applyFill="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1" fillId="0" borderId="0"/>
  </cellStyleXfs>
  <cellXfs count="250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58" fillId="0" borderId="0" xfId="0" quotePrefix="1" applyFont="1"/>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top"/>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6" fillId="13" borderId="13" xfId="0" applyNumberFormat="1" applyFont="1" applyFill="1" applyBorder="1" applyAlignment="1" applyProtection="1">
      <alignment horizontal="center" vertical="center"/>
    </xf>
    <xf numFmtId="0" fontId="58" fillId="13"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3"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4E142688-3E0C-4D03-89D6-A9B9F3FE48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sqref="A1:F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2079</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t="s">
        <v>2079</v>
      </c>
      <c r="P12" s="100" t="s">
        <v>211</v>
      </c>
      <c r="Q12" s="74"/>
      <c r="R12" s="30"/>
      <c r="S12" s="30"/>
      <c r="T12" s="85" t="s">
        <v>283</v>
      </c>
      <c r="U12" s="51"/>
      <c r="V12" s="51"/>
      <c r="W12" s="51"/>
      <c r="X12" s="51"/>
      <c r="Y12" s="45"/>
      <c r="Z12" s="45"/>
      <c r="AA12" s="46"/>
    </row>
    <row r="13" spans="1:28" ht="13.5" customHeight="1" x14ac:dyDescent="0.2">
      <c r="A13" s="2004">
        <v>34049068002</v>
      </c>
      <c r="B13" s="2005"/>
      <c r="C13" s="2005"/>
      <c r="D13" s="2005"/>
      <c r="E13" s="2005"/>
      <c r="F13" s="2005"/>
      <c r="G13" s="2005"/>
      <c r="H13" s="2006"/>
      <c r="I13" s="31"/>
      <c r="J13" s="30"/>
      <c r="K13" s="28"/>
      <c r="L13" s="30"/>
      <c r="M13" s="30"/>
      <c r="N13" s="30"/>
      <c r="O13" s="30"/>
      <c r="P13" s="30"/>
      <c r="Q13" s="30"/>
      <c r="R13" s="30"/>
      <c r="S13" s="30"/>
      <c r="T13" s="2009" t="s">
        <v>2081</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2089</v>
      </c>
      <c r="B15" s="2007"/>
      <c r="C15" s="2007"/>
      <c r="D15" s="2007"/>
      <c r="E15" s="2007"/>
      <c r="F15" s="2007"/>
      <c r="G15" s="2007"/>
      <c r="H15" s="2008"/>
      <c r="T15" s="1970" t="s">
        <v>2082</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2139</v>
      </c>
      <c r="B17" s="2032"/>
      <c r="C17" s="2032"/>
      <c r="D17" s="2032"/>
      <c r="E17" s="2032"/>
      <c r="F17" s="2032"/>
      <c r="G17" s="2032"/>
      <c r="H17" s="2033"/>
      <c r="T17" s="2019" t="s">
        <v>2083</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2090</v>
      </c>
      <c r="B19" s="2003"/>
      <c r="C19" s="2003"/>
      <c r="D19" s="2003"/>
      <c r="E19" s="2003"/>
      <c r="F19" s="2003"/>
      <c r="G19" s="2003"/>
      <c r="H19" s="2001"/>
      <c r="I19" s="30"/>
      <c r="J19" s="99"/>
      <c r="K19" s="40"/>
      <c r="L19" s="38"/>
      <c r="M19" s="112" t="s">
        <v>333</v>
      </c>
      <c r="P19" s="27"/>
      <c r="Q19" s="27"/>
      <c r="R19" s="27"/>
      <c r="S19" s="31"/>
      <c r="T19" s="2002" t="s">
        <v>2084</v>
      </c>
      <c r="U19" s="2000"/>
      <c r="V19" s="2000"/>
      <c r="W19" s="2001"/>
      <c r="X19" s="2017" t="s">
        <v>2085</v>
      </c>
      <c r="Y19" s="2018"/>
      <c r="Z19" s="2015">
        <v>60050</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2091</v>
      </c>
      <c r="B21" s="2000"/>
      <c r="C21" s="2000"/>
      <c r="D21" s="2000"/>
      <c r="E21" s="2000"/>
      <c r="F21" s="2000"/>
      <c r="G21" s="2000"/>
      <c r="H21" s="2001"/>
      <c r="I21" s="2025" t="s">
        <v>699</v>
      </c>
      <c r="J21" s="1988"/>
      <c r="K21" s="1988"/>
      <c r="L21" s="1988"/>
      <c r="M21" s="1988"/>
      <c r="N21" s="1988"/>
      <c r="O21" s="1988"/>
      <c r="P21" s="1988"/>
      <c r="Q21" s="1988"/>
      <c r="R21" s="1988"/>
      <c r="S21" s="1989"/>
      <c r="T21" s="1967" t="s">
        <v>2086</v>
      </c>
      <c r="U21" s="1968"/>
      <c r="V21" s="1968"/>
      <c r="W21" s="1968"/>
      <c r="X21" s="1981" t="s">
        <v>2087</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2092</v>
      </c>
      <c r="B23" s="2023"/>
      <c r="C23" s="2023"/>
      <c r="D23" s="2023"/>
      <c r="E23" s="2023"/>
      <c r="F23" s="2023"/>
      <c r="G23" s="2023"/>
      <c r="H23" s="2024"/>
      <c r="T23" s="1962" t="s">
        <v>2138</v>
      </c>
      <c r="U23" s="1963"/>
      <c r="V23" s="1963"/>
      <c r="W23" s="1963"/>
      <c r="X23" s="1978">
        <v>43434</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60048</v>
      </c>
      <c r="B25" s="2000"/>
      <c r="C25" s="2000"/>
      <c r="D25" s="2000"/>
      <c r="E25" s="2000"/>
      <c r="F25" s="2000"/>
      <c r="G25" s="2000"/>
      <c r="H25" s="2001"/>
      <c r="I25" s="113"/>
      <c r="J25" s="2066"/>
      <c r="K25" s="2066"/>
      <c r="L25" s="2066"/>
      <c r="M25" s="2066"/>
      <c r="N25" s="2066"/>
      <c r="O25" s="2066"/>
      <c r="P25" s="2066"/>
      <c r="Q25" s="2066"/>
      <c r="R25" s="2066"/>
      <c r="S25" s="2067"/>
      <c r="T25" s="1959" t="s">
        <v>2088</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2080</v>
      </c>
      <c r="F29" s="141" t="s">
        <v>1383</v>
      </c>
      <c r="G29" s="114"/>
      <c r="I29" s="54"/>
      <c r="J29" s="102"/>
      <c r="K29" s="28" t="s">
        <v>597</v>
      </c>
      <c r="L29" s="148" t="s">
        <v>2080</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2080</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2093</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2092</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2094</v>
      </c>
      <c r="B42" s="2049"/>
      <c r="C42" s="2050"/>
      <c r="D42" s="2063" t="s">
        <v>2095</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abSelected="1" topLeftCell="A40" zoomScale="110" zoomScaleNormal="11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tabSelected="1" defaultGridColor="0" topLeftCell="A83" colorId="8" zoomScale="110" zoomScaleNormal="110" workbookViewId="0">
      <selection sqref="A1:F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t="s">
        <v>2080</v>
      </c>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2080</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v>2642</v>
      </c>
      <c r="G88" s="276">
        <v>64205</v>
      </c>
      <c r="H88" s="276"/>
      <c r="I88" s="276"/>
      <c r="J88" s="277">
        <f>SUM(E88:I88)</f>
        <v>66847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66847</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2081</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tabSelected="1" defaultGridColor="0" topLeftCell="A10" colorId="8" zoomScale="110" zoomScaleNormal="110" workbookViewId="0">
      <selection sqref="A1:F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562829020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2.218005E-2</v>
      </c>
      <c r="E10" s="356" t="s">
        <v>1062</v>
      </c>
      <c r="F10" s="355">
        <v>2.4265200000000002E-3</v>
      </c>
      <c r="G10" s="356" t="s">
        <v>1062</v>
      </c>
      <c r="H10" s="355">
        <v>1.1266099999999999E-3</v>
      </c>
      <c r="I10" s="356" t="s">
        <v>1063</v>
      </c>
      <c r="J10" s="1754">
        <f>ROUND(D10+F10+H10,5)</f>
        <v>2.5729999999999999E-2</v>
      </c>
      <c r="K10" s="222"/>
      <c r="L10" s="355"/>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15494822</v>
      </c>
      <c r="E16" s="356"/>
      <c r="F16" s="1755">
        <f>SUM('Acct Summary 7-8'!C17,'Acct Summary 7-8'!D17,'Acct Summary 7-8'!F17)</f>
        <v>13848817</v>
      </c>
      <c r="G16" s="356"/>
      <c r="H16" s="1755">
        <f>SUM(D16-F16)</f>
        <v>1646005</v>
      </c>
      <c r="I16" s="222"/>
      <c r="J16" s="1755">
        <f>SUM('Acct Summary 7-8'!C81,'Acct Summary 7-8'!D81,'Acct Summary 7-8'!F81,'Acct Summary 7-8'!I81)</f>
        <v>669992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2079</v>
      </c>
      <c r="C31" s="367" t="s">
        <v>607</v>
      </c>
      <c r="D31" s="237" t="s">
        <v>1132</v>
      </c>
      <c r="E31" s="222"/>
      <c r="F31" s="222"/>
      <c r="G31" s="363"/>
      <c r="H31" s="1757">
        <f>IF(B31="X",(J7*0.069),IF(B32="X",(J7*0.138),"Enter x in a.or b."))</f>
        <v>38835202.380000003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905000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abSelected="1" zoomScale="110" zoomScaleNormal="11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Oak Grove SD 68</v>
      </c>
      <c r="E7" s="391"/>
      <c r="G7" s="252"/>
      <c r="H7" s="387"/>
      <c r="I7" s="387"/>
      <c r="J7" s="387"/>
      <c r="K7" s="387"/>
      <c r="L7" s="329"/>
      <c r="M7" s="329"/>
      <c r="N7" s="329"/>
      <c r="O7" s="329"/>
      <c r="P7" s="329"/>
    </row>
    <row r="8" spans="1:18" ht="12.75" x14ac:dyDescent="0.2">
      <c r="A8" s="329"/>
      <c r="B8" s="329"/>
      <c r="C8" s="389" t="s">
        <v>1187</v>
      </c>
      <c r="D8" s="392">
        <f>COVER!A13</f>
        <v>34049068002</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669992</v>
      </c>
      <c r="I12" s="404"/>
      <c r="J12" s="404"/>
      <c r="K12" s="405">
        <f>TRUNC((H12/H13*100000),5)/100000</f>
        <v>4.3258515599999998E-2</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15488095</v>
      </c>
      <c r="I13" s="404"/>
      <c r="J13" s="404"/>
      <c r="K13" s="410"/>
      <c r="L13" s="218"/>
      <c r="M13" s="360" t="s">
        <v>1207</v>
      </c>
      <c r="N13" s="360"/>
      <c r="O13" s="411">
        <f>(O11*O12)</f>
        <v>0.7</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-6727</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13848817</v>
      </c>
      <c r="I17" s="404"/>
      <c r="J17" s="416"/>
      <c r="K17" s="405">
        <f>TRUNC((H17/H18*100000),5)/100000</f>
        <v>0.89415883610000002</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15488095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-6727</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8940176</v>
      </c>
      <c r="I24" s="422"/>
      <c r="J24" s="422"/>
      <c r="K24" s="423">
        <f>TRUNC(((H24/H25*100000)/100000),2)</f>
        <v>232.39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38468.936110000002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12309352.081909999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905000</v>
      </c>
      <c r="I32" s="420"/>
      <c r="J32" s="420"/>
      <c r="K32" s="423">
        <f>TRUNC(100-((((H32/H33*100))*100)/100),2)</f>
        <v>97.66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38835202.380000003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3.2999999999999994</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tabSelected="1" defaultGridColor="0" colorId="8" zoomScale="110" zoomScaleNormal="110" workbookViewId="0">
      <pane ySplit="2" topLeftCell="A21" activePane="bottomLeft" state="frozen"/>
      <selection sqref="A1:F1"/>
      <selection pane="bottomLeft" sqref="A1:F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6071766</v>
      </c>
      <c r="D4" s="466">
        <v>1376576</v>
      </c>
      <c r="E4" s="466">
        <v>233</v>
      </c>
      <c r="F4" s="466">
        <v>488999</v>
      </c>
      <c r="G4" s="466">
        <v>280050</v>
      </c>
      <c r="H4" s="466">
        <v>10249</v>
      </c>
      <c r="I4" s="466">
        <v>202835</v>
      </c>
      <c r="J4" s="467">
        <v>82963</v>
      </c>
      <c r="K4" s="466">
        <v>0</v>
      </c>
      <c r="L4" s="466">
        <v>38216</v>
      </c>
      <c r="M4" s="468"/>
      <c r="N4" s="469"/>
    </row>
    <row r="5" spans="1:14" x14ac:dyDescent="0.2">
      <c r="A5" s="463" t="s">
        <v>1049</v>
      </c>
      <c r="B5" s="470">
        <v>120</v>
      </c>
      <c r="C5" s="465">
        <v>800000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5577526</v>
      </c>
      <c r="D6" s="466">
        <v>606342</v>
      </c>
      <c r="E6" s="466">
        <v>0</v>
      </c>
      <c r="F6" s="466">
        <v>281519</v>
      </c>
      <c r="G6" s="471">
        <v>151418</v>
      </c>
      <c r="H6" s="471">
        <v>0</v>
      </c>
      <c r="I6" s="466">
        <v>0</v>
      </c>
      <c r="J6" s="474">
        <v>44399</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66847</v>
      </c>
      <c r="G8" s="478">
        <v>0</v>
      </c>
      <c r="H8" s="467">
        <v>0</v>
      </c>
      <c r="I8" s="474">
        <v>0</v>
      </c>
      <c r="J8" s="474">
        <v>0</v>
      </c>
      <c r="K8" s="479">
        <v>0</v>
      </c>
      <c r="L8" s="480"/>
      <c r="M8" s="468"/>
      <c r="N8" s="469"/>
    </row>
    <row r="9" spans="1:14" ht="13.5" customHeight="1" x14ac:dyDescent="0.2">
      <c r="A9" s="473" t="s">
        <v>288</v>
      </c>
      <c r="B9" s="470">
        <v>160</v>
      </c>
      <c r="C9" s="476">
        <v>0</v>
      </c>
      <c r="D9" s="467">
        <v>0</v>
      </c>
      <c r="E9" s="467">
        <v>1534</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12449292</v>
      </c>
      <c r="D13" s="1759">
        <f t="shared" ref="D13:L13" si="0">SUM(D4:D12)</f>
        <v>1982918</v>
      </c>
      <c r="E13" s="1759">
        <f t="shared" si="0"/>
        <v>1767</v>
      </c>
      <c r="F13" s="1759">
        <f t="shared" si="0"/>
        <v>837365</v>
      </c>
      <c r="G13" s="1759">
        <f t="shared" si="0"/>
        <v>431468</v>
      </c>
      <c r="H13" s="1759">
        <f t="shared" si="0"/>
        <v>10249</v>
      </c>
      <c r="I13" s="1759">
        <f t="shared" si="0"/>
        <v>202835</v>
      </c>
      <c r="J13" s="1759">
        <f t="shared" si="0"/>
        <v>127362</v>
      </c>
      <c r="K13" s="1759">
        <f t="shared" si="0"/>
        <v>0</v>
      </c>
      <c r="L13" s="1759">
        <f t="shared" si="0"/>
        <v>38216</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57497</v>
      </c>
      <c r="N16" s="484"/>
    </row>
    <row r="17" spans="1:14" s="485" customFormat="1" ht="12.75" customHeight="1" x14ac:dyDescent="0.2">
      <c r="A17" s="482" t="s">
        <v>1470</v>
      </c>
      <c r="B17" s="483">
        <v>230</v>
      </c>
      <c r="C17" s="477"/>
      <c r="D17" s="477"/>
      <c r="E17" s="477"/>
      <c r="F17" s="477"/>
      <c r="G17" s="477"/>
      <c r="H17" s="477"/>
      <c r="I17" s="477"/>
      <c r="J17" s="477"/>
      <c r="K17" s="477"/>
      <c r="L17" s="477"/>
      <c r="M17" s="467">
        <v>25737750</v>
      </c>
      <c r="N17" s="484"/>
    </row>
    <row r="18" spans="1:14" s="485" customFormat="1" ht="12.75" customHeight="1" x14ac:dyDescent="0.2">
      <c r="A18" s="482" t="s">
        <v>1471</v>
      </c>
      <c r="B18" s="483">
        <v>240</v>
      </c>
      <c r="C18" s="477"/>
      <c r="D18" s="477"/>
      <c r="E18" s="477"/>
      <c r="F18" s="477"/>
      <c r="G18" s="477"/>
      <c r="H18" s="477"/>
      <c r="I18" s="477"/>
      <c r="J18" s="477"/>
      <c r="K18" s="477"/>
      <c r="L18" s="477"/>
      <c r="M18" s="467">
        <v>506084</v>
      </c>
      <c r="N18" s="484"/>
    </row>
    <row r="19" spans="1:14" s="485" customFormat="1" ht="12.75" customHeight="1" x14ac:dyDescent="0.2">
      <c r="A19" s="482" t="s">
        <v>1472</v>
      </c>
      <c r="B19" s="483">
        <v>250</v>
      </c>
      <c r="C19" s="477"/>
      <c r="D19" s="477"/>
      <c r="E19" s="477"/>
      <c r="F19" s="477"/>
      <c r="G19" s="477"/>
      <c r="H19" s="477"/>
      <c r="I19" s="477"/>
      <c r="J19" s="477"/>
      <c r="K19" s="477"/>
      <c r="L19" s="477"/>
      <c r="M19" s="467">
        <v>2690180</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1767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903233</v>
      </c>
    </row>
    <row r="23" spans="1:14" ht="13.5" customHeight="1" thickBot="1" x14ac:dyDescent="0.25">
      <c r="A23" s="1758" t="s">
        <v>664</v>
      </c>
      <c r="B23" s="1763"/>
      <c r="C23" s="468"/>
      <c r="D23" s="468"/>
      <c r="E23" s="468"/>
      <c r="F23" s="468"/>
      <c r="G23" s="468"/>
      <c r="H23" s="468"/>
      <c r="I23" s="468"/>
      <c r="J23" s="468"/>
      <c r="K23" s="468"/>
      <c r="L23" s="468"/>
      <c r="M23" s="1710">
        <f>SUM(M15:M22)</f>
        <v>28991511</v>
      </c>
      <c r="N23" s="1710">
        <f>SUM(N21:N22)</f>
        <v>905000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148940</v>
      </c>
      <c r="D27" s="467">
        <v>18249</v>
      </c>
      <c r="E27" s="467">
        <v>0</v>
      </c>
      <c r="F27" s="467">
        <v>1188</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3306</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12630930</v>
      </c>
      <c r="D32" s="492">
        <v>1365716</v>
      </c>
      <c r="E32" s="474">
        <v>0</v>
      </c>
      <c r="F32" s="474">
        <v>634089</v>
      </c>
      <c r="G32" s="474">
        <v>341052</v>
      </c>
      <c r="H32" s="474">
        <v>0</v>
      </c>
      <c r="I32" s="474">
        <v>0</v>
      </c>
      <c r="J32" s="474">
        <v>100003</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38216</v>
      </c>
      <c r="M33" s="468"/>
      <c r="N33" s="469"/>
    </row>
    <row r="34" spans="1:14" ht="13.5" customHeight="1" thickBot="1" x14ac:dyDescent="0.25">
      <c r="A34" s="1760" t="s">
        <v>675</v>
      </c>
      <c r="B34" s="1761"/>
      <c r="C34" s="1762">
        <f>SUM(C25:C33)</f>
        <v>12783176</v>
      </c>
      <c r="D34" s="1762">
        <f t="shared" ref="D34:K34" si="1">SUM(D25:D33)</f>
        <v>1383965</v>
      </c>
      <c r="E34" s="1762">
        <f t="shared" si="1"/>
        <v>0</v>
      </c>
      <c r="F34" s="1762">
        <f t="shared" si="1"/>
        <v>635277</v>
      </c>
      <c r="G34" s="1762">
        <f t="shared" si="1"/>
        <v>341052</v>
      </c>
      <c r="H34" s="1762">
        <f t="shared" si="1"/>
        <v>0</v>
      </c>
      <c r="I34" s="1762">
        <f t="shared" si="1"/>
        <v>0</v>
      </c>
      <c r="J34" s="1762">
        <f t="shared" si="1"/>
        <v>100003</v>
      </c>
      <c r="K34" s="1762">
        <f t="shared" si="1"/>
        <v>0</v>
      </c>
      <c r="L34" s="1743">
        <f>SUM(L33)</f>
        <v>38216</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905000</v>
      </c>
    </row>
    <row r="37" spans="1:14" ht="13.5" thickBot="1" x14ac:dyDescent="0.25">
      <c r="A37" s="1758" t="s">
        <v>674</v>
      </c>
      <c r="B37" s="1763"/>
      <c r="C37" s="477"/>
      <c r="D37" s="477"/>
      <c r="E37" s="477"/>
      <c r="F37" s="477"/>
      <c r="G37" s="477"/>
      <c r="H37" s="477"/>
      <c r="I37" s="477"/>
      <c r="J37" s="477"/>
      <c r="K37" s="477"/>
      <c r="L37" s="480"/>
      <c r="M37" s="468"/>
      <c r="N37" s="1710">
        <f>SUM(N36:N36)</f>
        <v>905000</v>
      </c>
    </row>
    <row r="38" spans="1:14" s="329" customFormat="1" ht="13.5" customHeight="1" thickTop="1" x14ac:dyDescent="0.2">
      <c r="A38" s="496" t="s">
        <v>440</v>
      </c>
      <c r="B38" s="483">
        <v>714</v>
      </c>
      <c r="C38" s="466"/>
      <c r="D38" s="466"/>
      <c r="E38" s="466"/>
      <c r="F38" s="466"/>
      <c r="G38" s="466">
        <v>7101</v>
      </c>
      <c r="H38" s="466"/>
      <c r="I38" s="466"/>
      <c r="J38" s="467"/>
      <c r="K38" s="466"/>
      <c r="L38" s="481"/>
      <c r="M38" s="497"/>
      <c r="N38" s="497"/>
    </row>
    <row r="39" spans="1:14" s="329" customFormat="1" ht="13.5" customHeight="1" x14ac:dyDescent="0.2">
      <c r="A39" s="496" t="s">
        <v>360</v>
      </c>
      <c r="B39" s="483">
        <v>730</v>
      </c>
      <c r="C39" s="466">
        <v>-333884</v>
      </c>
      <c r="D39" s="466">
        <v>598953</v>
      </c>
      <c r="E39" s="466">
        <v>1767</v>
      </c>
      <c r="F39" s="466">
        <v>202088</v>
      </c>
      <c r="G39" s="466">
        <v>83315</v>
      </c>
      <c r="H39" s="466">
        <v>10249</v>
      </c>
      <c r="I39" s="466">
        <v>202835</v>
      </c>
      <c r="J39" s="467">
        <v>27359</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28991511</v>
      </c>
      <c r="N40" s="497"/>
    </row>
    <row r="41" spans="1:14" ht="13.5" customHeight="1" thickBot="1" x14ac:dyDescent="0.25">
      <c r="A41" s="1758" t="s">
        <v>676</v>
      </c>
      <c r="B41" s="1728"/>
      <c r="C41" s="1710">
        <f>(SUM(C34,C37,C38,C39))</f>
        <v>12449292</v>
      </c>
      <c r="D41" s="1710">
        <f t="shared" ref="D41:L41" si="2">SUM(D34,D37,D38:D39)</f>
        <v>1982918</v>
      </c>
      <c r="E41" s="1710">
        <f t="shared" si="2"/>
        <v>1767</v>
      </c>
      <c r="F41" s="1710">
        <f t="shared" si="2"/>
        <v>837365</v>
      </c>
      <c r="G41" s="1710">
        <f t="shared" si="2"/>
        <v>431468</v>
      </c>
      <c r="H41" s="1710">
        <f t="shared" si="2"/>
        <v>10249</v>
      </c>
      <c r="I41" s="1710">
        <f t="shared" si="2"/>
        <v>202835</v>
      </c>
      <c r="J41" s="1710">
        <f t="shared" si="2"/>
        <v>127362</v>
      </c>
      <c r="K41" s="1710">
        <f t="shared" si="2"/>
        <v>0</v>
      </c>
      <c r="L41" s="1710">
        <f t="shared" si="2"/>
        <v>38216</v>
      </c>
      <c r="M41" s="1710">
        <f>SUM(M40)</f>
        <v>28991511</v>
      </c>
      <c r="N41" s="1710">
        <f>SUM(N37)</f>
        <v>905000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tabSelected="1" defaultGridColor="0" colorId="8" zoomScale="110" zoomScaleNormal="110" zoomScaleSheetLayoutView="100" workbookViewId="0">
      <pane ySplit="2" topLeftCell="A54" activePane="bottomLeft" state="frozenSplit"/>
      <selection sqref="A1:F1"/>
      <selection pane="bottomLeft" sqref="A1:F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3" t="s">
        <v>1579</v>
      </c>
      <c r="B4" s="1954">
        <v>1000</v>
      </c>
      <c r="C4" s="1764">
        <f>'Revenues 9-14'!C109</f>
        <v>13056291</v>
      </c>
      <c r="D4" s="1764">
        <f>'Revenues 9-14'!D109</f>
        <v>1192631</v>
      </c>
      <c r="E4" s="1764">
        <f>'Revenues 9-14'!E109</f>
        <v>95</v>
      </c>
      <c r="F4" s="1764">
        <f>'Revenues 9-14'!F109</f>
        <v>606274</v>
      </c>
      <c r="G4" s="1764">
        <f>'Revenues 9-14'!G109</f>
        <v>382350</v>
      </c>
      <c r="H4" s="1764">
        <f>'Revenues 9-14'!H109</f>
        <v>1368</v>
      </c>
      <c r="I4" s="1764">
        <f>'Revenues 9-14'!I109</f>
        <v>853</v>
      </c>
      <c r="J4" s="1764">
        <f>'Revenues 9-14'!J109</f>
        <v>106069</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237115</v>
      </c>
      <c r="D6" s="1765">
        <f>'Revenues 9-14'!D173</f>
        <v>0</v>
      </c>
      <c r="E6" s="1765">
        <f>'Revenues 9-14'!E173</f>
        <v>195850</v>
      </c>
      <c r="F6" s="1765">
        <f>'Revenues 9-14'!F173</f>
        <v>267056</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134602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13428008</v>
      </c>
      <c r="D8" s="1710">
        <f t="shared" ref="D8:K8" si="0">SUM(D4:D7)</f>
        <v>1192631</v>
      </c>
      <c r="E8" s="1710">
        <f t="shared" si="0"/>
        <v>195945</v>
      </c>
      <c r="F8" s="1710">
        <f t="shared" si="0"/>
        <v>873330</v>
      </c>
      <c r="G8" s="1710">
        <f t="shared" si="0"/>
        <v>382350</v>
      </c>
      <c r="H8" s="1710">
        <f t="shared" si="0"/>
        <v>1368</v>
      </c>
      <c r="I8" s="1710">
        <f t="shared" si="0"/>
        <v>853</v>
      </c>
      <c r="J8" s="1710">
        <f t="shared" si="0"/>
        <v>106069</v>
      </c>
      <c r="K8" s="1710">
        <f t="shared" si="0"/>
        <v>0</v>
      </c>
      <c r="L8" s="347"/>
    </row>
    <row r="9" spans="1:13" ht="15.75" thickTop="1" x14ac:dyDescent="0.2">
      <c r="A9" s="514" t="s">
        <v>1752</v>
      </c>
      <c r="B9" s="515">
        <v>3998</v>
      </c>
      <c r="C9" s="481">
        <v>5824566</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19252574</v>
      </c>
      <c r="D10" s="1710">
        <f t="shared" ref="D10:K10" si="1">SUM(D8:D9)</f>
        <v>1192631</v>
      </c>
      <c r="E10" s="1710">
        <f t="shared" si="1"/>
        <v>195945</v>
      </c>
      <c r="F10" s="1710">
        <f t="shared" si="1"/>
        <v>873330</v>
      </c>
      <c r="G10" s="1710">
        <f t="shared" si="1"/>
        <v>382350</v>
      </c>
      <c r="H10" s="1710">
        <f t="shared" si="1"/>
        <v>1368</v>
      </c>
      <c r="I10" s="1710">
        <f t="shared" si="1"/>
        <v>853</v>
      </c>
      <c r="J10" s="1710">
        <f t="shared" si="1"/>
        <v>106069</v>
      </c>
      <c r="K10" s="1710">
        <f t="shared" si="1"/>
        <v>0</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8060402</v>
      </c>
      <c r="D12" s="520" t="s">
        <v>1231</v>
      </c>
      <c r="E12" s="468" t="s">
        <v>1231</v>
      </c>
      <c r="F12" s="468" t="s">
        <v>1231</v>
      </c>
      <c r="G12" s="1764">
        <f>'Expenditures 15-22'!K229</f>
        <v>141536</v>
      </c>
      <c r="H12" s="521"/>
      <c r="I12" s="468" t="s">
        <v>1231</v>
      </c>
      <c r="J12" s="468" t="s">
        <v>1231</v>
      </c>
      <c r="K12" s="521" t="s">
        <v>1231</v>
      </c>
      <c r="L12" s="347"/>
    </row>
    <row r="13" spans="1:13" ht="15.75" customHeight="1" x14ac:dyDescent="0.2">
      <c r="A13" s="1598" t="s">
        <v>477</v>
      </c>
      <c r="B13" s="1600">
        <v>2000</v>
      </c>
      <c r="C13" s="1765">
        <f>'Expenditures 15-22'!K74</f>
        <v>3568233</v>
      </c>
      <c r="D13" s="1765">
        <f>'Expenditures 15-22'!K129</f>
        <v>956907</v>
      </c>
      <c r="E13" s="469" t="s">
        <v>1231</v>
      </c>
      <c r="F13" s="1765">
        <f>'Expenditures 15-22'!K184</f>
        <v>725250</v>
      </c>
      <c r="G13" s="1765">
        <f>'Expenditures 15-22'!K279</f>
        <v>201720</v>
      </c>
      <c r="H13" s="1765">
        <f>'Expenditures 15-22'!K303</f>
        <v>364723</v>
      </c>
      <c r="I13" s="468" t="s">
        <v>1231</v>
      </c>
      <c r="J13" s="1765">
        <f>'Expenditures 15-22'!K330</f>
        <v>110761</v>
      </c>
      <c r="K13" s="1769">
        <f>'Expenditures 15-22'!K352</f>
        <v>0</v>
      </c>
      <c r="L13" s="347"/>
    </row>
    <row r="14" spans="1:13" ht="15.75" customHeight="1" x14ac:dyDescent="0.2">
      <c r="A14" s="1598" t="s">
        <v>469</v>
      </c>
      <c r="B14" s="1600">
        <v>3000</v>
      </c>
      <c r="C14" s="1765">
        <f>'Expenditures 15-22'!K75</f>
        <v>100128</v>
      </c>
      <c r="D14" s="1765">
        <f>'Expenditures 15-22'!K130</f>
        <v>0</v>
      </c>
      <c r="E14" s="520" t="s">
        <v>1231</v>
      </c>
      <c r="F14" s="1765">
        <f>'Expenditures 15-22'!K185</f>
        <v>0</v>
      </c>
      <c r="G14" s="1765">
        <f>'Expenditures 15-22'!K280</f>
        <v>12341</v>
      </c>
      <c r="H14" s="512"/>
      <c r="I14" s="468" t="s">
        <v>1231</v>
      </c>
      <c r="J14" s="468" t="s">
        <v>1231</v>
      </c>
      <c r="K14" s="512" t="s">
        <v>1231</v>
      </c>
      <c r="L14" s="347"/>
    </row>
    <row r="15" spans="1:13" ht="15.75" customHeight="1" x14ac:dyDescent="0.2">
      <c r="A15" s="1598" t="s">
        <v>109</v>
      </c>
      <c r="B15" s="1600">
        <v>4000</v>
      </c>
      <c r="C15" s="1765">
        <f>'Expenditures 15-22'!K102</f>
        <v>392017</v>
      </c>
      <c r="D15" s="1765">
        <f>'Expenditures 15-22'!K139</f>
        <v>45880</v>
      </c>
      <c r="E15" s="1765">
        <f>'Expenditures 15-22'!K160</f>
        <v>0</v>
      </c>
      <c r="F15" s="1765">
        <f>'Expenditures 15-22'!K196</f>
        <v>0</v>
      </c>
      <c r="G15" s="1765">
        <f>'Expenditures 15-22'!K285</f>
        <v>42037</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511178</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12120780</v>
      </c>
      <c r="D17" s="1710">
        <f t="shared" si="2"/>
        <v>1002787</v>
      </c>
      <c r="E17" s="1710">
        <f t="shared" si="2"/>
        <v>511178</v>
      </c>
      <c r="F17" s="1710">
        <f t="shared" si="2"/>
        <v>725250</v>
      </c>
      <c r="G17" s="1710">
        <f t="shared" si="2"/>
        <v>397634</v>
      </c>
      <c r="H17" s="1710">
        <f t="shared" si="2"/>
        <v>364723</v>
      </c>
      <c r="I17" s="468"/>
      <c r="J17" s="1710">
        <f>SUM(J12:J16)</f>
        <v>110761</v>
      </c>
      <c r="K17" s="1710">
        <f>SUM(K12:K16)</f>
        <v>0</v>
      </c>
      <c r="L17" s="347"/>
    </row>
    <row r="18" spans="1:12" ht="15" customHeight="1" thickTop="1" x14ac:dyDescent="0.2">
      <c r="A18" s="1766" t="s">
        <v>1753</v>
      </c>
      <c r="B18" s="1767">
        <v>4180</v>
      </c>
      <c r="C18" s="1764">
        <f t="shared" ref="C18:H18" si="3">C9</f>
        <v>5824566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17945346</v>
      </c>
      <c r="D19" s="1710">
        <f t="shared" si="4"/>
        <v>1002787</v>
      </c>
      <c r="E19" s="1710">
        <f t="shared" si="4"/>
        <v>511178</v>
      </c>
      <c r="F19" s="1710">
        <f t="shared" si="4"/>
        <v>725250</v>
      </c>
      <c r="G19" s="1710">
        <f t="shared" si="4"/>
        <v>397634</v>
      </c>
      <c r="H19" s="1710">
        <f t="shared" si="4"/>
        <v>364723</v>
      </c>
      <c r="I19" s="468"/>
      <c r="J19" s="1710">
        <f>SUM(J17:J18)</f>
        <v>110761</v>
      </c>
      <c r="K19" s="1710">
        <f>SUM(K17:K18)</f>
        <v>0</v>
      </c>
      <c r="L19" s="347"/>
    </row>
    <row r="20" spans="1:12" ht="16.5" thickTop="1" thickBot="1" x14ac:dyDescent="0.25">
      <c r="A20" s="2144" t="s">
        <v>1754</v>
      </c>
      <c r="B20" s="2145"/>
      <c r="C20" s="1768">
        <f>C8-C17</f>
        <v>1307228</v>
      </c>
      <c r="D20" s="1768">
        <f t="shared" ref="D20:K20" si="5">D8-D17</f>
        <v>189844</v>
      </c>
      <c r="E20" s="1768">
        <f t="shared" si="5"/>
        <v>-315233</v>
      </c>
      <c r="F20" s="1768">
        <f t="shared" si="5"/>
        <v>148080</v>
      </c>
      <c r="G20" s="1768">
        <f t="shared" si="5"/>
        <v>-15284</v>
      </c>
      <c r="H20" s="1768">
        <f t="shared" si="5"/>
        <v>-363355</v>
      </c>
      <c r="I20" s="1768">
        <f t="shared" si="5"/>
        <v>853</v>
      </c>
      <c r="J20" s="1768">
        <f t="shared" si="5"/>
        <v>-4692</v>
      </c>
      <c r="K20" s="1768">
        <f t="shared" si="5"/>
        <v>0</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295000</v>
      </c>
      <c r="F37" s="475"/>
      <c r="G37" s="475"/>
      <c r="H37" s="475"/>
      <c r="I37" s="477"/>
      <c r="J37" s="475"/>
      <c r="K37" s="475"/>
      <c r="L37" s="524"/>
    </row>
    <row r="38" spans="1:12" s="485" customFormat="1" x14ac:dyDescent="0.2">
      <c r="A38" s="1511" t="s">
        <v>462</v>
      </c>
      <c r="B38" s="525">
        <v>7500</v>
      </c>
      <c r="C38" s="477"/>
      <c r="D38" s="477"/>
      <c r="E38" s="1765">
        <f>SUM(C58:D61,H58:H61)</f>
        <v>6727</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8" t="s">
        <v>392</v>
      </c>
      <c r="B44" s="2159"/>
      <c r="C44" s="1725">
        <f>SUM(C24:C43)</f>
        <v>0</v>
      </c>
      <c r="D44" s="1725">
        <f t="shared" ref="D44:K44" si="6">SUM(D24:D43)</f>
        <v>0</v>
      </c>
      <c r="E44" s="1725">
        <f t="shared" si="6"/>
        <v>301727</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295000</v>
      </c>
      <c r="D57" s="531">
        <v>0</v>
      </c>
      <c r="E57" s="477"/>
      <c r="F57" s="477"/>
      <c r="G57" s="477"/>
      <c r="H57" s="530">
        <v>0</v>
      </c>
      <c r="I57" s="477"/>
      <c r="J57" s="477"/>
      <c r="K57" s="477"/>
      <c r="L57" s="524"/>
    </row>
    <row r="58" spans="1:12" s="485" customFormat="1" ht="14.25" thickTop="1" thickBot="1" x14ac:dyDescent="0.25">
      <c r="A58" s="1512" t="s">
        <v>600</v>
      </c>
      <c r="B58" s="483">
        <v>8510</v>
      </c>
      <c r="C58" s="531">
        <v>6727</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25">
        <f t="shared" ref="C76:K76" si="7">SUM(C47:C75)</f>
        <v>301727</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-301727</v>
      </c>
      <c r="D77" s="1725">
        <f t="shared" si="8"/>
        <v>0</v>
      </c>
      <c r="E77" s="1725">
        <f t="shared" si="8"/>
        <v>301727</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1005501</v>
      </c>
      <c r="D78" s="1724">
        <f t="shared" si="9"/>
        <v>189844</v>
      </c>
      <c r="E78" s="1724">
        <f t="shared" si="9"/>
        <v>-13506</v>
      </c>
      <c r="F78" s="1724">
        <f t="shared" si="9"/>
        <v>148080</v>
      </c>
      <c r="G78" s="1724">
        <f t="shared" si="9"/>
        <v>-15284</v>
      </c>
      <c r="H78" s="1724">
        <f t="shared" si="9"/>
        <v>-363355</v>
      </c>
      <c r="I78" s="1724">
        <f t="shared" si="9"/>
        <v>853</v>
      </c>
      <c r="J78" s="1724">
        <f t="shared" si="9"/>
        <v>-4692</v>
      </c>
      <c r="K78" s="1724">
        <f t="shared" si="9"/>
        <v>0</v>
      </c>
      <c r="L78" s="533"/>
    </row>
    <row r="79" spans="1:12" ht="13.5" thickTop="1" x14ac:dyDescent="0.2">
      <c r="A79" s="1516" t="s">
        <v>2073</v>
      </c>
      <c r="B79" s="534"/>
      <c r="C79" s="478">
        <v>-1339385</v>
      </c>
      <c r="D79" s="535">
        <v>409109</v>
      </c>
      <c r="E79" s="535">
        <v>15273</v>
      </c>
      <c r="F79" s="535">
        <v>54008</v>
      </c>
      <c r="G79" s="535">
        <v>105700</v>
      </c>
      <c r="H79" s="535">
        <v>373604</v>
      </c>
      <c r="I79" s="535">
        <v>201982</v>
      </c>
      <c r="J79" s="535">
        <v>32051</v>
      </c>
      <c r="K79" s="535">
        <v>0</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2074</v>
      </c>
      <c r="B81" s="2139"/>
      <c r="C81" s="1710">
        <f>(SUM(C78:C80))</f>
        <v>-333884</v>
      </c>
      <c r="D81" s="1710">
        <f>SUM(D78:D80)</f>
        <v>598953</v>
      </c>
      <c r="E81" s="1710">
        <f t="shared" ref="E81:K81" si="10">SUM(E78:E80)</f>
        <v>1767</v>
      </c>
      <c r="F81" s="1710">
        <f t="shared" si="10"/>
        <v>202088</v>
      </c>
      <c r="G81" s="1710">
        <f t="shared" si="10"/>
        <v>90416</v>
      </c>
      <c r="H81" s="1710">
        <f t="shared" si="10"/>
        <v>10249</v>
      </c>
      <c r="I81" s="1710">
        <f t="shared" si="10"/>
        <v>202835</v>
      </c>
      <c r="J81" s="1710">
        <f t="shared" si="10"/>
        <v>27359</v>
      </c>
      <c r="K81" s="1710">
        <f t="shared" si="10"/>
        <v>0</v>
      </c>
      <c r="L81" s="347"/>
    </row>
    <row r="82" spans="1:12" ht="0.75" customHeight="1" thickTop="1" thickBot="1" x14ac:dyDescent="0.25">
      <c r="A82" s="536" t="s">
        <v>361</v>
      </c>
      <c r="B82" s="537"/>
      <c r="C82" s="538">
        <f>(C81-C79)</f>
        <v>1005501</v>
      </c>
      <c r="D82" s="538">
        <f t="shared" ref="D82:K82" si="11">(D81-D79)</f>
        <v>189844</v>
      </c>
      <c r="E82" s="538">
        <f t="shared" si="11"/>
        <v>-13506</v>
      </c>
      <c r="F82" s="538">
        <f t="shared" si="11"/>
        <v>148080</v>
      </c>
      <c r="G82" s="538">
        <f t="shared" si="11"/>
        <v>-15284</v>
      </c>
      <c r="H82" s="538">
        <f t="shared" si="11"/>
        <v>-363355</v>
      </c>
      <c r="I82" s="538">
        <f t="shared" si="11"/>
        <v>853</v>
      </c>
      <c r="J82" s="538">
        <f t="shared" si="11"/>
        <v>-4692</v>
      </c>
      <c r="K82" s="538">
        <f t="shared" si="11"/>
        <v>0</v>
      </c>
    </row>
    <row r="83" spans="1:12" ht="14.25" hidden="1" thickTop="1" thickBot="1" x14ac:dyDescent="0.25">
      <c r="A83" s="539" t="s">
        <v>362</v>
      </c>
      <c r="B83" s="464"/>
      <c r="C83" s="540">
        <f>C82/C81</f>
        <v>-3.0115279558169905</v>
      </c>
      <c r="D83" s="540">
        <f t="shared" ref="D83:K83" si="12">D82/D81</f>
        <v>0.31695976145039761</v>
      </c>
      <c r="E83" s="540">
        <f t="shared" si="12"/>
        <v>-7.6434634974533111</v>
      </c>
      <c r="F83" s="540">
        <f t="shared" si="12"/>
        <v>0.73275008907010808</v>
      </c>
      <c r="G83" s="540">
        <f t="shared" si="12"/>
        <v>-0.16904087772075738</v>
      </c>
      <c r="H83" s="540">
        <f t="shared" si="12"/>
        <v>-35.452727095326374</v>
      </c>
      <c r="I83" s="540">
        <f t="shared" si="12"/>
        <v>4.2053886163630535E-3</v>
      </c>
      <c r="J83" s="540">
        <f t="shared" si="12"/>
        <v>-0.17149749625351804</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tabSelected="1" defaultGridColor="0" colorId="8" zoomScale="110" zoomScaleNormal="110" zoomScaleSheetLayoutView="75" workbookViewId="0">
      <pane ySplit="2" topLeftCell="A159" activePane="bottomLeft" state="frozen"/>
      <selection sqref="A1:F1"/>
      <selection pane="bottomLeft" sqref="A1:F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12396202</v>
      </c>
      <c r="D5" s="481">
        <v>1149453</v>
      </c>
      <c r="E5" s="466">
        <v>0</v>
      </c>
      <c r="F5" s="548">
        <v>604538</v>
      </c>
      <c r="G5" s="466">
        <v>119996</v>
      </c>
      <c r="H5" s="466">
        <v>0</v>
      </c>
      <c r="I5" s="466">
        <v>0</v>
      </c>
      <c r="J5" s="467">
        <v>104601</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433</v>
      </c>
      <c r="B8" s="470">
        <v>1150</v>
      </c>
      <c r="C8" s="475"/>
      <c r="D8" s="475"/>
      <c r="E8" s="477"/>
      <c r="F8" s="477"/>
      <c r="G8" s="481">
        <v>139127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41947</v>
      </c>
      <c r="H11" s="466">
        <v>0</v>
      </c>
      <c r="I11" s="466">
        <v>0</v>
      </c>
      <c r="J11" s="467">
        <v>0</v>
      </c>
      <c r="K11" s="466">
        <v>0</v>
      </c>
      <c r="L11" s="552"/>
    </row>
    <row r="12" spans="1:12" ht="12.75" customHeight="1" thickBot="1" x14ac:dyDescent="0.25">
      <c r="A12" s="1727" t="s">
        <v>29</v>
      </c>
      <c r="B12" s="1728"/>
      <c r="C12" s="1729">
        <f t="shared" ref="C12:K12" si="0">SUM(C5:C11)</f>
        <v>12396202</v>
      </c>
      <c r="D12" s="1729">
        <f t="shared" si="0"/>
        <v>1149453</v>
      </c>
      <c r="E12" s="1729">
        <f t="shared" si="0"/>
        <v>0</v>
      </c>
      <c r="F12" s="1729">
        <f t="shared" si="0"/>
        <v>604538</v>
      </c>
      <c r="G12" s="1729">
        <f t="shared" si="0"/>
        <v>301070</v>
      </c>
      <c r="H12" s="1729">
        <f t="shared" si="0"/>
        <v>0</v>
      </c>
      <c r="I12" s="1729">
        <f t="shared" si="0"/>
        <v>0</v>
      </c>
      <c r="J12" s="1729">
        <f t="shared" si="0"/>
        <v>104601</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155151</v>
      </c>
      <c r="D16" s="466">
        <v>0</v>
      </c>
      <c r="E16" s="466">
        <v>0</v>
      </c>
      <c r="F16" s="466">
        <v>0</v>
      </c>
      <c r="G16" s="466">
        <v>80000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155151</v>
      </c>
      <c r="D18" s="1732">
        <f t="shared" ref="D18:K18" si="1">SUM(D14:D17)</f>
        <v>0</v>
      </c>
      <c r="E18" s="1732">
        <f t="shared" si="1"/>
        <v>0</v>
      </c>
      <c r="F18" s="1732">
        <f t="shared" si="1"/>
        <v>0</v>
      </c>
      <c r="G18" s="1732">
        <f t="shared" si="1"/>
        <v>80000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202303</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151727</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8203</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362233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28899</v>
      </c>
      <c r="D65" s="466">
        <v>4962</v>
      </c>
      <c r="E65" s="466">
        <v>95</v>
      </c>
      <c r="F65" s="467">
        <v>1736</v>
      </c>
      <c r="G65" s="466">
        <v>1280</v>
      </c>
      <c r="H65" s="466">
        <v>1368</v>
      </c>
      <c r="I65" s="466">
        <v>853</v>
      </c>
      <c r="J65" s="467">
        <v>174</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28899</v>
      </c>
      <c r="D67" s="1710">
        <f t="shared" ref="D67:K67" si="2">SUM(D65:D66)</f>
        <v>4962</v>
      </c>
      <c r="E67" s="1710">
        <f t="shared" si="2"/>
        <v>95</v>
      </c>
      <c r="F67" s="1710">
        <f t="shared" si="2"/>
        <v>1736</v>
      </c>
      <c r="G67" s="1710">
        <f t="shared" si="2"/>
        <v>1280</v>
      </c>
      <c r="H67" s="1710">
        <f t="shared" si="2"/>
        <v>1368</v>
      </c>
      <c r="I67" s="1710">
        <f t="shared" si="2"/>
        <v>853</v>
      </c>
      <c r="J67" s="1710">
        <f t="shared" si="2"/>
        <v>174</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2708</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2708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70432</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70432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34511</v>
      </c>
      <c r="E95" s="521"/>
      <c r="F95" s="521"/>
      <c r="G95" s="521"/>
      <c r="H95" s="521"/>
      <c r="I95" s="521"/>
      <c r="J95" s="521"/>
      <c r="K95" s="521"/>
    </row>
    <row r="96" spans="1:11" ht="12.75" customHeight="1" x14ac:dyDescent="0.2">
      <c r="A96" s="463" t="s">
        <v>409</v>
      </c>
      <c r="B96" s="470">
        <v>1920</v>
      </c>
      <c r="C96" s="551">
        <v>40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715</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40626</v>
      </c>
      <c r="D107" s="466">
        <v>2990</v>
      </c>
      <c r="E107" s="466">
        <v>0</v>
      </c>
      <c r="F107" s="466">
        <v>0</v>
      </c>
      <c r="G107" s="466">
        <v>0</v>
      </c>
      <c r="H107" s="466">
        <v>0</v>
      </c>
      <c r="I107" s="466">
        <v>0</v>
      </c>
      <c r="J107" s="467">
        <v>1294</v>
      </c>
      <c r="K107" s="466">
        <v>0</v>
      </c>
    </row>
    <row r="108" spans="1:12" ht="12.75" customHeight="1" thickBot="1" x14ac:dyDescent="0.25">
      <c r="A108" s="1730" t="s">
        <v>508</v>
      </c>
      <c r="B108" s="1734"/>
      <c r="C108" s="1729">
        <f>SUM(C95:C107)</f>
        <v>40666</v>
      </c>
      <c r="D108" s="1729">
        <f t="shared" ref="D108:K108" si="3">SUM(D95:D107)</f>
        <v>38216</v>
      </c>
      <c r="E108" s="1729">
        <f t="shared" si="3"/>
        <v>0</v>
      </c>
      <c r="F108" s="1729">
        <f t="shared" si="3"/>
        <v>0</v>
      </c>
      <c r="G108" s="1729">
        <f t="shared" si="3"/>
        <v>0</v>
      </c>
      <c r="H108" s="1729">
        <f t="shared" si="3"/>
        <v>0</v>
      </c>
      <c r="I108" s="1729">
        <f t="shared" si="3"/>
        <v>0</v>
      </c>
      <c r="J108" s="1729">
        <f t="shared" si="3"/>
        <v>1294</v>
      </c>
      <c r="K108" s="1710">
        <f t="shared" si="3"/>
        <v>0</v>
      </c>
    </row>
    <row r="109" spans="1:12" ht="14.25" thickTop="1" thickBot="1" x14ac:dyDescent="0.25">
      <c r="A109" s="1735" t="s">
        <v>266</v>
      </c>
      <c r="B109" s="1736" t="s">
        <v>591</v>
      </c>
      <c r="C109" s="1737">
        <f t="shared" ref="C109:K109" si="4">SUM(C12,C18,C40,C63,C67,C75,C82,C93,C108,)</f>
        <v>13056291</v>
      </c>
      <c r="D109" s="1737">
        <f t="shared" si="4"/>
        <v>1192631</v>
      </c>
      <c r="E109" s="1737">
        <f t="shared" si="4"/>
        <v>95</v>
      </c>
      <c r="F109" s="1737">
        <f t="shared" si="4"/>
        <v>606274</v>
      </c>
      <c r="G109" s="1737">
        <f t="shared" si="4"/>
        <v>382350</v>
      </c>
      <c r="H109" s="1737">
        <f t="shared" si="4"/>
        <v>1368</v>
      </c>
      <c r="I109" s="1737">
        <f t="shared" si="4"/>
        <v>853</v>
      </c>
      <c r="J109" s="1737">
        <f t="shared" si="4"/>
        <v>106069</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235615</v>
      </c>
      <c r="D117" s="481">
        <v>0</v>
      </c>
      <c r="E117" s="466">
        <v>195850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235615</v>
      </c>
      <c r="D121" s="1729">
        <f t="shared" si="5"/>
        <v>0</v>
      </c>
      <c r="E121" s="1729">
        <f t="shared" si="5"/>
        <v>195850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0</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10499</v>
      </c>
      <c r="G151" s="467">
        <v>0</v>
      </c>
      <c r="H151" s="468"/>
      <c r="I151" s="468"/>
      <c r="J151" s="468"/>
      <c r="K151" s="468"/>
    </row>
    <row r="152" spans="1:11" ht="12.75" customHeight="1" x14ac:dyDescent="0.2">
      <c r="A152" s="463" t="s">
        <v>1117</v>
      </c>
      <c r="B152" s="562">
        <v>3510</v>
      </c>
      <c r="C152" s="551">
        <v>0</v>
      </c>
      <c r="D152" s="466">
        <v>0</v>
      </c>
      <c r="E152" s="561"/>
      <c r="F152" s="466">
        <v>256557</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267056</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2" t="s">
        <v>418</v>
      </c>
      <c r="B172" s="2163"/>
      <c r="C172" s="1744">
        <f t="shared" ref="C172:K172" si="6">SUM(C131,C140,C144,C145:C149,C154,C155:C170,C171)</f>
        <v>1500</v>
      </c>
      <c r="D172" s="1744">
        <f t="shared" si="6"/>
        <v>0</v>
      </c>
      <c r="E172" s="1744">
        <f t="shared" si="6"/>
        <v>0</v>
      </c>
      <c r="F172" s="1744">
        <f t="shared" si="6"/>
        <v>267056</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237115</v>
      </c>
      <c r="D173" s="1737">
        <f>SUM(D121,D172)</f>
        <v>0</v>
      </c>
      <c r="E173" s="1737">
        <f>SUM(E121,E172)</f>
        <v>195850</v>
      </c>
      <c r="F173" s="1737">
        <f t="shared" ref="F173:K173" si="7">SUM(F121,F172)</f>
        <v>267056</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12186</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12186</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8357</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8357</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114059</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114059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134602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134602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13428008</v>
      </c>
      <c r="D275" s="1737">
        <f t="shared" si="12"/>
        <v>1192631</v>
      </c>
      <c r="E275" s="1737">
        <f t="shared" si="12"/>
        <v>195945</v>
      </c>
      <c r="F275" s="1737">
        <f t="shared" si="12"/>
        <v>873330</v>
      </c>
      <c r="G275" s="1737">
        <f t="shared" si="12"/>
        <v>382350</v>
      </c>
      <c r="H275" s="1737">
        <f t="shared" si="12"/>
        <v>1368</v>
      </c>
      <c r="I275" s="1737">
        <f t="shared" si="12"/>
        <v>853</v>
      </c>
      <c r="J275" s="1737">
        <f t="shared" si="12"/>
        <v>106069</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tabSelected="1" defaultGridColor="0" colorId="8" zoomScale="110" zoomScaleNormal="110" workbookViewId="0">
      <pane ySplit="2" topLeftCell="A345" activePane="bottomLeft" state="frozen"/>
      <selection sqref="A1:F1"/>
      <selection pane="bottomLeft" sqref="A1:F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5352030</v>
      </c>
      <c r="D5" s="466">
        <v>733800</v>
      </c>
      <c r="E5" s="466">
        <v>79970</v>
      </c>
      <c r="F5" s="466">
        <v>138326</v>
      </c>
      <c r="G5" s="466">
        <v>0</v>
      </c>
      <c r="H5" s="466">
        <v>0</v>
      </c>
      <c r="I5" s="467">
        <v>144</v>
      </c>
      <c r="J5" s="467">
        <v>38180</v>
      </c>
      <c r="K5" s="1693">
        <f>SUM(C5:J5)</f>
        <v>6342450</v>
      </c>
      <c r="L5" s="466">
        <v>6466400</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897346</v>
      </c>
      <c r="D8" s="466">
        <v>154037</v>
      </c>
      <c r="E8" s="466">
        <v>11090</v>
      </c>
      <c r="F8" s="466">
        <v>12444</v>
      </c>
      <c r="G8" s="466">
        <v>0</v>
      </c>
      <c r="H8" s="466">
        <v>0</v>
      </c>
      <c r="I8" s="467">
        <v>0</v>
      </c>
      <c r="J8" s="467">
        <v>0</v>
      </c>
      <c r="K8" s="1693">
        <f t="shared" si="0"/>
        <v>1074917</v>
      </c>
      <c r="L8" s="466">
        <v>1002100</v>
      </c>
    </row>
    <row r="9" spans="1:14" x14ac:dyDescent="0.2">
      <c r="A9" s="1526" t="s">
        <v>745</v>
      </c>
      <c r="B9" s="615" t="s">
        <v>1025</v>
      </c>
      <c r="C9" s="467">
        <v>0</v>
      </c>
      <c r="D9" s="467">
        <v>0</v>
      </c>
      <c r="E9" s="467">
        <v>0</v>
      </c>
      <c r="F9" s="467">
        <v>0</v>
      </c>
      <c r="G9" s="467">
        <v>0</v>
      </c>
      <c r="H9" s="467">
        <v>0</v>
      </c>
      <c r="I9" s="467">
        <v>0</v>
      </c>
      <c r="J9" s="467">
        <v>0</v>
      </c>
      <c r="K9" s="1693">
        <f t="shared" si="0"/>
        <v>0</v>
      </c>
      <c r="L9" s="466">
        <v>0</v>
      </c>
    </row>
    <row r="10" spans="1:14" x14ac:dyDescent="0.2">
      <c r="A10" s="1526" t="s">
        <v>746</v>
      </c>
      <c r="B10" s="615">
        <v>1250</v>
      </c>
      <c r="C10" s="466">
        <v>52966</v>
      </c>
      <c r="D10" s="466">
        <v>2500</v>
      </c>
      <c r="E10" s="466">
        <v>0</v>
      </c>
      <c r="F10" s="466">
        <v>0</v>
      </c>
      <c r="G10" s="466">
        <v>0</v>
      </c>
      <c r="H10" s="466">
        <v>0</v>
      </c>
      <c r="I10" s="467">
        <v>0</v>
      </c>
      <c r="J10" s="467">
        <v>0</v>
      </c>
      <c r="K10" s="1693">
        <f t="shared" si="0"/>
        <v>55466</v>
      </c>
      <c r="L10" s="466">
        <v>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196993</v>
      </c>
      <c r="D14" s="466">
        <v>2883</v>
      </c>
      <c r="E14" s="466">
        <v>7754</v>
      </c>
      <c r="F14" s="466">
        <v>5980</v>
      </c>
      <c r="G14" s="466">
        <v>0</v>
      </c>
      <c r="H14" s="466">
        <v>0</v>
      </c>
      <c r="I14" s="467">
        <v>0</v>
      </c>
      <c r="J14" s="467">
        <v>0</v>
      </c>
      <c r="K14" s="1693">
        <f t="shared" si="0"/>
        <v>213610</v>
      </c>
      <c r="L14" s="466">
        <v>205700</v>
      </c>
    </row>
    <row r="15" spans="1:14" x14ac:dyDescent="0.2">
      <c r="A15" s="1526" t="s">
        <v>1021</v>
      </c>
      <c r="B15" s="615">
        <v>1600</v>
      </c>
      <c r="C15" s="466">
        <v>0</v>
      </c>
      <c r="D15" s="466">
        <v>0</v>
      </c>
      <c r="E15" s="466">
        <v>0</v>
      </c>
      <c r="F15" s="466">
        <v>0</v>
      </c>
      <c r="G15" s="466">
        <v>0</v>
      </c>
      <c r="H15" s="466">
        <v>0</v>
      </c>
      <c r="I15" s="467">
        <v>0</v>
      </c>
      <c r="J15" s="467">
        <v>0</v>
      </c>
      <c r="K15" s="1693">
        <f t="shared" si="0"/>
        <v>0</v>
      </c>
      <c r="L15" s="466">
        <v>0</v>
      </c>
    </row>
    <row r="16" spans="1:14" x14ac:dyDescent="0.2">
      <c r="A16" s="1526" t="s">
        <v>1044</v>
      </c>
      <c r="B16" s="615" t="s">
        <v>444</v>
      </c>
      <c r="C16" s="466">
        <v>190632</v>
      </c>
      <c r="D16" s="466">
        <v>15376</v>
      </c>
      <c r="E16" s="466">
        <v>360</v>
      </c>
      <c r="F16" s="466">
        <v>3366</v>
      </c>
      <c r="G16" s="466">
        <v>0</v>
      </c>
      <c r="H16" s="466">
        <v>0</v>
      </c>
      <c r="I16" s="467">
        <v>0</v>
      </c>
      <c r="J16" s="467">
        <v>0</v>
      </c>
      <c r="K16" s="1693">
        <f t="shared" si="0"/>
        <v>209734</v>
      </c>
      <c r="L16" s="466">
        <v>188400</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89993</v>
      </c>
      <c r="D18" s="466">
        <v>8108</v>
      </c>
      <c r="E18" s="466">
        <v>0</v>
      </c>
      <c r="F18" s="466">
        <v>1268</v>
      </c>
      <c r="G18" s="466">
        <v>0</v>
      </c>
      <c r="H18" s="466">
        <v>0</v>
      </c>
      <c r="I18" s="467">
        <v>0</v>
      </c>
      <c r="J18" s="467">
        <v>0</v>
      </c>
      <c r="K18" s="1693">
        <f t="shared" si="0"/>
        <v>99369</v>
      </c>
      <c r="L18" s="466">
        <v>92900</v>
      </c>
    </row>
    <row r="19" spans="1:12" x14ac:dyDescent="0.2">
      <c r="A19" s="1526" t="s">
        <v>136</v>
      </c>
      <c r="B19" s="615">
        <v>1900</v>
      </c>
      <c r="C19" s="466">
        <v>0</v>
      </c>
      <c r="D19" s="466">
        <v>0</v>
      </c>
      <c r="E19" s="466">
        <v>0</v>
      </c>
      <c r="F19" s="466">
        <v>0</v>
      </c>
      <c r="G19" s="466">
        <v>0</v>
      </c>
      <c r="H19" s="466">
        <v>2978</v>
      </c>
      <c r="I19" s="467">
        <v>0</v>
      </c>
      <c r="J19" s="467">
        <v>0</v>
      </c>
      <c r="K19" s="1693">
        <f t="shared" si="0"/>
        <v>2978</v>
      </c>
      <c r="L19" s="466">
        <v>40000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61878</v>
      </c>
      <c r="I22" s="617"/>
      <c r="J22" s="477"/>
      <c r="K22" s="1693">
        <f t="shared" si="0"/>
        <v>61878</v>
      </c>
      <c r="L22" s="471">
        <v>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6779960</v>
      </c>
      <c r="D33" s="1692">
        <f t="shared" ref="D33:L33" si="1">SUM(D5:D32)</f>
        <v>916704</v>
      </c>
      <c r="E33" s="1692">
        <f t="shared" si="1"/>
        <v>99174</v>
      </c>
      <c r="F33" s="1692">
        <f t="shared" si="1"/>
        <v>161384</v>
      </c>
      <c r="G33" s="1692">
        <f t="shared" si="1"/>
        <v>0</v>
      </c>
      <c r="H33" s="1692">
        <f t="shared" si="1"/>
        <v>64856</v>
      </c>
      <c r="I33" s="1692">
        <f t="shared" si="1"/>
        <v>144</v>
      </c>
      <c r="J33" s="1692">
        <f t="shared" si="1"/>
        <v>38180</v>
      </c>
      <c r="K33" s="1692">
        <f t="shared" si="1"/>
        <v>8060402</v>
      </c>
      <c r="L33" s="1692">
        <f t="shared" si="1"/>
        <v>7995500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209602</v>
      </c>
      <c r="D36" s="481">
        <v>27000</v>
      </c>
      <c r="E36" s="481">
        <v>0</v>
      </c>
      <c r="F36" s="481">
        <v>1735</v>
      </c>
      <c r="G36" s="481">
        <v>0</v>
      </c>
      <c r="H36" s="481">
        <v>0</v>
      </c>
      <c r="I36" s="467">
        <v>0</v>
      </c>
      <c r="J36" s="467">
        <v>0</v>
      </c>
      <c r="K36" s="1693">
        <f t="shared" ref="K36:K41" si="2">SUM(C36:J36)</f>
        <v>238337</v>
      </c>
      <c r="L36" s="466">
        <v>243500</v>
      </c>
    </row>
    <row r="37" spans="1:14" x14ac:dyDescent="0.2">
      <c r="A37" s="1526" t="s">
        <v>1151</v>
      </c>
      <c r="B37" s="615">
        <v>2120</v>
      </c>
      <c r="C37" s="466">
        <v>0</v>
      </c>
      <c r="D37" s="466">
        <v>0</v>
      </c>
      <c r="E37" s="466">
        <v>0</v>
      </c>
      <c r="F37" s="466">
        <v>0</v>
      </c>
      <c r="G37" s="466">
        <v>0</v>
      </c>
      <c r="H37" s="466">
        <v>0</v>
      </c>
      <c r="I37" s="467">
        <v>0</v>
      </c>
      <c r="J37" s="467">
        <v>0</v>
      </c>
      <c r="K37" s="1693">
        <f t="shared" si="2"/>
        <v>0</v>
      </c>
      <c r="L37" s="466">
        <v>0</v>
      </c>
    </row>
    <row r="38" spans="1:14" x14ac:dyDescent="0.2">
      <c r="A38" s="1526" t="s">
        <v>207</v>
      </c>
      <c r="B38" s="615">
        <v>2130</v>
      </c>
      <c r="C38" s="466">
        <v>159155</v>
      </c>
      <c r="D38" s="466">
        <v>0</v>
      </c>
      <c r="E38" s="466">
        <v>477</v>
      </c>
      <c r="F38" s="466">
        <v>3629</v>
      </c>
      <c r="G38" s="466">
        <v>0</v>
      </c>
      <c r="H38" s="466">
        <v>0</v>
      </c>
      <c r="I38" s="467">
        <v>0</v>
      </c>
      <c r="J38" s="467">
        <v>0</v>
      </c>
      <c r="K38" s="1693">
        <f t="shared" si="2"/>
        <v>163261</v>
      </c>
      <c r="L38" s="466">
        <v>161900</v>
      </c>
    </row>
    <row r="39" spans="1:14" x14ac:dyDescent="0.2">
      <c r="A39" s="1526" t="s">
        <v>208</v>
      </c>
      <c r="B39" s="615">
        <v>2140</v>
      </c>
      <c r="C39" s="466">
        <v>90714</v>
      </c>
      <c r="D39" s="466">
        <v>8048</v>
      </c>
      <c r="E39" s="466">
        <v>498</v>
      </c>
      <c r="F39" s="466">
        <v>2326</v>
      </c>
      <c r="G39" s="466">
        <v>0</v>
      </c>
      <c r="H39" s="466">
        <v>0</v>
      </c>
      <c r="I39" s="467">
        <v>0</v>
      </c>
      <c r="J39" s="467">
        <v>0</v>
      </c>
      <c r="K39" s="1693">
        <f t="shared" si="2"/>
        <v>101586</v>
      </c>
      <c r="L39" s="466">
        <v>141700</v>
      </c>
    </row>
    <row r="40" spans="1:14" x14ac:dyDescent="0.2">
      <c r="A40" s="1526" t="s">
        <v>209</v>
      </c>
      <c r="B40" s="615">
        <v>2150</v>
      </c>
      <c r="C40" s="466">
        <v>215738</v>
      </c>
      <c r="D40" s="466">
        <v>25722</v>
      </c>
      <c r="E40" s="466">
        <v>0</v>
      </c>
      <c r="F40" s="466">
        <v>1809</v>
      </c>
      <c r="G40" s="466">
        <v>0</v>
      </c>
      <c r="H40" s="466">
        <v>0</v>
      </c>
      <c r="I40" s="467">
        <v>0</v>
      </c>
      <c r="J40" s="467">
        <v>0</v>
      </c>
      <c r="K40" s="1693">
        <f t="shared" si="2"/>
        <v>243269</v>
      </c>
      <c r="L40" s="466">
        <v>242900</v>
      </c>
    </row>
    <row r="41" spans="1:14" x14ac:dyDescent="0.2">
      <c r="A41" s="1526" t="s">
        <v>1768</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581</v>
      </c>
      <c r="B42" s="1691" t="s">
        <v>740</v>
      </c>
      <c r="C42" s="1692">
        <f>SUM(C36:C41)</f>
        <v>675209</v>
      </c>
      <c r="D42" s="1692">
        <f t="shared" ref="D42:L42" si="3">SUM(D36:D41)</f>
        <v>60770</v>
      </c>
      <c r="E42" s="1692">
        <f t="shared" si="3"/>
        <v>975</v>
      </c>
      <c r="F42" s="1692">
        <f t="shared" si="3"/>
        <v>9499</v>
      </c>
      <c r="G42" s="1692">
        <f t="shared" si="3"/>
        <v>0</v>
      </c>
      <c r="H42" s="1692">
        <f t="shared" si="3"/>
        <v>0</v>
      </c>
      <c r="I42" s="1692">
        <f t="shared" si="3"/>
        <v>0</v>
      </c>
      <c r="J42" s="1692">
        <f t="shared" si="3"/>
        <v>0</v>
      </c>
      <c r="K42" s="1692">
        <f t="shared" si="3"/>
        <v>746453</v>
      </c>
      <c r="L42" s="1692">
        <f t="shared" si="3"/>
        <v>790000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161905</v>
      </c>
      <c r="D44" s="481">
        <v>16453</v>
      </c>
      <c r="E44" s="481">
        <v>28857</v>
      </c>
      <c r="F44" s="481">
        <v>103703</v>
      </c>
      <c r="G44" s="481">
        <v>2554</v>
      </c>
      <c r="H44" s="481">
        <v>0</v>
      </c>
      <c r="I44" s="467">
        <v>0</v>
      </c>
      <c r="J44" s="467">
        <v>0</v>
      </c>
      <c r="K44" s="1694">
        <f>SUM(C44:J44)</f>
        <v>313472</v>
      </c>
      <c r="L44" s="481">
        <v>353200</v>
      </c>
    </row>
    <row r="45" spans="1:14" x14ac:dyDescent="0.2">
      <c r="A45" s="1526" t="s">
        <v>869</v>
      </c>
      <c r="B45" s="615">
        <v>2220</v>
      </c>
      <c r="C45" s="466">
        <v>560753</v>
      </c>
      <c r="D45" s="466">
        <v>103355</v>
      </c>
      <c r="E45" s="466">
        <v>68693</v>
      </c>
      <c r="F45" s="466">
        <v>193553</v>
      </c>
      <c r="G45" s="466">
        <v>3514</v>
      </c>
      <c r="H45" s="466">
        <v>0</v>
      </c>
      <c r="I45" s="467">
        <v>155560</v>
      </c>
      <c r="J45" s="467">
        <v>0</v>
      </c>
      <c r="K45" s="1694">
        <f>SUM(C45:J45)</f>
        <v>1085428</v>
      </c>
      <c r="L45" s="466">
        <v>1441200</v>
      </c>
    </row>
    <row r="46" spans="1:14" x14ac:dyDescent="0.2">
      <c r="A46" s="1526" t="s">
        <v>870</v>
      </c>
      <c r="B46" s="615">
        <v>2230</v>
      </c>
      <c r="C46" s="466">
        <v>0</v>
      </c>
      <c r="D46" s="466">
        <v>0</v>
      </c>
      <c r="E46" s="466">
        <v>0</v>
      </c>
      <c r="F46" s="466">
        <v>0</v>
      </c>
      <c r="G46" s="466">
        <v>0</v>
      </c>
      <c r="H46" s="466">
        <v>0</v>
      </c>
      <c r="I46" s="467">
        <v>0</v>
      </c>
      <c r="J46" s="467">
        <v>0</v>
      </c>
      <c r="K46" s="1694">
        <f>SUM(C46:J46)</f>
        <v>0</v>
      </c>
      <c r="L46" s="466">
        <v>0</v>
      </c>
    </row>
    <row r="47" spans="1:14" ht="12.75" customHeight="1" thickBot="1" x14ac:dyDescent="0.25">
      <c r="A47" s="1690" t="s">
        <v>582</v>
      </c>
      <c r="B47" s="1691" t="s">
        <v>32</v>
      </c>
      <c r="C47" s="1692">
        <f>SUM(C44:C46)</f>
        <v>722658</v>
      </c>
      <c r="D47" s="1692">
        <f t="shared" ref="D47:K47" si="4">SUM(D44:D46)</f>
        <v>119808</v>
      </c>
      <c r="E47" s="1692">
        <f t="shared" si="4"/>
        <v>97550</v>
      </c>
      <c r="F47" s="1692">
        <f t="shared" si="4"/>
        <v>297256</v>
      </c>
      <c r="G47" s="1692">
        <f t="shared" si="4"/>
        <v>6068</v>
      </c>
      <c r="H47" s="1692">
        <f t="shared" si="4"/>
        <v>0</v>
      </c>
      <c r="I47" s="1692">
        <f t="shared" si="4"/>
        <v>155560</v>
      </c>
      <c r="J47" s="1692">
        <f t="shared" si="4"/>
        <v>0</v>
      </c>
      <c r="K47" s="1692">
        <f t="shared" si="4"/>
        <v>1398900</v>
      </c>
      <c r="L47" s="1692">
        <f>SUM(L44:L46)</f>
        <v>1794400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0</v>
      </c>
      <c r="D49" s="481">
        <v>0</v>
      </c>
      <c r="E49" s="481">
        <v>110946</v>
      </c>
      <c r="F49" s="481">
        <v>7716</v>
      </c>
      <c r="G49" s="481">
        <v>0</v>
      </c>
      <c r="H49" s="481">
        <v>0</v>
      </c>
      <c r="I49" s="467">
        <v>0</v>
      </c>
      <c r="J49" s="467">
        <v>0</v>
      </c>
      <c r="K49" s="1694">
        <f>SUM(C49:J49)</f>
        <v>118662</v>
      </c>
      <c r="L49" s="481">
        <v>182000</v>
      </c>
    </row>
    <row r="50" spans="1:14" x14ac:dyDescent="0.2">
      <c r="A50" s="1526" t="s">
        <v>872</v>
      </c>
      <c r="B50" s="615">
        <v>2320</v>
      </c>
      <c r="C50" s="466">
        <v>278303</v>
      </c>
      <c r="D50" s="466">
        <v>24726</v>
      </c>
      <c r="E50" s="466">
        <v>4355</v>
      </c>
      <c r="F50" s="466">
        <v>3131</v>
      </c>
      <c r="G50" s="466">
        <v>0</v>
      </c>
      <c r="H50" s="466">
        <v>0</v>
      </c>
      <c r="I50" s="467">
        <v>0</v>
      </c>
      <c r="J50" s="467">
        <v>0</v>
      </c>
      <c r="K50" s="1694">
        <f>SUM(C50:J50)</f>
        <v>310515</v>
      </c>
      <c r="L50" s="466">
        <v>295200</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278303</v>
      </c>
      <c r="D53" s="1692">
        <f t="shared" ref="D53:L53" si="5">SUM(D49:D52)</f>
        <v>24726</v>
      </c>
      <c r="E53" s="1692">
        <f t="shared" si="5"/>
        <v>115301</v>
      </c>
      <c r="F53" s="1692">
        <f t="shared" si="5"/>
        <v>10847</v>
      </c>
      <c r="G53" s="1692">
        <f t="shared" si="5"/>
        <v>0</v>
      </c>
      <c r="H53" s="1692">
        <f t="shared" si="5"/>
        <v>0</v>
      </c>
      <c r="I53" s="1692">
        <f t="shared" si="5"/>
        <v>0</v>
      </c>
      <c r="J53" s="1692">
        <f t="shared" si="5"/>
        <v>0</v>
      </c>
      <c r="K53" s="1692">
        <f t="shared" si="5"/>
        <v>429177</v>
      </c>
      <c r="L53" s="1692">
        <f t="shared" si="5"/>
        <v>477200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503756</v>
      </c>
      <c r="D55" s="481">
        <v>82857</v>
      </c>
      <c r="E55" s="481">
        <v>5208</v>
      </c>
      <c r="F55" s="481">
        <v>3092</v>
      </c>
      <c r="G55" s="481">
        <v>0</v>
      </c>
      <c r="H55" s="481">
        <v>0</v>
      </c>
      <c r="I55" s="467">
        <v>0</v>
      </c>
      <c r="J55" s="467">
        <v>0</v>
      </c>
      <c r="K55" s="1694">
        <f>SUM(C55:J55)</f>
        <v>594913</v>
      </c>
      <c r="L55" s="481">
        <v>594100</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503756</v>
      </c>
      <c r="D57" s="1696">
        <f t="shared" ref="D57:K57" si="6">SUM(D55:D56)</f>
        <v>82857</v>
      </c>
      <c r="E57" s="1696">
        <f t="shared" si="6"/>
        <v>5208</v>
      </c>
      <c r="F57" s="1696">
        <f t="shared" si="6"/>
        <v>3092</v>
      </c>
      <c r="G57" s="1696">
        <f t="shared" si="6"/>
        <v>0</v>
      </c>
      <c r="H57" s="1696">
        <f t="shared" si="6"/>
        <v>0</v>
      </c>
      <c r="I57" s="1696">
        <f t="shared" si="6"/>
        <v>0</v>
      </c>
      <c r="J57" s="1696">
        <f t="shared" si="6"/>
        <v>0</v>
      </c>
      <c r="K57" s="1696">
        <f t="shared" si="6"/>
        <v>594913</v>
      </c>
      <c r="L57" s="1692">
        <f>SUM(L55:L56)</f>
        <v>594100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6149</v>
      </c>
      <c r="D59" s="481">
        <v>0</v>
      </c>
      <c r="E59" s="481">
        <v>73958</v>
      </c>
      <c r="F59" s="481">
        <v>0</v>
      </c>
      <c r="G59" s="481">
        <v>0</v>
      </c>
      <c r="H59" s="481">
        <v>0</v>
      </c>
      <c r="I59" s="467">
        <v>0</v>
      </c>
      <c r="J59" s="467">
        <v>0</v>
      </c>
      <c r="K59" s="1694">
        <f t="shared" ref="K59:K64" si="7">SUM(C59:J59)</f>
        <v>80107</v>
      </c>
      <c r="L59" s="481">
        <v>73800</v>
      </c>
      <c r="M59" s="610"/>
      <c r="N59" s="610"/>
    </row>
    <row r="60" spans="1:14" s="343" customFormat="1" x14ac:dyDescent="0.2">
      <c r="A60" s="1526" t="s">
        <v>483</v>
      </c>
      <c r="B60" s="615">
        <v>2520</v>
      </c>
      <c r="C60" s="466">
        <v>21801</v>
      </c>
      <c r="D60" s="466">
        <v>0</v>
      </c>
      <c r="E60" s="466">
        <v>201838</v>
      </c>
      <c r="F60" s="466">
        <v>9924</v>
      </c>
      <c r="G60" s="466">
        <v>0</v>
      </c>
      <c r="H60" s="466">
        <v>0</v>
      </c>
      <c r="I60" s="467">
        <v>0</v>
      </c>
      <c r="J60" s="467">
        <v>0</v>
      </c>
      <c r="K60" s="1694">
        <f t="shared" si="7"/>
        <v>233563</v>
      </c>
      <c r="L60" s="466">
        <v>212200</v>
      </c>
      <c r="M60" s="610"/>
      <c r="N60" s="610"/>
    </row>
    <row r="61" spans="1:14" s="343" customFormat="1" x14ac:dyDescent="0.2">
      <c r="A61" s="1526" t="s">
        <v>206</v>
      </c>
      <c r="B61" s="615">
        <v>2540</v>
      </c>
      <c r="C61" s="466">
        <v>-6149</v>
      </c>
      <c r="D61" s="466">
        <v>0</v>
      </c>
      <c r="E61" s="466">
        <v>0</v>
      </c>
      <c r="F61" s="466">
        <v>0</v>
      </c>
      <c r="G61" s="466">
        <v>0</v>
      </c>
      <c r="H61" s="466">
        <v>0</v>
      </c>
      <c r="I61" s="467">
        <v>0</v>
      </c>
      <c r="J61" s="467">
        <v>0</v>
      </c>
      <c r="K61" s="1694">
        <f t="shared" si="7"/>
        <v>-6149</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64736</v>
      </c>
      <c r="D63" s="466">
        <v>1893</v>
      </c>
      <c r="E63" s="466">
        <v>0</v>
      </c>
      <c r="F63" s="466">
        <v>24640</v>
      </c>
      <c r="G63" s="466">
        <v>0</v>
      </c>
      <c r="H63" s="466">
        <v>0</v>
      </c>
      <c r="I63" s="467">
        <v>0</v>
      </c>
      <c r="J63" s="467">
        <v>0</v>
      </c>
      <c r="K63" s="1694">
        <f t="shared" si="7"/>
        <v>91269</v>
      </c>
      <c r="L63" s="466">
        <v>96300</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743</v>
      </c>
      <c r="B65" s="1691" t="s">
        <v>35</v>
      </c>
      <c r="C65" s="1692">
        <f>SUM(C59:C64)</f>
        <v>86537</v>
      </c>
      <c r="D65" s="1692">
        <f t="shared" ref="D65:L65" si="8">SUM(D59:D64)</f>
        <v>1893</v>
      </c>
      <c r="E65" s="1692">
        <f t="shared" si="8"/>
        <v>275796</v>
      </c>
      <c r="F65" s="1692">
        <f t="shared" si="8"/>
        <v>34564</v>
      </c>
      <c r="G65" s="1692">
        <f t="shared" si="8"/>
        <v>0</v>
      </c>
      <c r="H65" s="1692">
        <f t="shared" si="8"/>
        <v>0</v>
      </c>
      <c r="I65" s="1692">
        <f t="shared" si="8"/>
        <v>0</v>
      </c>
      <c r="J65" s="1692">
        <f t="shared" si="8"/>
        <v>0</v>
      </c>
      <c r="K65" s="1692">
        <f t="shared" si="8"/>
        <v>398790</v>
      </c>
      <c r="L65" s="1692">
        <f t="shared" si="8"/>
        <v>382300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2266463</v>
      </c>
      <c r="D74" s="1699">
        <f t="shared" ref="D74:K74" si="10">SUM(D42,D47,D53,D57,D65,D72,D73)</f>
        <v>290054</v>
      </c>
      <c r="E74" s="1699">
        <f t="shared" si="10"/>
        <v>494830</v>
      </c>
      <c r="F74" s="1699">
        <f t="shared" si="10"/>
        <v>355258</v>
      </c>
      <c r="G74" s="1699">
        <f t="shared" si="10"/>
        <v>6068</v>
      </c>
      <c r="H74" s="1699">
        <f t="shared" si="10"/>
        <v>0</v>
      </c>
      <c r="I74" s="1699">
        <f t="shared" si="10"/>
        <v>155560</v>
      </c>
      <c r="J74" s="1699">
        <f t="shared" si="10"/>
        <v>0</v>
      </c>
      <c r="K74" s="1699">
        <f t="shared" si="10"/>
        <v>3568233</v>
      </c>
      <c r="L74" s="1699">
        <f>SUM(L42,L47,L53,L57,L65,L72,L73)</f>
        <v>4038000</v>
      </c>
    </row>
    <row r="75" spans="1:14" s="259" customFormat="1" ht="15.75" customHeight="1" thickTop="1" thickBot="1" x14ac:dyDescent="0.25">
      <c r="A75" s="1632" t="s">
        <v>49</v>
      </c>
      <c r="B75" s="1633" t="s">
        <v>596</v>
      </c>
      <c r="C75" s="573">
        <v>74311</v>
      </c>
      <c r="D75" s="573">
        <v>19928</v>
      </c>
      <c r="E75" s="573">
        <v>573</v>
      </c>
      <c r="F75" s="573">
        <v>5316</v>
      </c>
      <c r="G75" s="573">
        <v>0</v>
      </c>
      <c r="H75" s="573">
        <v>0</v>
      </c>
      <c r="I75" s="531">
        <v>0</v>
      </c>
      <c r="J75" s="531">
        <v>0</v>
      </c>
      <c r="K75" s="1692">
        <f>SUM(C75:J75)</f>
        <v>100128</v>
      </c>
      <c r="L75" s="576">
        <v>102600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16646</v>
      </c>
      <c r="F79" s="617"/>
      <c r="G79" s="617"/>
      <c r="H79" s="466">
        <v>0</v>
      </c>
      <c r="I79" s="477"/>
      <c r="J79" s="477"/>
      <c r="K79" s="1693">
        <f t="shared" si="11"/>
        <v>16646</v>
      </c>
      <c r="L79" s="466">
        <v>23600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16646</v>
      </c>
      <c r="F84" s="617"/>
      <c r="G84" s="617"/>
      <c r="H84" s="1692">
        <f>SUM(H78:H83)</f>
        <v>0</v>
      </c>
      <c r="I84" s="477"/>
      <c r="J84" s="477"/>
      <c r="K84" s="1692">
        <f>SUM(K78:K83)</f>
        <v>16646</v>
      </c>
      <c r="L84" s="1692">
        <f>SUM(L78:L83)</f>
        <v>23600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375371</v>
      </c>
      <c r="I86" s="477"/>
      <c r="J86" s="477"/>
      <c r="K86" s="1699">
        <f t="shared" ref="K86:K98" si="12">H86</f>
        <v>375371</v>
      </c>
      <c r="L86" s="530">
        <v>644500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375371</v>
      </c>
      <c r="I92" s="477"/>
      <c r="J92" s="477"/>
      <c r="K92" s="1699">
        <f t="shared" si="12"/>
        <v>375371</v>
      </c>
      <c r="L92" s="1692">
        <f>SUM(L85:L91)</f>
        <v>644500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16646</v>
      </c>
      <c r="F102" s="617"/>
      <c r="G102" s="617"/>
      <c r="H102" s="1699">
        <f>SUM(H84,H92,H100,H101)</f>
        <v>375371</v>
      </c>
      <c r="I102" s="477"/>
      <c r="J102" s="477"/>
      <c r="K102" s="1699">
        <f>SUM(K84,K92,K100,K101)</f>
        <v>392017</v>
      </c>
      <c r="L102" s="1699">
        <f>SUM(L84,L92,L100,L101)</f>
        <v>668100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9120734</v>
      </c>
      <c r="D114" s="1692">
        <f t="shared" ref="D114:K114" si="13">SUM(D33,D74,D75,D102,D112,D113)</f>
        <v>1226686</v>
      </c>
      <c r="E114" s="1692">
        <f t="shared" si="13"/>
        <v>611223</v>
      </c>
      <c r="F114" s="1692">
        <f t="shared" si="13"/>
        <v>521958</v>
      </c>
      <c r="G114" s="1692">
        <f t="shared" si="13"/>
        <v>6068</v>
      </c>
      <c r="H114" s="1692">
        <f>SUM(H33,H74,H75,H102,H112,H113)</f>
        <v>440227</v>
      </c>
      <c r="I114" s="1692">
        <f t="shared" si="13"/>
        <v>155704</v>
      </c>
      <c r="J114" s="1692">
        <f t="shared" si="13"/>
        <v>38180</v>
      </c>
      <c r="K114" s="1692">
        <f t="shared" si="13"/>
        <v>12120780</v>
      </c>
      <c r="L114" s="1692">
        <f>SUM(L33,L74,L75,L102,L112,L113)</f>
        <v>12804200</v>
      </c>
    </row>
    <row r="115" spans="1:14" ht="13.5" thickTop="1" x14ac:dyDescent="0.2">
      <c r="A115" s="2199" t="s">
        <v>1053</v>
      </c>
      <c r="B115" s="2200"/>
      <c r="C115" s="619"/>
      <c r="D115" s="619"/>
      <c r="E115" s="619"/>
      <c r="F115" s="619"/>
      <c r="G115" s="619"/>
      <c r="H115" s="619"/>
      <c r="I115" s="619"/>
      <c r="J115" s="619"/>
      <c r="K115" s="1706">
        <f>'Revenues 9-14'!C275-'Expenditures 15-22'!K114</f>
        <v>1307228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367378</v>
      </c>
      <c r="D124" s="466">
        <v>82470</v>
      </c>
      <c r="E124" s="466">
        <v>275552</v>
      </c>
      <c r="F124" s="466">
        <v>220749</v>
      </c>
      <c r="G124" s="466">
        <v>6425</v>
      </c>
      <c r="H124" s="466">
        <v>0</v>
      </c>
      <c r="I124" s="467">
        <v>4333</v>
      </c>
      <c r="J124" s="467">
        <v>0</v>
      </c>
      <c r="K124" s="1692">
        <f>SUM(C124:J124)</f>
        <v>956907</v>
      </c>
      <c r="L124" s="466">
        <v>1084700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367378</v>
      </c>
      <c r="D127" s="1692">
        <f t="shared" ref="D127:L127" si="14">SUM(D122:D126)</f>
        <v>82470</v>
      </c>
      <c r="E127" s="1692">
        <f t="shared" si="14"/>
        <v>275552</v>
      </c>
      <c r="F127" s="1692">
        <f t="shared" si="14"/>
        <v>220749</v>
      </c>
      <c r="G127" s="1692">
        <f t="shared" si="14"/>
        <v>6425</v>
      </c>
      <c r="H127" s="1692">
        <f t="shared" si="14"/>
        <v>0</v>
      </c>
      <c r="I127" s="1692">
        <f t="shared" si="14"/>
        <v>4333</v>
      </c>
      <c r="J127" s="1692">
        <f t="shared" si="14"/>
        <v>0</v>
      </c>
      <c r="K127" s="1692">
        <f t="shared" si="14"/>
        <v>956907</v>
      </c>
      <c r="L127" s="1692">
        <f t="shared" si="14"/>
        <v>1084700</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367378</v>
      </c>
      <c r="D129" s="1699">
        <f t="shared" ref="D129:L129" si="15">SUM(D120,D127,D128)</f>
        <v>82470</v>
      </c>
      <c r="E129" s="1699">
        <f t="shared" si="15"/>
        <v>275552</v>
      </c>
      <c r="F129" s="1699">
        <f t="shared" si="15"/>
        <v>220749</v>
      </c>
      <c r="G129" s="1699">
        <f t="shared" si="15"/>
        <v>6425</v>
      </c>
      <c r="H129" s="1699">
        <f t="shared" si="15"/>
        <v>0</v>
      </c>
      <c r="I129" s="1699">
        <f t="shared" si="15"/>
        <v>4333</v>
      </c>
      <c r="J129" s="1699">
        <f t="shared" si="15"/>
        <v>0</v>
      </c>
      <c r="K129" s="1699">
        <f t="shared" si="15"/>
        <v>956907</v>
      </c>
      <c r="L129" s="1699">
        <f t="shared" si="15"/>
        <v>1084700</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45880</v>
      </c>
      <c r="F134" s="617"/>
      <c r="G134" s="617"/>
      <c r="H134" s="481">
        <v>0</v>
      </c>
      <c r="I134" s="477"/>
      <c r="J134" s="617"/>
      <c r="K134" s="1694">
        <f>SUM(E134,H134)</f>
        <v>45880</v>
      </c>
      <c r="L134" s="481">
        <v>45200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45880</v>
      </c>
      <c r="F137" s="617"/>
      <c r="G137" s="617"/>
      <c r="H137" s="1692">
        <f>SUM(H133:H136)</f>
        <v>0</v>
      </c>
      <c r="I137" s="477"/>
      <c r="J137" s="617"/>
      <c r="K137" s="1692">
        <f>SUM(K133:K136)</f>
        <v>45880</v>
      </c>
      <c r="L137" s="1692">
        <f>SUM(L133:L136)</f>
        <v>45200</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45880</v>
      </c>
      <c r="F139" s="617"/>
      <c r="G139" s="617"/>
      <c r="H139" s="1701">
        <f>SUM(H137:H138)</f>
        <v>0</v>
      </c>
      <c r="I139" s="477"/>
      <c r="J139" s="617"/>
      <c r="K139" s="1694">
        <f>SUM(K137,K138)</f>
        <v>45880</v>
      </c>
      <c r="L139" s="1701">
        <f>SUM(L137,L138)</f>
        <v>45200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9" t="s">
        <v>641</v>
      </c>
      <c r="B151" s="2171"/>
      <c r="C151" s="1692">
        <f>SUM(C129,C130,C139,C149,C150)</f>
        <v>367378</v>
      </c>
      <c r="D151" s="1692">
        <f t="shared" ref="D151:K151" si="16">SUM(D129,D130,D139,D149,D150)</f>
        <v>82470</v>
      </c>
      <c r="E151" s="1692">
        <f t="shared" si="16"/>
        <v>321432</v>
      </c>
      <c r="F151" s="1692">
        <f t="shared" si="16"/>
        <v>220749</v>
      </c>
      <c r="G151" s="1692">
        <f t="shared" si="16"/>
        <v>6425</v>
      </c>
      <c r="H151" s="1692">
        <f t="shared" si="16"/>
        <v>0</v>
      </c>
      <c r="I151" s="1692">
        <f t="shared" si="16"/>
        <v>4333</v>
      </c>
      <c r="J151" s="1692">
        <f t="shared" si="16"/>
        <v>0</v>
      </c>
      <c r="K151" s="1692">
        <f t="shared" si="16"/>
        <v>1002787</v>
      </c>
      <c r="L151" s="1692">
        <f>SUM(L129,L130,L139,L149,L150)</f>
        <v>1129900</v>
      </c>
    </row>
    <row r="152" spans="1:14" ht="12.75" customHeight="1" thickTop="1" x14ac:dyDescent="0.2">
      <c r="A152" s="2192" t="s">
        <v>1240</v>
      </c>
      <c r="B152" s="2193"/>
      <c r="C152" s="619"/>
      <c r="D152" s="619"/>
      <c r="E152" s="619"/>
      <c r="F152" s="619"/>
      <c r="G152" s="619"/>
      <c r="H152" s="619"/>
      <c r="I152" s="619"/>
      <c r="J152" s="617"/>
      <c r="K152" s="1706">
        <f>'Revenues 9-14'!D275-'Expenditures 15-22'!K151</f>
        <v>189844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16178</v>
      </c>
      <c r="I169" s="617"/>
      <c r="J169" s="617"/>
      <c r="K169" s="1693">
        <f>SUM(C169:H169)</f>
        <v>16178</v>
      </c>
      <c r="L169" s="657">
        <v>21900</v>
      </c>
    </row>
    <row r="170" spans="1:14" ht="33.75" customHeight="1" x14ac:dyDescent="0.2">
      <c r="A170" s="670" t="s">
        <v>1769</v>
      </c>
      <c r="B170" s="672" t="s">
        <v>31</v>
      </c>
      <c r="C170" s="617"/>
      <c r="D170" s="617"/>
      <c r="E170" s="617"/>
      <c r="F170" s="617"/>
      <c r="G170" s="617"/>
      <c r="H170" s="569">
        <v>495000</v>
      </c>
      <c r="I170" s="617"/>
      <c r="J170" s="617"/>
      <c r="K170" s="1693">
        <f>SUM(C170:J170)</f>
        <v>495000</v>
      </c>
      <c r="L170" s="569">
        <v>495000</v>
      </c>
    </row>
    <row r="171" spans="1:14" ht="15.75" customHeight="1" x14ac:dyDescent="0.2">
      <c r="A171" s="622" t="s">
        <v>790</v>
      </c>
      <c r="B171" s="673" t="s">
        <v>86</v>
      </c>
      <c r="C171" s="617"/>
      <c r="D171" s="617"/>
      <c r="E171" s="466">
        <v>0</v>
      </c>
      <c r="F171" s="617"/>
      <c r="G171" s="617"/>
      <c r="H171" s="569">
        <v>0</v>
      </c>
      <c r="I171" s="477"/>
      <c r="J171" s="617"/>
      <c r="K171" s="1693">
        <f>SUM(C171:J171)</f>
        <v>0</v>
      </c>
      <c r="L171" s="569">
        <v>500</v>
      </c>
    </row>
    <row r="172" spans="1:14" ht="12.75" customHeight="1" thickBot="1" x14ac:dyDescent="0.25">
      <c r="A172" s="1690" t="s">
        <v>659</v>
      </c>
      <c r="B172" s="1691" t="s">
        <v>513</v>
      </c>
      <c r="C172" s="617"/>
      <c r="D172" s="617"/>
      <c r="E172" s="1699">
        <f>SUM(E168,E169,E170,E171)</f>
        <v>0</v>
      </c>
      <c r="F172" s="617"/>
      <c r="G172" s="617"/>
      <c r="H172" s="1699">
        <f>SUM(H168,H169,H170,H171)</f>
        <v>511178</v>
      </c>
      <c r="I172" s="639"/>
      <c r="J172" s="617"/>
      <c r="K172" s="1699">
        <f>SUM(K168,K169,K170,K171)</f>
        <v>511178</v>
      </c>
      <c r="L172" s="1699">
        <f>SUM(L168,L169,L170,L171)</f>
        <v>517400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511178</v>
      </c>
      <c r="I174" s="639"/>
      <c r="J174" s="617"/>
      <c r="K174" s="1699">
        <f>SUM(K160,K172,K173)</f>
        <v>511178</v>
      </c>
      <c r="L174" s="1699">
        <f>SUM(L160,L172,L173)</f>
        <v>517400</v>
      </c>
    </row>
    <row r="175" spans="1:14" ht="13.5" thickTop="1" x14ac:dyDescent="0.2">
      <c r="A175" s="2199" t="s">
        <v>1053</v>
      </c>
      <c r="B175" s="2200"/>
      <c r="C175" s="617"/>
      <c r="D175" s="617"/>
      <c r="E175" s="617"/>
      <c r="F175" s="617"/>
      <c r="G175" s="617"/>
      <c r="H175" s="619"/>
      <c r="I175" s="617"/>
      <c r="J175" s="617"/>
      <c r="K175" s="1706">
        <f>'Revenues 9-14'!E275-'Expenditures 15-22'!K174</f>
        <v>-315233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8813</v>
      </c>
      <c r="D182" s="466">
        <v>1116</v>
      </c>
      <c r="E182" s="466">
        <v>715321</v>
      </c>
      <c r="F182" s="466">
        <v>0</v>
      </c>
      <c r="G182" s="466">
        <v>0</v>
      </c>
      <c r="H182" s="466">
        <v>0</v>
      </c>
      <c r="I182" s="467">
        <v>0</v>
      </c>
      <c r="J182" s="467">
        <v>0</v>
      </c>
      <c r="K182" s="1693">
        <f>SUM(C182:J182)</f>
        <v>725250</v>
      </c>
      <c r="L182" s="466">
        <v>775500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8813</v>
      </c>
      <c r="D184" s="1699">
        <f t="shared" ref="D184:J184" si="17">SUM(D180,D182,D183)</f>
        <v>1116</v>
      </c>
      <c r="E184" s="1699">
        <f t="shared" si="17"/>
        <v>715321</v>
      </c>
      <c r="F184" s="1699">
        <f t="shared" si="17"/>
        <v>0</v>
      </c>
      <c r="G184" s="1699">
        <f t="shared" si="17"/>
        <v>0</v>
      </c>
      <c r="H184" s="1699">
        <f t="shared" si="17"/>
        <v>0</v>
      </c>
      <c r="I184" s="1699">
        <f t="shared" si="17"/>
        <v>0</v>
      </c>
      <c r="J184" s="1699">
        <f t="shared" si="17"/>
        <v>0</v>
      </c>
      <c r="K184" s="1699">
        <f>SUM(K180,K182,K183)</f>
        <v>725250</v>
      </c>
      <c r="L184" s="1699">
        <f>SUM(L180, L182:L183)</f>
        <v>775500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8813</v>
      </c>
      <c r="D210" s="1692">
        <f>SUM(D184,D185)</f>
        <v>1116</v>
      </c>
      <c r="E210" s="1692">
        <f>SUM(E184,E185,E196)</f>
        <v>715321</v>
      </c>
      <c r="F210" s="1692">
        <f>SUM(F184,F185)</f>
        <v>0</v>
      </c>
      <c r="G210" s="1692">
        <f>SUM(G184,G185)</f>
        <v>0</v>
      </c>
      <c r="H210" s="1692">
        <f>SUM(H184,H185,H196,H208,H209)</f>
        <v>0</v>
      </c>
      <c r="I210" s="1692">
        <f>SUM(I184,I185)</f>
        <v>0</v>
      </c>
      <c r="J210" s="1692">
        <f>SUM(J184,J185)</f>
        <v>0</v>
      </c>
      <c r="K210" s="1693">
        <f>SUM(K184,K185,K196,K208,K209)</f>
        <v>725250</v>
      </c>
      <c r="L210" s="1692">
        <f>SUM(L184,L185,L196,L208,L209)</f>
        <v>775500</v>
      </c>
    </row>
    <row r="211" spans="1:14" ht="13.5" thickTop="1" x14ac:dyDescent="0.2">
      <c r="A211" s="2199" t="s">
        <v>1053</v>
      </c>
      <c r="B211" s="2200"/>
      <c r="C211" s="619"/>
      <c r="D211" s="619"/>
      <c r="E211" s="619"/>
      <c r="F211" s="619"/>
      <c r="G211" s="619"/>
      <c r="H211" s="619"/>
      <c r="I211" s="617"/>
      <c r="J211" s="617"/>
      <c r="K211" s="1706">
        <f>'Revenues 9-14'!F275-'Expenditures 15-22'!K210</f>
        <v>148080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77479</v>
      </c>
      <c r="E215" s="617"/>
      <c r="F215" s="617"/>
      <c r="G215" s="617"/>
      <c r="H215" s="617"/>
      <c r="I215" s="617"/>
      <c r="J215" s="617"/>
      <c r="K215" s="1693">
        <f>D215</f>
        <v>77479</v>
      </c>
      <c r="L215" s="466">
        <v>83600</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50623</v>
      </c>
      <c r="E217" s="617"/>
      <c r="F217" s="617"/>
      <c r="G217" s="617"/>
      <c r="H217" s="617"/>
      <c r="I217" s="617"/>
      <c r="J217" s="617"/>
      <c r="K217" s="1693">
        <f t="shared" si="19"/>
        <v>50623</v>
      </c>
      <c r="L217" s="466">
        <v>41400</v>
      </c>
    </row>
    <row r="218" spans="1:14" x14ac:dyDescent="0.2">
      <c r="A218" s="1526" t="s">
        <v>296</v>
      </c>
      <c r="B218" s="615" t="s">
        <v>1025</v>
      </c>
      <c r="C218" s="617"/>
      <c r="D218" s="467">
        <v>0</v>
      </c>
      <c r="E218" s="617"/>
      <c r="F218" s="617"/>
      <c r="G218" s="617"/>
      <c r="H218" s="617"/>
      <c r="I218" s="617"/>
      <c r="J218" s="617"/>
      <c r="K218" s="1693">
        <f t="shared" si="19"/>
        <v>0</v>
      </c>
      <c r="L218" s="466">
        <v>0</v>
      </c>
    </row>
    <row r="219" spans="1:14" x14ac:dyDescent="0.2">
      <c r="A219" s="1526" t="s">
        <v>297</v>
      </c>
      <c r="B219" s="615">
        <v>1250</v>
      </c>
      <c r="C219" s="617"/>
      <c r="D219" s="466">
        <v>767</v>
      </c>
      <c r="E219" s="617"/>
      <c r="F219" s="617"/>
      <c r="G219" s="617"/>
      <c r="H219" s="617"/>
      <c r="I219" s="617"/>
      <c r="J219" s="617"/>
      <c r="K219" s="1693">
        <f t="shared" si="19"/>
        <v>767</v>
      </c>
      <c r="L219" s="466">
        <v>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8690</v>
      </c>
      <c r="E223" s="617"/>
      <c r="F223" s="617"/>
      <c r="G223" s="617"/>
      <c r="H223" s="617"/>
      <c r="I223" s="617"/>
      <c r="J223" s="617"/>
      <c r="K223" s="1693">
        <f t="shared" si="19"/>
        <v>8690</v>
      </c>
      <c r="L223" s="466">
        <v>10000</v>
      </c>
    </row>
    <row r="224" spans="1:14" x14ac:dyDescent="0.2">
      <c r="A224" s="1526" t="s">
        <v>1021</v>
      </c>
      <c r="B224" s="615">
        <v>1600</v>
      </c>
      <c r="C224" s="617"/>
      <c r="D224" s="466">
        <v>0</v>
      </c>
      <c r="E224" s="617"/>
      <c r="F224" s="617"/>
      <c r="G224" s="617"/>
      <c r="H224" s="617"/>
      <c r="I224" s="617"/>
      <c r="J224" s="617"/>
      <c r="K224" s="1693">
        <f t="shared" si="19"/>
        <v>0</v>
      </c>
      <c r="L224" s="466">
        <v>0</v>
      </c>
    </row>
    <row r="225" spans="1:12" x14ac:dyDescent="0.2">
      <c r="A225" s="1526" t="s">
        <v>1044</v>
      </c>
      <c r="B225" s="615">
        <v>1650</v>
      </c>
      <c r="C225" s="617"/>
      <c r="D225" s="466">
        <v>2699</v>
      </c>
      <c r="E225" s="617"/>
      <c r="F225" s="617"/>
      <c r="G225" s="617"/>
      <c r="H225" s="617"/>
      <c r="I225" s="617"/>
      <c r="J225" s="617"/>
      <c r="K225" s="1693">
        <f t="shared" si="19"/>
        <v>2699</v>
      </c>
      <c r="L225" s="466">
        <v>2600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1278</v>
      </c>
      <c r="E227" s="617"/>
      <c r="F227" s="617"/>
      <c r="G227" s="617"/>
      <c r="H227" s="617"/>
      <c r="I227" s="617"/>
      <c r="J227" s="617"/>
      <c r="K227" s="1693">
        <f t="shared" si="19"/>
        <v>1278</v>
      </c>
      <c r="L227" s="466">
        <v>1400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141536</v>
      </c>
      <c r="E229" s="617"/>
      <c r="F229" s="617"/>
      <c r="G229" s="617"/>
      <c r="H229" s="617"/>
      <c r="I229" s="617"/>
      <c r="J229" s="617"/>
      <c r="K229" s="1692">
        <f>SUM(K215:K228)</f>
        <v>141536</v>
      </c>
      <c r="L229" s="1692">
        <f>SUM(L215:L228)</f>
        <v>139000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2802</v>
      </c>
      <c r="E232" s="617"/>
      <c r="F232" s="617"/>
      <c r="G232" s="617"/>
      <c r="H232" s="617"/>
      <c r="I232" s="617"/>
      <c r="J232" s="617"/>
      <c r="K232" s="1693">
        <f t="shared" ref="K232:K237" si="20">D232</f>
        <v>2802</v>
      </c>
      <c r="L232" s="466">
        <v>3200</v>
      </c>
    </row>
    <row r="233" spans="1:12" x14ac:dyDescent="0.2">
      <c r="A233" s="1526" t="s">
        <v>1151</v>
      </c>
      <c r="B233" s="615">
        <v>2120</v>
      </c>
      <c r="C233" s="617"/>
      <c r="D233" s="466">
        <v>0</v>
      </c>
      <c r="E233" s="617"/>
      <c r="F233" s="617"/>
      <c r="G233" s="617"/>
      <c r="H233" s="617"/>
      <c r="I233" s="617"/>
      <c r="J233" s="617"/>
      <c r="K233" s="1693">
        <f t="shared" si="20"/>
        <v>0</v>
      </c>
      <c r="L233" s="466">
        <v>0</v>
      </c>
    </row>
    <row r="234" spans="1:12" x14ac:dyDescent="0.2">
      <c r="A234" s="1526" t="s">
        <v>207</v>
      </c>
      <c r="B234" s="615">
        <v>2130</v>
      </c>
      <c r="C234" s="617"/>
      <c r="D234" s="466">
        <v>29131</v>
      </c>
      <c r="E234" s="617"/>
      <c r="F234" s="617"/>
      <c r="G234" s="617"/>
      <c r="H234" s="617"/>
      <c r="I234" s="617"/>
      <c r="J234" s="617"/>
      <c r="K234" s="1693">
        <f t="shared" si="20"/>
        <v>29131</v>
      </c>
      <c r="L234" s="466">
        <v>29100</v>
      </c>
    </row>
    <row r="235" spans="1:12" x14ac:dyDescent="0.2">
      <c r="A235" s="1526" t="s">
        <v>208</v>
      </c>
      <c r="B235" s="615">
        <v>2140</v>
      </c>
      <c r="C235" s="617"/>
      <c r="D235" s="466">
        <v>1307</v>
      </c>
      <c r="E235" s="617"/>
      <c r="F235" s="617"/>
      <c r="G235" s="617"/>
      <c r="H235" s="617"/>
      <c r="I235" s="617"/>
      <c r="J235" s="617"/>
      <c r="K235" s="1693">
        <f t="shared" si="20"/>
        <v>1307</v>
      </c>
      <c r="L235" s="466">
        <v>1700</v>
      </c>
    </row>
    <row r="236" spans="1:12" x14ac:dyDescent="0.2">
      <c r="A236" s="1526" t="s">
        <v>209</v>
      </c>
      <c r="B236" s="615">
        <v>2150</v>
      </c>
      <c r="C236" s="617"/>
      <c r="D236" s="466">
        <v>3039</v>
      </c>
      <c r="E236" s="617"/>
      <c r="F236" s="617"/>
      <c r="G236" s="617"/>
      <c r="H236" s="617"/>
      <c r="I236" s="617"/>
      <c r="J236" s="617"/>
      <c r="K236" s="1693">
        <f t="shared" si="20"/>
        <v>3039</v>
      </c>
      <c r="L236" s="466">
        <v>3100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36279</v>
      </c>
      <c r="E238" s="617"/>
      <c r="F238" s="617"/>
      <c r="G238" s="617"/>
      <c r="H238" s="617"/>
      <c r="I238" s="617"/>
      <c r="J238" s="617"/>
      <c r="K238" s="1692">
        <f>SUM(K232:K237)</f>
        <v>36279</v>
      </c>
      <c r="L238" s="1692">
        <f>SUM(L232:L237)</f>
        <v>37100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2275</v>
      </c>
      <c r="E240" s="617"/>
      <c r="F240" s="617"/>
      <c r="G240" s="617"/>
      <c r="H240" s="617"/>
      <c r="I240" s="617"/>
      <c r="J240" s="617"/>
      <c r="K240" s="1694">
        <f>D240</f>
        <v>2275</v>
      </c>
      <c r="L240" s="481">
        <v>2200</v>
      </c>
    </row>
    <row r="241" spans="1:12" x14ac:dyDescent="0.2">
      <c r="A241" s="1526" t="s">
        <v>869</v>
      </c>
      <c r="B241" s="615">
        <v>2220</v>
      </c>
      <c r="C241" s="617"/>
      <c r="D241" s="466">
        <v>40347</v>
      </c>
      <c r="E241" s="617"/>
      <c r="F241" s="617"/>
      <c r="G241" s="617"/>
      <c r="H241" s="617"/>
      <c r="I241" s="617"/>
      <c r="J241" s="617"/>
      <c r="K241" s="1694">
        <f>D241</f>
        <v>40347</v>
      </c>
      <c r="L241" s="466">
        <v>44500</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42622</v>
      </c>
      <c r="E243" s="617"/>
      <c r="F243" s="617"/>
      <c r="G243" s="617"/>
      <c r="H243" s="617"/>
      <c r="I243" s="617"/>
      <c r="J243" s="617"/>
      <c r="K243" s="1692">
        <f>SUM(K240:K242)</f>
        <v>42622</v>
      </c>
      <c r="L243" s="1692">
        <f>SUM(L240:L242)</f>
        <v>46700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4">
        <f>D245</f>
        <v>0</v>
      </c>
      <c r="L245" s="481">
        <v>0</v>
      </c>
    </row>
    <row r="246" spans="1:12" x14ac:dyDescent="0.2">
      <c r="A246" s="1526" t="s">
        <v>872</v>
      </c>
      <c r="B246" s="615">
        <v>2320</v>
      </c>
      <c r="C246" s="617"/>
      <c r="D246" s="466">
        <v>14104</v>
      </c>
      <c r="E246" s="617"/>
      <c r="F246" s="617"/>
      <c r="G246" s="617"/>
      <c r="H246" s="617"/>
      <c r="I246" s="617"/>
      <c r="J246" s="617"/>
      <c r="K246" s="1694">
        <f t="shared" ref="K246:K256" si="21">D246</f>
        <v>14104</v>
      </c>
      <c r="L246" s="466">
        <v>0</v>
      </c>
    </row>
    <row r="247" spans="1:12" x14ac:dyDescent="0.2">
      <c r="A247" s="1526" t="s">
        <v>873</v>
      </c>
      <c r="B247" s="615">
        <v>2330</v>
      </c>
      <c r="C247" s="617"/>
      <c r="D247" s="466">
        <v>0</v>
      </c>
      <c r="E247" s="617"/>
      <c r="F247" s="617"/>
      <c r="G247" s="617"/>
      <c r="H247" s="617"/>
      <c r="I247" s="617"/>
      <c r="J247" s="617"/>
      <c r="K247" s="1694">
        <f t="shared" si="21"/>
        <v>0</v>
      </c>
      <c r="L247" s="466">
        <v>13500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14104</v>
      </c>
      <c r="E257" s="617"/>
      <c r="F257" s="617"/>
      <c r="G257" s="617"/>
      <c r="H257" s="617"/>
      <c r="I257" s="617"/>
      <c r="J257" s="617"/>
      <c r="K257" s="1692">
        <f>SUM(K245:K256)</f>
        <v>14104</v>
      </c>
      <c r="L257" s="1692">
        <f>SUM(L245:L256)</f>
        <v>13500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33951</v>
      </c>
      <c r="E259" s="617"/>
      <c r="F259" s="617"/>
      <c r="G259" s="617"/>
      <c r="H259" s="617"/>
      <c r="I259" s="617"/>
      <c r="J259" s="617"/>
      <c r="K259" s="1694">
        <f>D259</f>
        <v>33951</v>
      </c>
      <c r="L259" s="481">
        <v>34900</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33951</v>
      </c>
      <c r="E261" s="617"/>
      <c r="F261" s="617"/>
      <c r="G261" s="617"/>
      <c r="H261" s="617"/>
      <c r="I261" s="617"/>
      <c r="J261" s="617"/>
      <c r="K261" s="1692">
        <f>SUM(K259:K260)</f>
        <v>33951</v>
      </c>
      <c r="L261" s="1692">
        <f>SUM(L259:L260)</f>
        <v>34900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0</v>
      </c>
      <c r="E263" s="617"/>
      <c r="F263" s="617"/>
      <c r="G263" s="617"/>
      <c r="H263" s="617"/>
      <c r="I263" s="617"/>
      <c r="J263" s="617"/>
      <c r="K263" s="1694">
        <f>D263</f>
        <v>0</v>
      </c>
      <c r="L263" s="481">
        <v>0</v>
      </c>
    </row>
    <row r="264" spans="1:14" x14ac:dyDescent="0.2">
      <c r="A264" s="1526" t="s">
        <v>483</v>
      </c>
      <c r="B264" s="686">
        <v>2520</v>
      </c>
      <c r="C264" s="617"/>
      <c r="D264" s="466">
        <v>2050</v>
      </c>
      <c r="E264" s="617"/>
      <c r="F264" s="617"/>
      <c r="G264" s="617"/>
      <c r="H264" s="617"/>
      <c r="I264" s="617"/>
      <c r="J264" s="617"/>
      <c r="K264" s="1694">
        <f t="shared" ref="K264:K269" si="22">D264</f>
        <v>2050</v>
      </c>
      <c r="L264" s="466">
        <v>2300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64753</v>
      </c>
      <c r="E266" s="617"/>
      <c r="F266" s="617"/>
      <c r="G266" s="617"/>
      <c r="H266" s="617"/>
      <c r="I266" s="617"/>
      <c r="J266" s="617"/>
      <c r="K266" s="1694">
        <f t="shared" si="22"/>
        <v>64753</v>
      </c>
      <c r="L266" s="466">
        <v>68100</v>
      </c>
    </row>
    <row r="267" spans="1:14" x14ac:dyDescent="0.2">
      <c r="A267" s="1526" t="s">
        <v>1010</v>
      </c>
      <c r="B267" s="615">
        <v>2550</v>
      </c>
      <c r="C267" s="617"/>
      <c r="D267" s="466">
        <v>1608</v>
      </c>
      <c r="E267" s="617"/>
      <c r="F267" s="617"/>
      <c r="G267" s="617"/>
      <c r="H267" s="617"/>
      <c r="I267" s="617"/>
      <c r="J267" s="617"/>
      <c r="K267" s="1694">
        <f t="shared" si="22"/>
        <v>1608</v>
      </c>
      <c r="L267" s="466">
        <v>200</v>
      </c>
    </row>
    <row r="268" spans="1:14" x14ac:dyDescent="0.2">
      <c r="A268" s="1526" t="s">
        <v>102</v>
      </c>
      <c r="B268" s="615">
        <v>2560</v>
      </c>
      <c r="C268" s="617"/>
      <c r="D268" s="466">
        <v>6353</v>
      </c>
      <c r="E268" s="617"/>
      <c r="F268" s="617"/>
      <c r="G268" s="617"/>
      <c r="H268" s="617"/>
      <c r="I268" s="617"/>
      <c r="J268" s="617"/>
      <c r="K268" s="1694">
        <f t="shared" si="22"/>
        <v>6353</v>
      </c>
      <c r="L268" s="466">
        <v>8200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74764</v>
      </c>
      <c r="E270" s="617"/>
      <c r="F270" s="617"/>
      <c r="G270" s="617"/>
      <c r="H270" s="617"/>
      <c r="I270" s="617"/>
      <c r="J270" s="617"/>
      <c r="K270" s="1692">
        <f>SUM(K263:K269)</f>
        <v>74764</v>
      </c>
      <c r="L270" s="1692">
        <f>SUM(L263:L269)</f>
        <v>78800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201720</v>
      </c>
      <c r="E279" s="617"/>
      <c r="F279" s="617"/>
      <c r="G279" s="617"/>
      <c r="H279" s="617"/>
      <c r="I279" s="617"/>
      <c r="J279" s="617"/>
      <c r="K279" s="1699">
        <f>SUM(K238,K243,K257,K261,K270,K277,K278)</f>
        <v>201720</v>
      </c>
      <c r="L279" s="1699">
        <f>SUM(L238,L243,L257,L261,L270,L277,L278)</f>
        <v>211000</v>
      </c>
    </row>
    <row r="280" spans="1:12" ht="15.75" customHeight="1" thickTop="1" thickBot="1" x14ac:dyDescent="0.25">
      <c r="A280" s="1646" t="s">
        <v>930</v>
      </c>
      <c r="B280" s="1635">
        <v>3000</v>
      </c>
      <c r="C280" s="617"/>
      <c r="D280" s="576">
        <v>12341</v>
      </c>
      <c r="E280" s="617"/>
      <c r="F280" s="617"/>
      <c r="G280" s="617"/>
      <c r="H280" s="617"/>
      <c r="I280" s="617"/>
      <c r="J280" s="617"/>
      <c r="K280" s="1701">
        <f>D280</f>
        <v>12341</v>
      </c>
      <c r="L280" s="576">
        <v>13200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v>0</v>
      </c>
      <c r="E282" s="617"/>
      <c r="F282" s="617"/>
      <c r="G282" s="617"/>
      <c r="H282" s="617"/>
      <c r="I282" s="617"/>
      <c r="J282" s="617"/>
      <c r="K282" s="1693">
        <f>D282</f>
        <v>0</v>
      </c>
      <c r="L282" s="467">
        <v>0</v>
      </c>
    </row>
    <row r="283" spans="1:12" x14ac:dyDescent="0.2">
      <c r="A283" s="1526" t="s">
        <v>322</v>
      </c>
      <c r="B283" s="615">
        <v>4120</v>
      </c>
      <c r="C283" s="617"/>
      <c r="D283" s="466">
        <v>42037</v>
      </c>
      <c r="E283" s="617"/>
      <c r="F283" s="617"/>
      <c r="G283" s="617"/>
      <c r="H283" s="617"/>
      <c r="I283" s="617"/>
      <c r="J283" s="617"/>
      <c r="K283" s="1693">
        <f>D283</f>
        <v>42037</v>
      </c>
      <c r="L283" s="466">
        <v>42100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42037</v>
      </c>
      <c r="E285" s="617"/>
      <c r="F285" s="617"/>
      <c r="G285" s="617"/>
      <c r="H285" s="617"/>
      <c r="I285" s="617"/>
      <c r="J285" s="617"/>
      <c r="K285" s="1692">
        <f>SUM(K282:K284)</f>
        <v>42037</v>
      </c>
      <c r="L285" s="1692">
        <f>SUM(L282:L284)</f>
        <v>42100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0" t="s">
        <v>526</v>
      </c>
      <c r="B295" s="2191"/>
      <c r="C295" s="617"/>
      <c r="D295" s="1692">
        <f>SUM(D229,D279,D280,D285)</f>
        <v>397634</v>
      </c>
      <c r="E295" s="617"/>
      <c r="F295" s="617"/>
      <c r="G295" s="617"/>
      <c r="H295" s="1692">
        <f>H293</f>
        <v>0</v>
      </c>
      <c r="I295" s="617"/>
      <c r="J295" s="617"/>
      <c r="K295" s="1692">
        <f>SUM(K229,K279,K280,K285,K293,K294)</f>
        <v>397634</v>
      </c>
      <c r="L295" s="1692">
        <f>SUM(L229,L279,L280,L285,L293,L294)</f>
        <v>405300</v>
      </c>
    </row>
    <row r="296" spans="1:14" ht="13.5" thickTop="1" x14ac:dyDescent="0.2">
      <c r="A296" s="2199" t="s">
        <v>1053</v>
      </c>
      <c r="B296" s="2200"/>
      <c r="C296" s="617"/>
      <c r="D296" s="619"/>
      <c r="E296" s="617"/>
      <c r="F296" s="617"/>
      <c r="G296" s="617"/>
      <c r="H296" s="688"/>
      <c r="I296" s="617"/>
      <c r="J296" s="617"/>
      <c r="K296" s="1706">
        <f>'Revenues 9-14'!G275-'Expenditures 15-22'!K295</f>
        <v>-15284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364723</v>
      </c>
      <c r="H301" s="466">
        <v>0</v>
      </c>
      <c r="I301" s="467">
        <v>0</v>
      </c>
      <c r="J301" s="467">
        <v>0</v>
      </c>
      <c r="K301" s="1693">
        <f>SUM(C301:J301)</f>
        <v>364723</v>
      </c>
      <c r="L301" s="467">
        <v>452000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364723</v>
      </c>
      <c r="H303" s="1699">
        <f t="shared" si="23"/>
        <v>0</v>
      </c>
      <c r="I303" s="1699">
        <f t="shared" si="23"/>
        <v>0</v>
      </c>
      <c r="J303" s="1699">
        <f t="shared" si="23"/>
        <v>0</v>
      </c>
      <c r="K303" s="1699">
        <f t="shared" si="23"/>
        <v>364723</v>
      </c>
      <c r="L303" s="1699">
        <f t="shared" si="23"/>
        <v>452000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364723</v>
      </c>
      <c r="H312" s="1692">
        <f>SUM(H303,H310)</f>
        <v>0</v>
      </c>
      <c r="I312" s="1692">
        <f>SUM(I303)</f>
        <v>0</v>
      </c>
      <c r="J312" s="1692">
        <f>SUM(J303)</f>
        <v>0</v>
      </c>
      <c r="K312" s="1692">
        <f>SUM(K303,K310,K311)</f>
        <v>364723</v>
      </c>
      <c r="L312" s="1692">
        <f>SUM(L303,L310,L311)</f>
        <v>452000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-363355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72572</v>
      </c>
      <c r="F320" s="467">
        <v>0</v>
      </c>
      <c r="G320" s="467">
        <v>0</v>
      </c>
      <c r="H320" s="467">
        <v>0</v>
      </c>
      <c r="I320" s="467">
        <v>0</v>
      </c>
      <c r="J320" s="467">
        <v>0</v>
      </c>
      <c r="K320" s="1693">
        <f t="shared" ref="K320:K327" si="24">SUM(C320:J320)</f>
        <v>72572</v>
      </c>
      <c r="L320" s="467">
        <v>72600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33689</v>
      </c>
      <c r="F322" s="467">
        <v>0</v>
      </c>
      <c r="G322" s="467">
        <v>0</v>
      </c>
      <c r="H322" s="467">
        <v>0</v>
      </c>
      <c r="I322" s="467">
        <v>0</v>
      </c>
      <c r="J322" s="467">
        <v>0</v>
      </c>
      <c r="K322" s="1693">
        <f t="shared" si="24"/>
        <v>33689</v>
      </c>
      <c r="L322" s="467">
        <v>38200</v>
      </c>
      <c r="M322" s="666"/>
      <c r="N322" s="666"/>
    </row>
    <row r="323" spans="1:14" s="675" customFormat="1" x14ac:dyDescent="0.2">
      <c r="A323" s="1541" t="s">
        <v>726</v>
      </c>
      <c r="B323" s="698" t="s">
        <v>303</v>
      </c>
      <c r="C323" s="467">
        <v>0</v>
      </c>
      <c r="D323" s="467">
        <v>0</v>
      </c>
      <c r="E323" s="467">
        <v>4500</v>
      </c>
      <c r="F323" s="467">
        <v>0</v>
      </c>
      <c r="G323" s="467">
        <v>0</v>
      </c>
      <c r="H323" s="467">
        <v>0</v>
      </c>
      <c r="I323" s="467">
        <v>0</v>
      </c>
      <c r="J323" s="467">
        <v>0</v>
      </c>
      <c r="K323" s="1693">
        <f t="shared" si="24"/>
        <v>4500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110761</v>
      </c>
      <c r="F330" s="1692">
        <f t="shared" si="25"/>
        <v>0</v>
      </c>
      <c r="G330" s="1692">
        <f t="shared" si="25"/>
        <v>0</v>
      </c>
      <c r="H330" s="1692">
        <f t="shared" si="25"/>
        <v>0</v>
      </c>
      <c r="I330" s="1692">
        <f t="shared" si="25"/>
        <v>0</v>
      </c>
      <c r="J330" s="1692">
        <f t="shared" si="25"/>
        <v>0</v>
      </c>
      <c r="K330" s="1692">
        <f>SUM(K319:K329)</f>
        <v>110761</v>
      </c>
      <c r="L330" s="1692">
        <f>SUM(L319:L329)</f>
        <v>110800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110761</v>
      </c>
      <c r="F342" s="1692">
        <f>SUM(F330)</f>
        <v>0</v>
      </c>
      <c r="G342" s="1692">
        <f>SUM(G330)</f>
        <v>0</v>
      </c>
      <c r="H342" s="1692">
        <f>SUM(H330,H334,H340)</f>
        <v>0</v>
      </c>
      <c r="I342" s="1692">
        <f>SUM(I330)</f>
        <v>0</v>
      </c>
      <c r="J342" s="1692">
        <f>SUM(J330)</f>
        <v>0</v>
      </c>
      <c r="K342" s="1692">
        <f>SUM(K330,K334,K340)</f>
        <v>110761</v>
      </c>
      <c r="L342" s="1699">
        <f>SUM(L330,L340,L341)</f>
        <v>110800</v>
      </c>
    </row>
    <row r="343" spans="1:14" ht="12.75" customHeight="1" thickTop="1" x14ac:dyDescent="0.2">
      <c r="A343" s="2185" t="s">
        <v>1053</v>
      </c>
      <c r="B343" s="2186"/>
      <c r="C343" s="617"/>
      <c r="D343" s="617"/>
      <c r="E343" s="617"/>
      <c r="F343" s="617"/>
      <c r="G343" s="617"/>
      <c r="H343" s="617"/>
      <c r="I343" s="617"/>
      <c r="J343" s="617"/>
      <c r="K343" s="1706">
        <f>'Revenues 9-14'!J275-'Expenditures 15-22'!K342</f>
        <v>-4692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9" t="s">
        <v>1053</v>
      </c>
      <c r="B368" s="2200"/>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tabSelected="1" defaultGridColor="0" colorId="8" zoomScale="110" zoomScaleNormal="110" workbookViewId="0">
      <selection sqref="A1:F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v>12990095</v>
      </c>
      <c r="C4" s="1546">
        <v>6941199</v>
      </c>
      <c r="D4" s="1774">
        <f>B4-C4</f>
        <v>6048896</v>
      </c>
      <c r="E4" s="1546">
        <v>12483576</v>
      </c>
      <c r="F4" s="1774">
        <f>E4-C4</f>
        <v>5542377</v>
      </c>
    </row>
    <row r="5" spans="1:6" ht="13.7" customHeight="1" x14ac:dyDescent="0.2">
      <c r="A5" s="716" t="s">
        <v>925</v>
      </c>
      <c r="B5" s="1772">
        <v>1320320</v>
      </c>
      <c r="C5" s="585">
        <v>759374</v>
      </c>
      <c r="D5" s="1775">
        <f t="shared" ref="D5:D18" si="0">B5-C5</f>
        <v>560946</v>
      </c>
      <c r="E5" s="585">
        <v>1365716</v>
      </c>
      <c r="F5" s="1775">
        <f>E5-C5</f>
        <v>606342</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v>647569</v>
      </c>
      <c r="C7" s="585">
        <v>352570.17</v>
      </c>
      <c r="D7" s="1775">
        <f t="shared" si="0"/>
        <v>294998.83</v>
      </c>
      <c r="E7" s="585">
        <v>634089</v>
      </c>
      <c r="F7" s="1775">
        <f t="shared" si="1"/>
        <v>281518.83</v>
      </c>
    </row>
    <row r="8" spans="1:6" ht="13.7" customHeight="1" x14ac:dyDescent="0.2">
      <c r="A8" s="716" t="s">
        <v>1241</v>
      </c>
      <c r="B8" s="1772">
        <v>125257</v>
      </c>
      <c r="C8" s="585">
        <v>66724</v>
      </c>
      <c r="D8" s="1775">
        <f t="shared" si="0"/>
        <v>58533</v>
      </c>
      <c r="E8" s="585">
        <v>120001</v>
      </c>
      <c r="F8" s="1775">
        <f t="shared" si="1"/>
        <v>53277</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v>106645</v>
      </c>
      <c r="C11" s="585">
        <v>55605</v>
      </c>
      <c r="D11" s="1775">
        <f t="shared" si="0"/>
        <v>51040</v>
      </c>
      <c r="E11" s="585">
        <v>100003</v>
      </c>
      <c r="F11" s="1775">
        <f t="shared" si="1"/>
        <v>44398</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v>167986</v>
      </c>
      <c r="C16" s="585">
        <v>100087</v>
      </c>
      <c r="D16" s="1775">
        <f t="shared" si="0"/>
        <v>67899</v>
      </c>
      <c r="E16" s="585">
        <v>180004</v>
      </c>
      <c r="F16" s="1775">
        <f t="shared" si="1"/>
        <v>79917</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v>43312</v>
      </c>
      <c r="C18" s="585">
        <v>22823</v>
      </c>
      <c r="D18" s="1775">
        <f t="shared" si="0"/>
        <v>20489</v>
      </c>
      <c r="E18" s="585">
        <v>41047</v>
      </c>
      <c r="F18" s="1775">
        <f t="shared" si="1"/>
        <v>18224</v>
      </c>
    </row>
    <row r="19" spans="1:6" ht="13.7" customHeight="1" thickBot="1" x14ac:dyDescent="0.25">
      <c r="A19" s="1776" t="s">
        <v>1223</v>
      </c>
      <c r="B19" s="1773">
        <f>SUM(B4:B18)</f>
        <v>15401184</v>
      </c>
      <c r="C19" s="1773">
        <f>SUM(C4:C18)</f>
        <v>8298382.1699999999</v>
      </c>
      <c r="D19" s="1773">
        <f>SUM(D4:D18)</f>
        <v>7102801.8300000001</v>
      </c>
      <c r="E19" s="1773">
        <f>SUM(E4:E18)</f>
        <v>14924436</v>
      </c>
      <c r="F19" s="1773">
        <f>SUM(F4:F18)</f>
        <v>6626053.8300000001</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tabSelected="1" defaultGridColor="0" topLeftCell="A16" colorId="8" zoomScale="110" zoomScaleNormal="110" workbookViewId="0">
      <selection sqref="A1:F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8" t="s">
        <v>2038</v>
      </c>
      <c r="D2" s="724" t="s">
        <v>2045</v>
      </c>
      <c r="E2" s="724" t="s">
        <v>2046</v>
      </c>
      <c r="F2" s="1908" t="s">
        <v>2039</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t="s">
        <v>2077</v>
      </c>
      <c r="B31" s="734">
        <v>39203</v>
      </c>
      <c r="C31" s="735">
        <v>1650000</v>
      </c>
      <c r="D31" s="736">
        <v>7</v>
      </c>
      <c r="E31" s="735">
        <v>200000</v>
      </c>
      <c r="F31" s="735"/>
      <c r="G31" s="735"/>
      <c r="H31" s="735">
        <v>200000</v>
      </c>
      <c r="I31" s="1778">
        <f>((E31+F31)-H31)+G31</f>
        <v>0</v>
      </c>
      <c r="J31" s="735">
        <v>0</v>
      </c>
      <c r="K31" s="737"/>
    </row>
    <row r="32" spans="1:11" ht="12" customHeight="1" x14ac:dyDescent="0.2">
      <c r="A32" s="733" t="s">
        <v>2078</v>
      </c>
      <c r="B32" s="734">
        <v>42535</v>
      </c>
      <c r="C32" s="735">
        <v>1500000</v>
      </c>
      <c r="D32" s="736">
        <v>7</v>
      </c>
      <c r="E32" s="735">
        <v>1200000</v>
      </c>
      <c r="F32" s="735"/>
      <c r="G32" s="735"/>
      <c r="H32" s="735">
        <v>295000</v>
      </c>
      <c r="I32" s="1778">
        <f>((E32+F32)-H32)+G32</f>
        <v>905000</v>
      </c>
      <c r="J32" s="735">
        <f>905000-1767</f>
        <v>903233</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3150000</v>
      </c>
      <c r="D49" s="746"/>
      <c r="E49" s="1778">
        <f t="shared" ref="E49:J49" si="2">SUM(E31:E48)</f>
        <v>1400000</v>
      </c>
      <c r="F49" s="1778">
        <f t="shared" si="2"/>
        <v>0</v>
      </c>
      <c r="G49" s="1778">
        <f t="shared" si="2"/>
        <v>0</v>
      </c>
      <c r="H49" s="1778">
        <f t="shared" si="2"/>
        <v>495000</v>
      </c>
      <c r="I49" s="1778">
        <f t="shared" si="2"/>
        <v>905000</v>
      </c>
      <c r="J49" s="1778">
        <f t="shared" si="2"/>
        <v>903233</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t="s">
        <v>2096</v>
      </c>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tabSelected="1" defaultGridColor="0" colorId="8" zoomScale="110" zoomScaleNormal="110"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0</v>
      </c>
      <c r="I12" s="1780">
        <f>SUM(I5:I11)</f>
        <v>0</v>
      </c>
      <c r="J12" s="1780">
        <f>SUM(J5:J11)</f>
        <v>0</v>
      </c>
      <c r="K12" s="1780">
        <f>SUM(K5:K11)</f>
        <v>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c r="I14" s="772"/>
      <c r="J14" s="774"/>
      <c r="K14" s="766"/>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0</v>
      </c>
      <c r="I23" s="1780">
        <f>SUM(I14:I16,I21,I22)</f>
        <v>0</v>
      </c>
      <c r="J23" s="1780">
        <f>SUM(J14:J16,J21,J22)</f>
        <v>0</v>
      </c>
      <c r="K23" s="1780">
        <f>SUM(K14:K16,K21,K22)</f>
        <v>0</v>
      </c>
    </row>
    <row r="24" spans="1:11" ht="14.25" thickTop="1" thickBot="1" x14ac:dyDescent="0.25">
      <c r="A24" s="2253" t="s">
        <v>2026</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t="s">
        <v>2080</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tabSelected="1" defaultGridColor="0" colorId="8" zoomScale="110" zoomScaleNormal="110" workbookViewId="0">
      <selection sqref="A1:F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57497</v>
      </c>
      <c r="D5" s="842"/>
      <c r="E5" s="842"/>
      <c r="F5" s="1782">
        <f>(C5+D5)-E5</f>
        <v>57497</v>
      </c>
      <c r="G5" s="838"/>
      <c r="H5" s="843"/>
      <c r="I5" s="843"/>
      <c r="J5" s="843"/>
      <c r="K5" s="794"/>
      <c r="L5" s="1791">
        <f>F5-K5</f>
        <v>57497</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25366602</v>
      </c>
      <c r="D8" s="845">
        <v>371148</v>
      </c>
      <c r="E8" s="845"/>
      <c r="F8" s="1782">
        <f>(C8+D8)-E8</f>
        <v>25737750</v>
      </c>
      <c r="G8" s="844">
        <v>50</v>
      </c>
      <c r="H8" s="766">
        <v>4444142</v>
      </c>
      <c r="I8" s="766">
        <v>511301</v>
      </c>
      <c r="J8" s="766"/>
      <c r="K8" s="1791">
        <f>(H8+I8)-J8</f>
        <v>4955443</v>
      </c>
      <c r="L8" s="1791">
        <f>F8-K8</f>
        <v>20782307</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506084</v>
      </c>
      <c r="D10" s="847"/>
      <c r="E10" s="847"/>
      <c r="F10" s="1786">
        <f>(C10+D10)-E10</f>
        <v>506084</v>
      </c>
      <c r="G10" s="844">
        <v>20</v>
      </c>
      <c r="H10" s="848">
        <v>226814</v>
      </c>
      <c r="I10" s="848">
        <v>17605</v>
      </c>
      <c r="J10" s="848"/>
      <c r="K10" s="1791">
        <f>(H10+I10)-J10</f>
        <v>244419</v>
      </c>
      <c r="L10" s="1791">
        <f>F10-K10</f>
        <v>261665</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2684112</v>
      </c>
      <c r="D12" s="845">
        <v>6068</v>
      </c>
      <c r="E12" s="845"/>
      <c r="F12" s="1782">
        <f>(C12+D12)-E12</f>
        <v>2690180</v>
      </c>
      <c r="G12" s="844">
        <v>10</v>
      </c>
      <c r="H12" s="766">
        <v>1853134</v>
      </c>
      <c r="I12" s="766">
        <v>247049</v>
      </c>
      <c r="J12" s="766"/>
      <c r="K12" s="1791">
        <f>(H12+I12)-J12</f>
        <v>2100183</v>
      </c>
      <c r="L12" s="1791">
        <f>F12-K12</f>
        <v>589997</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28614295</v>
      </c>
      <c r="D16" s="1782">
        <f>SUM(D3,D5:D6,D8:D10,D12:D15)</f>
        <v>377216</v>
      </c>
      <c r="E16" s="1782">
        <f>SUM(E3,E5:E6,E8:E10,E12:E15)</f>
        <v>0</v>
      </c>
      <c r="F16" s="1782">
        <f>SUM(F3,F5:F6,F8:F10,F12:F15)</f>
        <v>28991511</v>
      </c>
      <c r="G16" s="844"/>
      <c r="H16" s="1782">
        <f>SUM(H3,H6,H8:H10,H12:H14,)</f>
        <v>6524090</v>
      </c>
      <c r="I16" s="1782">
        <f>SUM(I3,I6,I8:I10,I12:I14,)</f>
        <v>775955</v>
      </c>
      <c r="J16" s="1782">
        <f>SUM(J3,J6,J8:J10,J12:J14,)</f>
        <v>0</v>
      </c>
      <c r="K16" s="1782">
        <f>(H16+I16)-J16</f>
        <v>7300045</v>
      </c>
      <c r="L16" s="1782">
        <f>F16-K16</f>
        <v>21691466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160037</v>
      </c>
      <c r="G17" s="838">
        <v>10</v>
      </c>
      <c r="H17" s="770"/>
      <c r="I17" s="1791">
        <f>F17/G17</f>
        <v>16003.7</v>
      </c>
      <c r="J17" s="770"/>
      <c r="K17" s="796"/>
      <c r="L17" s="796"/>
    </row>
    <row r="18" spans="1:12" ht="14.25" thickTop="1" thickBot="1" x14ac:dyDescent="0.25">
      <c r="A18" s="1789" t="s">
        <v>706</v>
      </c>
      <c r="B18" s="1790"/>
      <c r="C18" s="772"/>
      <c r="D18" s="772"/>
      <c r="E18" s="772"/>
      <c r="F18" s="851"/>
      <c r="G18" s="852"/>
      <c r="H18" s="774"/>
      <c r="I18" s="1782">
        <f>SUM(I16,I17)</f>
        <v>791958.7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tabSelected="1" defaultGridColor="0" colorId="8" zoomScale="110" zoomScaleNormal="110" workbookViewId="0">
      <pane ySplit="5" topLeftCell="A126" activePane="bottomLeft" state="frozen"/>
      <selection sqref="A1:F1"/>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12120780</v>
      </c>
      <c r="G8" s="866"/>
    </row>
    <row r="9" spans="1:7" x14ac:dyDescent="0.2">
      <c r="A9" s="870" t="s">
        <v>480</v>
      </c>
      <c r="B9" s="871" t="s">
        <v>1989</v>
      </c>
      <c r="C9" s="872"/>
      <c r="D9" s="870" t="s">
        <v>522</v>
      </c>
      <c r="E9" s="869"/>
      <c r="F9" s="1934">
        <f>'Expenditures 15-22'!K151</f>
        <v>1002787</v>
      </c>
      <c r="G9" s="873"/>
    </row>
    <row r="10" spans="1:7" x14ac:dyDescent="0.2">
      <c r="A10" s="870" t="s">
        <v>520</v>
      </c>
      <c r="B10" s="871" t="s">
        <v>1990</v>
      </c>
      <c r="C10" s="872"/>
      <c r="D10" s="870" t="s">
        <v>522</v>
      </c>
      <c r="E10" s="869"/>
      <c r="F10" s="1934">
        <f>'Expenditures 15-22'!K174</f>
        <v>511178</v>
      </c>
      <c r="G10" s="873"/>
    </row>
    <row r="11" spans="1:7" x14ac:dyDescent="0.2">
      <c r="A11" s="870" t="s">
        <v>481</v>
      </c>
      <c r="B11" s="871" t="s">
        <v>1991</v>
      </c>
      <c r="C11" s="872"/>
      <c r="D11" s="870" t="s">
        <v>522</v>
      </c>
      <c r="E11" s="869"/>
      <c r="F11" s="1934">
        <f>'Expenditures 15-22'!K210</f>
        <v>725250</v>
      </c>
      <c r="G11" s="873"/>
    </row>
    <row r="12" spans="1:7" x14ac:dyDescent="0.2">
      <c r="A12" s="870" t="s">
        <v>482</v>
      </c>
      <c r="B12" s="871" t="s">
        <v>1992</v>
      </c>
      <c r="C12" s="872"/>
      <c r="D12" s="870" t="s">
        <v>522</v>
      </c>
      <c r="E12" s="869"/>
      <c r="F12" s="1934">
        <f>'Expenditures 15-22'!K295</f>
        <v>397634</v>
      </c>
      <c r="G12" s="873"/>
    </row>
    <row r="13" spans="1:7" x14ac:dyDescent="0.2">
      <c r="A13" s="870" t="s">
        <v>108</v>
      </c>
      <c r="B13" s="871" t="s">
        <v>1993</v>
      </c>
      <c r="C13" s="872"/>
      <c r="D13" s="870" t="s">
        <v>522</v>
      </c>
      <c r="E13" s="869"/>
      <c r="F13" s="1934">
        <f>'Expenditures 15-22'!K342</f>
        <v>110761</v>
      </c>
      <c r="G13" s="874"/>
    </row>
    <row r="14" spans="1:7" ht="12" customHeight="1" thickBot="1" x14ac:dyDescent="0.25">
      <c r="A14" s="1792"/>
      <c r="B14" s="1793"/>
      <c r="C14" s="1794"/>
      <c r="D14" s="1795" t="s">
        <v>522</v>
      </c>
      <c r="E14" s="1796" t="s">
        <v>1015</v>
      </c>
      <c r="F14" s="1797">
        <f>SUM(F8:F13)</f>
        <v>14868390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61878</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100128</v>
      </c>
      <c r="G52" s="866"/>
    </row>
    <row r="53" spans="1:7" x14ac:dyDescent="0.2">
      <c r="A53" s="870" t="s">
        <v>479</v>
      </c>
      <c r="B53" s="870" t="s">
        <v>1551</v>
      </c>
      <c r="C53" s="890">
        <f>'Expenditures 15-22'!B102</f>
        <v>4000</v>
      </c>
      <c r="D53" s="889" t="str">
        <f>'Expenditures 15-22'!A102</f>
        <v>Total Payments to Other Govt Units</v>
      </c>
      <c r="E53" s="869"/>
      <c r="F53" s="1938">
        <f>'Expenditures 15-22'!K102</f>
        <v>392017</v>
      </c>
      <c r="G53" s="866"/>
    </row>
    <row r="54" spans="1:7" x14ac:dyDescent="0.2">
      <c r="A54" s="870" t="s">
        <v>479</v>
      </c>
      <c r="B54" s="870" t="s">
        <v>1552</v>
      </c>
      <c r="C54" s="890" t="s">
        <v>1039</v>
      </c>
      <c r="D54" s="886" t="s">
        <v>1157</v>
      </c>
      <c r="E54" s="869"/>
      <c r="F54" s="1938">
        <f>'Expenditures 15-22'!G114</f>
        <v>6068</v>
      </c>
      <c r="G54" s="866"/>
    </row>
    <row r="55" spans="1:7" x14ac:dyDescent="0.2">
      <c r="A55" s="870" t="s">
        <v>479</v>
      </c>
      <c r="B55" s="870" t="s">
        <v>1553</v>
      </c>
      <c r="C55" s="890" t="s">
        <v>1039</v>
      </c>
      <c r="D55" s="886" t="s">
        <v>309</v>
      </c>
      <c r="E55" s="869"/>
      <c r="F55" s="1938">
        <f>'Expenditures 15-22'!I114</f>
        <v>155704</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45880</v>
      </c>
      <c r="G57" s="866"/>
    </row>
    <row r="58" spans="1:7" x14ac:dyDescent="0.2">
      <c r="A58" s="870" t="s">
        <v>480</v>
      </c>
      <c r="B58" s="870" t="s">
        <v>1995</v>
      </c>
      <c r="C58" s="887" t="s">
        <v>1039</v>
      </c>
      <c r="D58" s="886" t="s">
        <v>1157</v>
      </c>
      <c r="E58" s="869"/>
      <c r="F58" s="1940">
        <f>'Expenditures 15-22'!G151</f>
        <v>6425</v>
      </c>
      <c r="G58" s="866"/>
    </row>
    <row r="59" spans="1:7" x14ac:dyDescent="0.2">
      <c r="A59" s="894" t="s">
        <v>480</v>
      </c>
      <c r="B59" s="857" t="s">
        <v>1996</v>
      </c>
      <c r="C59" s="895" t="s">
        <v>1039</v>
      </c>
      <c r="D59" s="857" t="s">
        <v>309</v>
      </c>
      <c r="F59" s="1941">
        <f>'Expenditures 15-22'!I151</f>
        <v>4333</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495000</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0</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12341</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42037</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1321811</v>
      </c>
      <c r="G76" s="866"/>
    </row>
    <row r="77" spans="1:8" s="894" customFormat="1" ht="12" customHeight="1" thickTop="1" thickBot="1" x14ac:dyDescent="0.25">
      <c r="A77" s="1801"/>
      <c r="B77" s="1798"/>
      <c r="C77" s="1794"/>
      <c r="D77" s="1799" t="s">
        <v>2012</v>
      </c>
      <c r="E77" s="1796"/>
      <c r="F77" s="1802">
        <f>(F14-F76)</f>
        <v>13546579</v>
      </c>
      <c r="G77" s="870"/>
    </row>
    <row r="78" spans="1:8" s="894" customFormat="1" ht="12" customHeight="1" thickTop="1" x14ac:dyDescent="0.2">
      <c r="A78" s="1803"/>
      <c r="B78" s="1798"/>
      <c r="C78" s="1794"/>
      <c r="D78" s="1799" t="s">
        <v>2059</v>
      </c>
      <c r="E78" s="1796"/>
      <c r="F78" s="899">
        <v>872.62</v>
      </c>
      <c r="G78" s="900"/>
      <c r="H78" s="870"/>
    </row>
    <row r="79" spans="1:8" s="894" customFormat="1" ht="12" customHeight="1" thickBot="1" x14ac:dyDescent="0.25">
      <c r="A79" s="1804"/>
      <c r="B79" s="1798"/>
      <c r="C79" s="1794"/>
      <c r="D79" s="1799" t="s">
        <v>2013</v>
      </c>
      <c r="E79" s="1796" t="s">
        <v>1015</v>
      </c>
      <c r="F79" s="1805">
        <f>IF(F78&gt;0,F77/F78," Complete Line 78")</f>
        <v>15524.029932845911</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2708</v>
      </c>
      <c r="G94" s="913"/>
    </row>
    <row r="95" spans="1:7" x14ac:dyDescent="0.2">
      <c r="A95" s="909" t="s">
        <v>142</v>
      </c>
      <c r="B95" s="909" t="s">
        <v>177</v>
      </c>
      <c r="C95" s="911">
        <v>1700</v>
      </c>
      <c r="D95" s="919" t="str">
        <f>'Revenues 9-14'!A82</f>
        <v>Total District/School Activity Income</v>
      </c>
      <c r="E95" s="907"/>
      <c r="F95" s="1811">
        <f>SUM('Revenues 9-14'!C82,'Revenues 9-14'!D82)</f>
        <v>70432</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34511</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267056</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12186</v>
      </c>
      <c r="G129" s="931"/>
    </row>
    <row r="130" spans="1:7" x14ac:dyDescent="0.2">
      <c r="A130" s="928" t="s">
        <v>689</v>
      </c>
      <c r="B130" s="928" t="s">
        <v>804</v>
      </c>
      <c r="C130" s="933">
        <v>4300</v>
      </c>
      <c r="D130" s="934" t="str">
        <f>'Revenues 9-14'!A211</f>
        <v>Total Title I</v>
      </c>
      <c r="E130" s="907"/>
      <c r="F130" s="1811">
        <f>SUM('Revenues 9-14'!C211,'Revenues 9-14'!D211,'Revenues 9-14'!F211,'Revenues 9-14'!G211)</f>
        <v>8357</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114059</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2058</v>
      </c>
      <c r="C175" s="1945">
        <v>3100</v>
      </c>
      <c r="D175" s="1946" t="s">
        <v>2061</v>
      </c>
      <c r="E175" s="907"/>
      <c r="F175" s="1930">
        <v>89116</v>
      </c>
      <c r="G175" s="928"/>
    </row>
    <row r="176" spans="1:7" x14ac:dyDescent="0.2">
      <c r="A176" s="1943" t="s">
        <v>685</v>
      </c>
      <c r="B176" s="1944" t="s">
        <v>2058</v>
      </c>
      <c r="C176" s="1945">
        <v>3300</v>
      </c>
      <c r="D176" s="1946" t="s">
        <v>2062</v>
      </c>
      <c r="E176" s="907"/>
      <c r="F176" s="1930">
        <v>25</v>
      </c>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599950</v>
      </c>
    </row>
    <row r="179" spans="1:7" ht="12" customHeight="1" x14ac:dyDescent="0.2">
      <c r="A179" s="1792"/>
      <c r="B179" s="1806"/>
      <c r="C179" s="1807"/>
      <c r="D179" s="1808" t="s">
        <v>2015</v>
      </c>
      <c r="E179" s="1809"/>
      <c r="F179" s="1811">
        <f>'PCTC-OEPP 27-28'!F77-F178</f>
        <v>12946629</v>
      </c>
    </row>
    <row r="180" spans="1:7" ht="12" customHeight="1" x14ac:dyDescent="0.2">
      <c r="A180" s="1792"/>
      <c r="B180" s="1806"/>
      <c r="C180" s="1807"/>
      <c r="D180" s="1808" t="s">
        <v>1924</v>
      </c>
      <c r="E180" s="1809"/>
      <c r="F180" s="1811">
        <f>'Cap Outlay Deprec 26'!I18</f>
        <v>791958.7</v>
      </c>
    </row>
    <row r="181" spans="1:7" ht="12" customHeight="1" x14ac:dyDescent="0.2">
      <c r="A181" s="1792"/>
      <c r="B181" s="1806"/>
      <c r="C181" s="1807"/>
      <c r="D181" s="1808" t="s">
        <v>2016</v>
      </c>
      <c r="E181" s="1809"/>
      <c r="F181" s="1811">
        <f>F179+F180</f>
        <v>13738587.699999999</v>
      </c>
    </row>
    <row r="182" spans="1:7" ht="12" customHeight="1" x14ac:dyDescent="0.2">
      <c r="A182" s="1792"/>
      <c r="B182" s="1812"/>
      <c r="C182" s="1807"/>
      <c r="D182" s="1808" t="str">
        <f>D78</f>
        <v>9 Month ADA from District Average Daily Attendance/Prior General State Aid Inquiry 2017-2018</v>
      </c>
      <c r="E182" s="1809"/>
      <c r="F182" s="1813">
        <f>'PCTC-OEPP 27-28'!F78</f>
        <v>872.62</v>
      </c>
      <c r="G182" s="931"/>
    </row>
    <row r="183" spans="1:7" ht="12" customHeight="1" thickBot="1" x14ac:dyDescent="0.25">
      <c r="A183" s="1792"/>
      <c r="B183" s="1812"/>
      <c r="C183" s="1807"/>
      <c r="D183" s="1808" t="s">
        <v>2017</v>
      </c>
      <c r="E183" s="1809" t="s">
        <v>1626</v>
      </c>
      <c r="F183" s="1814">
        <f>F181/F182</f>
        <v>15744.066947812335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abSelected="1" topLeftCell="A13" workbookViewId="0">
      <selection sqref="A1:F1"/>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2114</v>
      </c>
      <c r="B17" s="1958" t="s">
        <v>2133</v>
      </c>
      <c r="C17" s="1957" t="s">
        <v>2121</v>
      </c>
      <c r="D17" s="1867">
        <v>35678</v>
      </c>
      <c r="E17" s="1562">
        <f t="shared" ref="E17:E141" si="1">IF(D17&lt;=25000,D17,IF(D17&gt;25000,25000,0))</f>
        <v>25000</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6">
        <f>IF(F17=0,0,D17-F17)</f>
        <v>0</v>
      </c>
      <c r="H17" s="1669"/>
    </row>
    <row r="18" spans="1:8" ht="30" x14ac:dyDescent="0.25">
      <c r="A18" s="1956" t="s">
        <v>2115</v>
      </c>
      <c r="B18" s="1958" t="s">
        <v>2130</v>
      </c>
      <c r="C18" s="1957" t="s">
        <v>2122</v>
      </c>
      <c r="D18" s="1867">
        <v>30872</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5872</v>
      </c>
    </row>
    <row r="19" spans="1:8" x14ac:dyDescent="0.25">
      <c r="A19" s="1956" t="s">
        <v>2116</v>
      </c>
      <c r="B19" s="1958" t="s">
        <v>2131</v>
      </c>
      <c r="C19" s="1957" t="s">
        <v>2123</v>
      </c>
      <c r="D19" s="1867">
        <v>55129</v>
      </c>
      <c r="E19" s="1562">
        <f t="shared" si="2"/>
        <v>25000</v>
      </c>
      <c r="F19" s="1815">
        <f t="shared" si="3"/>
        <v>25000</v>
      </c>
      <c r="G19" s="1816">
        <f t="shared" si="4"/>
        <v>30129</v>
      </c>
    </row>
    <row r="20" spans="1:8" x14ac:dyDescent="0.25">
      <c r="A20" s="1956" t="s">
        <v>2117</v>
      </c>
      <c r="B20" s="2505" t="s">
        <v>2140</v>
      </c>
      <c r="C20" s="1957" t="s">
        <v>2124</v>
      </c>
      <c r="D20" s="1867">
        <v>40707</v>
      </c>
      <c r="E20" s="1562">
        <f t="shared" si="2"/>
        <v>25000</v>
      </c>
      <c r="F20" s="1815">
        <f t="shared" si="3"/>
        <v>25000</v>
      </c>
      <c r="G20" s="1816">
        <f t="shared" si="4"/>
        <v>15707</v>
      </c>
    </row>
    <row r="21" spans="1:8" ht="30" x14ac:dyDescent="0.25">
      <c r="A21" s="1956" t="s">
        <v>2118</v>
      </c>
      <c r="B21" s="1958" t="s">
        <v>2132</v>
      </c>
      <c r="C21" s="1957" t="s">
        <v>2125</v>
      </c>
      <c r="D21" s="1867">
        <v>733302</v>
      </c>
      <c r="E21" s="1562">
        <f t="shared" si="2"/>
        <v>25000</v>
      </c>
      <c r="F21" s="1815">
        <f t="shared" si="3"/>
        <v>25000</v>
      </c>
      <c r="G21" s="1816">
        <f t="shared" si="4"/>
        <v>708302</v>
      </c>
    </row>
    <row r="22" spans="1:8" x14ac:dyDescent="0.25">
      <c r="A22" s="1956" t="s">
        <v>2119</v>
      </c>
      <c r="B22" s="2505" t="s">
        <v>2140</v>
      </c>
      <c r="C22" s="1957" t="s">
        <v>2126</v>
      </c>
      <c r="D22" s="1867">
        <v>35000</v>
      </c>
      <c r="E22" s="1562">
        <f t="shared" si="2"/>
        <v>25000</v>
      </c>
      <c r="F22" s="1815">
        <f t="shared" si="3"/>
        <v>25000</v>
      </c>
      <c r="G22" s="1816">
        <f t="shared" si="4"/>
        <v>10000</v>
      </c>
    </row>
    <row r="23" spans="1:8" ht="30" x14ac:dyDescent="0.25">
      <c r="A23" s="1956" t="s">
        <v>2120</v>
      </c>
      <c r="B23" s="2505" t="s">
        <v>2141</v>
      </c>
      <c r="C23" s="1957" t="s">
        <v>2127</v>
      </c>
      <c r="D23" s="1867">
        <v>48475</v>
      </c>
      <c r="E23" s="1562">
        <f t="shared" si="2"/>
        <v>25000</v>
      </c>
      <c r="F23" s="1815">
        <f t="shared" si="3"/>
        <v>0</v>
      </c>
      <c r="G23" s="1816">
        <f t="shared" si="4"/>
        <v>0</v>
      </c>
    </row>
    <row r="24" spans="1:8" x14ac:dyDescent="0.25">
      <c r="A24" s="1956" t="s">
        <v>2116</v>
      </c>
      <c r="B24" s="1958" t="s">
        <v>2131</v>
      </c>
      <c r="C24" s="1957" t="s">
        <v>2128</v>
      </c>
      <c r="D24" s="1867">
        <v>150521</v>
      </c>
      <c r="E24" s="1562">
        <f t="shared" si="2"/>
        <v>25000</v>
      </c>
      <c r="F24" s="1815">
        <f t="shared" si="3"/>
        <v>25000</v>
      </c>
      <c r="G24" s="1816">
        <f t="shared" si="4"/>
        <v>125521</v>
      </c>
    </row>
    <row r="25" spans="1:8" ht="30" x14ac:dyDescent="0.25">
      <c r="A25" s="1956" t="s">
        <v>2115</v>
      </c>
      <c r="B25" s="1958" t="s">
        <v>2130</v>
      </c>
      <c r="C25" s="1957" t="s">
        <v>2129</v>
      </c>
      <c r="D25" s="1867">
        <v>25295</v>
      </c>
      <c r="E25" s="1562">
        <f t="shared" si="2"/>
        <v>25000</v>
      </c>
      <c r="F25" s="1815">
        <f t="shared" si="3"/>
        <v>25000</v>
      </c>
      <c r="G25" s="1816">
        <f t="shared" si="4"/>
        <v>295</v>
      </c>
    </row>
    <row r="26" spans="1:8" x14ac:dyDescent="0.25">
      <c r="A26" s="1675"/>
      <c r="B26" s="1868"/>
      <c r="C26" s="1676"/>
      <c r="D26" s="1867"/>
      <c r="E26" s="1562">
        <f t="shared" si="2"/>
        <v>0</v>
      </c>
      <c r="F26" s="1815">
        <f t="shared" si="3"/>
        <v>0</v>
      </c>
      <c r="G26" s="1816">
        <f t="shared" si="4"/>
        <v>0</v>
      </c>
    </row>
    <row r="27" spans="1:8" x14ac:dyDescent="0.25">
      <c r="A27" s="1675"/>
      <c r="B27" s="1868"/>
      <c r="C27" s="1676"/>
      <c r="D27" s="1867"/>
      <c r="E27" s="1562">
        <f t="shared" si="2"/>
        <v>0</v>
      </c>
      <c r="F27" s="1815">
        <f t="shared" si="3"/>
        <v>0</v>
      </c>
      <c r="G27" s="1816">
        <f t="shared" si="4"/>
        <v>0</v>
      </c>
    </row>
    <row r="28" spans="1:8" x14ac:dyDescent="0.25">
      <c r="A28" s="1675"/>
      <c r="B28" s="1868"/>
      <c r="C28" s="1676"/>
      <c r="D28" s="1867"/>
      <c r="E28" s="1562">
        <f t="shared" si="2"/>
        <v>0</v>
      </c>
      <c r="F28" s="1815">
        <f t="shared" si="3"/>
        <v>0</v>
      </c>
      <c r="G28" s="1816">
        <f t="shared" si="4"/>
        <v>0</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1154979</v>
      </c>
      <c r="E141" s="1563">
        <f t="shared" si="1"/>
        <v>25000</v>
      </c>
      <c r="F141" s="1817">
        <f>SUM(F17:F140)</f>
        <v>175000</v>
      </c>
      <c r="G141" s="1818">
        <f>SUM(G17:G140)</f>
        <v>895826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tabSelected="1" defaultGridColor="0" colorId="8" zoomScale="110" zoomScaleNormal="11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5" t="s">
        <v>1945</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8201794</v>
      </c>
      <c r="F19" s="1822"/>
      <c r="G19" s="1824">
        <f>'Expenditures 15-22'!K33-SUM('Expenditures 15-22'!G33,'Expenditures 15-22'!I33)+'Expenditures 15-22'!D229</f>
        <v>8201794</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782732</v>
      </c>
      <c r="F21" s="1825"/>
      <c r="G21" s="1828">
        <f>'Expenditures 15-22'!K42-SUM('Expenditures 15-22'!G42,'Expenditures 15-22'!I42)+'Expenditures 15-22'!K120-SUM('Expenditures 15-22'!G120,'Expenditures 15-22'!I120)+'Expenditures 15-22'!K180-SUM('Expenditures 15-22'!G180,'Expenditures 15-22'!I180)+'Expenditures 15-22'!D238</f>
        <v>782732</v>
      </c>
      <c r="H21" s="988"/>
      <c r="I21" s="162"/>
    </row>
    <row r="22" spans="1:9" s="669" customFormat="1" ht="12" customHeight="1" x14ac:dyDescent="0.2">
      <c r="A22" s="995" t="s">
        <v>585</v>
      </c>
      <c r="B22" s="996"/>
      <c r="C22" s="994">
        <v>2200</v>
      </c>
      <c r="D22" s="1825"/>
      <c r="E22" s="1827">
        <f>'Expenditures 15-22'!K47-SUM('Expenditures 15-22'!G47,'Expenditures 15-22'!I47)+'Expenditures 15-22'!D243</f>
        <v>1279894</v>
      </c>
      <c r="F22" s="1825"/>
      <c r="G22" s="1828">
        <f>'Expenditures 15-22'!K47-SUM('Expenditures 15-22'!G47,'Expenditures 15-22'!I47)+'Expenditures 15-22'!D243</f>
        <v>1279894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554042</v>
      </c>
      <c r="F23" s="1825"/>
      <c r="G23" s="1827">
        <f>'Expenditures 15-22'!K53-SUM('Expenditures 15-22'!G53,'Expenditures 15-22'!I53)+'Expenditures 15-22'!D257+'Expenditures 15-22'!K330-SUM('Expenditures 15-22'!G330,'Expenditures 15-22'!I330)</f>
        <v>554042</v>
      </c>
      <c r="H23" s="988"/>
      <c r="I23" s="162"/>
    </row>
    <row r="24" spans="1:9" s="669" customFormat="1" ht="12" customHeight="1" x14ac:dyDescent="0.2">
      <c r="A24" s="995" t="s">
        <v>587</v>
      </c>
      <c r="B24" s="996"/>
      <c r="C24" s="994">
        <v>2400</v>
      </c>
      <c r="D24" s="1825"/>
      <c r="E24" s="1827">
        <f>'Expenditures 15-22'!K57-SUM('Expenditures 15-22'!G57,'Expenditures 15-22'!I57)+'Expenditures 15-22'!D261</f>
        <v>628864</v>
      </c>
      <c r="F24" s="1825"/>
      <c r="G24" s="1828">
        <f>'Expenditures 15-22'!K57-SUM('Expenditures 15-22'!G57,'Expenditures 15-22'!I57)+'Expenditures 15-22'!D261</f>
        <v>628864</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80107</v>
      </c>
      <c r="E26" s="1827">
        <f>'Expenditures 15-22'!K122-SUM('Expenditures 15-22'!G122,'Expenditures 15-22'!I122)+E7</f>
        <v>0</v>
      </c>
      <c r="F26" s="1827">
        <f>'Expenditures 15-22'!K59-SUM('Expenditures 15-22'!G59,'Expenditures 15-22'!I59)+'Expenditures 15-22'!D263-E7</f>
        <v>80107</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235613</v>
      </c>
      <c r="E27" s="1827">
        <f>E8</f>
        <v>0</v>
      </c>
      <c r="F27" s="1827">
        <f>'Expenditures 15-22'!K60-SUM('Expenditures 15-22'!G60,'Expenditures 15-22'!I60)+'Expenditures 15-22'!D264-E8</f>
        <v>235613</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1004753</v>
      </c>
      <c r="F28" s="1829">
        <f>'Expenditures 15-22'!K61-SUM('Expenditures 15-22'!G61,'Expenditures 15-22'!I61)+'Expenditures 15-22'!K124-SUM('Expenditures 15-22'!G124,'Expenditures 15-22'!I124)+'Expenditures 15-22'!D266-E9</f>
        <v>1004753</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726858</v>
      </c>
      <c r="F29" s="1825"/>
      <c r="G29" s="1828">
        <f>'Expenditures 15-22'!K62-SUM('Expenditures 15-22'!G62,'Expenditures 15-22'!I62)+'Expenditures 15-22'!K125-SUM('Expenditures 15-22'!G125,'Expenditures 15-22'!I125)+'Expenditures 15-22'!K182-SUM('Expenditures 15-22'!G182,'Expenditures 15-22'!I182)+'Expenditures 15-22'!D267</f>
        <v>726858</v>
      </c>
      <c r="H29" s="986"/>
    </row>
    <row r="30" spans="1:9" ht="12" customHeight="1" x14ac:dyDescent="0.2">
      <c r="A30" s="995" t="s">
        <v>102</v>
      </c>
      <c r="B30" s="998"/>
      <c r="C30" s="994">
        <v>2560</v>
      </c>
      <c r="D30" s="1825"/>
      <c r="E30" s="1827">
        <f>'Expenditures 15-22'!K63-SUM('Expenditures 15-22'!G63,'Expenditures 15-22'!I63)+'Expenditures 15-22'!D268-E10</f>
        <v>97622</v>
      </c>
      <c r="F30" s="1825"/>
      <c r="G30" s="1827">
        <f>'Expenditures 15-22'!K63-SUM('Expenditures 15-22'!G63,'Expenditures 15-22'!I63)+'Expenditures 15-22'!D268-E10</f>
        <v>97622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112469</v>
      </c>
      <c r="F39" s="1825"/>
      <c r="G39" s="1827">
        <f>'Expenditures 15-22'!K75-SUM('Expenditures 15-22'!G75,'Expenditures 15-22'!I75)+'Expenditures 15-22'!K130-SUM('Expenditures 15-22'!G130,'Expenditures 15-22'!I130)+'Expenditures 15-22'!K185-SUM('Expenditures 15-22'!G185,'Expenditures 15-22'!I185)+'Expenditures 15-22'!D280</f>
        <v>112469</v>
      </c>
    </row>
    <row r="40" spans="1:7" ht="12" customHeight="1" x14ac:dyDescent="0.2">
      <c r="A40" s="991" t="s">
        <v>1930</v>
      </c>
      <c r="B40" s="992"/>
      <c r="C40" s="994"/>
      <c r="D40" s="1825"/>
      <c r="E40" s="1829">
        <f>-'Contracts Paid in CY 29'!G141</f>
        <v>-895826</v>
      </c>
      <c r="F40" s="1825"/>
      <c r="G40" s="1829">
        <f>-'Contracts Paid in CY 29'!G141</f>
        <v>-895826</v>
      </c>
    </row>
    <row r="41" spans="1:7" ht="12" customHeight="1" x14ac:dyDescent="0.2">
      <c r="A41" s="999" t="s">
        <v>158</v>
      </c>
      <c r="B41" s="1000"/>
      <c r="C41" s="1001"/>
      <c r="D41" s="1829">
        <f>SUM(D19:D39)</f>
        <v>315720</v>
      </c>
      <c r="E41" s="1829">
        <f>SUM(E19:E40)</f>
        <v>12493202</v>
      </c>
      <c r="F41" s="1829">
        <f>SUM(F19:F39)</f>
        <v>1320473</v>
      </c>
      <c r="G41" s="1829">
        <f>SUM(G19:G40)</f>
        <v>11488449</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315720</v>
      </c>
      <c r="F43" s="1830" t="s">
        <v>495</v>
      </c>
      <c r="G43" s="1831">
        <f>F41</f>
        <v>1320473</v>
      </c>
    </row>
    <row r="44" spans="1:7" ht="12" customHeight="1" x14ac:dyDescent="0.2">
      <c r="A44" s="988"/>
      <c r="B44" s="162"/>
      <c r="C44" s="1002"/>
      <c r="D44" s="1830" t="s">
        <v>494</v>
      </c>
      <c r="E44" s="1831">
        <f>E41</f>
        <v>12493202</v>
      </c>
      <c r="F44" s="1830" t="s">
        <v>494</v>
      </c>
      <c r="G44" s="1831">
        <f>G41</f>
        <v>11488449</v>
      </c>
    </row>
    <row r="45" spans="1:7" ht="12" customHeight="1" x14ac:dyDescent="0.2">
      <c r="A45" s="988"/>
      <c r="B45" s="162"/>
      <c r="C45" s="162"/>
      <c r="D45" s="1832" t="s">
        <v>1063</v>
      </c>
      <c r="E45" s="1833">
        <f>(E43/E44)</f>
        <v>2.5271343567485741E-2</v>
      </c>
      <c r="F45" s="1832" t="s">
        <v>1063</v>
      </c>
      <c r="G45" s="1833">
        <f>(G43/G44)</f>
        <v>0.1149391880487958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tabSelected="1" zoomScale="110" zoomScaleNormal="110" workbookViewId="0">
      <pane ySplit="4" topLeftCell="A14" activePane="bottomLeft" state="frozen"/>
      <selection sqref="A1:F1"/>
      <selection pane="bottomLeft" sqref="A1:F1"/>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1" t="s">
        <v>1446</v>
      </c>
      <c r="B1" s="2311"/>
      <c r="C1" s="2311"/>
      <c r="D1" s="2311"/>
      <c r="E1" s="2311"/>
      <c r="F1" s="2311"/>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2" t="s">
        <v>1627</v>
      </c>
      <c r="B5" s="2313"/>
      <c r="C5" s="2314"/>
      <c r="D5" s="2314"/>
      <c r="E5" s="2314"/>
      <c r="F5" s="2314"/>
    </row>
    <row r="6" spans="1:10" ht="12" customHeight="1" x14ac:dyDescent="0.25">
      <c r="A6" s="1874"/>
      <c r="B6" s="1875"/>
      <c r="C6" s="2315" t="str">
        <f>COVER!A17</f>
        <v>Oak Grove SD 68</v>
      </c>
      <c r="D6" s="2315"/>
      <c r="E6" s="2315"/>
      <c r="F6" s="1876"/>
    </row>
    <row r="7" spans="1:10" ht="11.25" customHeight="1" thickBot="1" x14ac:dyDescent="0.3">
      <c r="A7" s="1874"/>
      <c r="B7" s="1875"/>
      <c r="C7" s="2316">
        <f>COVER!A13</f>
        <v>34049068002</v>
      </c>
      <c r="D7" s="2316"/>
      <c r="E7" s="2316"/>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2079</v>
      </c>
      <c r="D19" s="1889" t="s">
        <v>2079</v>
      </c>
      <c r="E19" s="1892"/>
      <c r="F19" s="1891" t="s">
        <v>2097</v>
      </c>
      <c r="H19" s="1902">
        <f t="shared" si="0"/>
        <v>5</v>
      </c>
      <c r="I19" s="1902">
        <f t="shared" si="1"/>
        <v>5</v>
      </c>
      <c r="J19" s="1902">
        <f t="shared" si="2"/>
        <v>0</v>
      </c>
    </row>
    <row r="20" spans="1:12" ht="12" customHeight="1" x14ac:dyDescent="0.2">
      <c r="A20" s="1887" t="s">
        <v>1609</v>
      </c>
      <c r="B20" s="1888"/>
      <c r="C20" s="1889" t="s">
        <v>2079</v>
      </c>
      <c r="D20" s="1889" t="s">
        <v>2079</v>
      </c>
      <c r="E20" s="1892"/>
      <c r="F20" s="1891" t="s">
        <v>2098</v>
      </c>
      <c r="H20" s="1902">
        <f t="shared" si="0"/>
        <v>5</v>
      </c>
      <c r="I20" s="1902">
        <f t="shared" si="1"/>
        <v>5</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t="s">
        <v>2080</v>
      </c>
      <c r="D25" s="1889" t="s">
        <v>2080</v>
      </c>
      <c r="E25" s="1892"/>
      <c r="F25" s="1891" t="s">
        <v>2099</v>
      </c>
      <c r="H25" s="1902">
        <f t="shared" si="0"/>
        <v>5</v>
      </c>
      <c r="I25" s="1902">
        <f t="shared" si="1"/>
        <v>5</v>
      </c>
      <c r="J25" s="1902">
        <f t="shared" si="2"/>
        <v>0</v>
      </c>
    </row>
    <row r="26" spans="1:12" ht="12" customHeight="1" x14ac:dyDescent="0.2">
      <c r="A26" s="1887" t="s">
        <v>1615</v>
      </c>
      <c r="B26" s="1888"/>
      <c r="C26" s="1889" t="s">
        <v>2080</v>
      </c>
      <c r="D26" s="1889" t="s">
        <v>2080</v>
      </c>
      <c r="E26" s="1892"/>
      <c r="F26" s="1891" t="s">
        <v>2100</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20</v>
      </c>
      <c r="I34" s="1902">
        <f>SUM(I11:I32)</f>
        <v>20</v>
      </c>
      <c r="J34" s="1902">
        <f>SUM(J11:J32)</f>
        <v>0</v>
      </c>
      <c r="K34" s="1902">
        <f>SUM(H34:J34)</f>
        <v>40</v>
      </c>
    </row>
    <row r="35" spans="1:11" ht="12" customHeight="1" x14ac:dyDescent="0.2">
      <c r="A35" s="1895" t="s">
        <v>1459</v>
      </c>
      <c r="B35" s="1896"/>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7"/>
      <c r="B39" s="1897"/>
      <c r="C39" s="1897"/>
      <c r="D39" s="1897"/>
      <c r="E39" s="1897"/>
      <c r="F39" s="1897"/>
    </row>
    <row r="40" spans="1:11" s="1894" customFormat="1" ht="12" customHeight="1" x14ac:dyDescent="0.25">
      <c r="A40" s="1898" t="s">
        <v>1458</v>
      </c>
      <c r="B40" s="1899"/>
      <c r="C40" s="2325"/>
      <c r="D40" s="2325"/>
      <c r="E40" s="2325"/>
      <c r="F40" s="2326"/>
      <c r="H40" s="1903"/>
      <c r="I40" s="1903"/>
      <c r="J40" s="1903"/>
      <c r="K40" s="1903"/>
    </row>
    <row r="41" spans="1:11" s="1894" customFormat="1" ht="12" customHeight="1" x14ac:dyDescent="0.25">
      <c r="A41" s="2327" t="s">
        <v>2101</v>
      </c>
      <c r="B41" s="2328"/>
      <c r="C41" s="2328"/>
      <c r="D41" s="2328"/>
      <c r="E41" s="2328"/>
      <c r="F41" s="2329"/>
      <c r="H41" s="1903"/>
      <c r="I41" s="1903"/>
      <c r="J41" s="1903"/>
      <c r="K41" s="1903"/>
    </row>
    <row r="42" spans="1:11" s="1894" customFormat="1" ht="12" customHeight="1" x14ac:dyDescent="0.25">
      <c r="A42" s="2327"/>
      <c r="B42" s="2328"/>
      <c r="C42" s="2328"/>
      <c r="D42" s="2328"/>
      <c r="E42" s="2328"/>
      <c r="F42" s="2329"/>
      <c r="H42" s="1903"/>
      <c r="I42" s="1903"/>
      <c r="J42" s="1903"/>
      <c r="K42" s="1903"/>
    </row>
    <row r="43" spans="1:11" s="1894" customFormat="1" ht="15" x14ac:dyDescent="0.25">
      <c r="A43" s="2319"/>
      <c r="B43" s="2320"/>
      <c r="C43" s="2320"/>
      <c r="D43" s="2320"/>
      <c r="E43" s="2320"/>
      <c r="F43" s="2321"/>
      <c r="H43" s="1903"/>
      <c r="I43" s="1903"/>
      <c r="J43" s="1903"/>
      <c r="K43" s="1903"/>
    </row>
    <row r="44" spans="1:11" s="1894" customFormat="1" ht="12" hidden="1" customHeight="1" x14ac:dyDescent="0.25">
      <c r="A44" s="2319"/>
      <c r="B44" s="2320"/>
      <c r="C44" s="2320"/>
      <c r="D44" s="2320"/>
      <c r="E44" s="2320"/>
      <c r="F44" s="2321"/>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tabSelected="1" defaultGridColor="0" colorId="8" zoomScale="110" zoomScaleNormal="110" workbookViewId="0">
      <selection sqref="A1:F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5" t="str">
        <f>COVER!A17</f>
        <v>Oak Grove SD 68</v>
      </c>
      <c r="J6" s="2336"/>
      <c r="Q6" s="1686"/>
    </row>
    <row r="7" spans="1:17" x14ac:dyDescent="0.2">
      <c r="A7" s="2337" t="s">
        <v>924</v>
      </c>
      <c r="B7" s="2338"/>
      <c r="C7" s="2338"/>
      <c r="D7" s="2338"/>
      <c r="E7" s="2339"/>
      <c r="F7" s="1018"/>
      <c r="G7" s="1010"/>
      <c r="H7" s="1017" t="s">
        <v>390</v>
      </c>
      <c r="I7" s="2340">
        <f>COVER!A13</f>
        <v>34049068002</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310515</v>
      </c>
      <c r="F12" s="1040"/>
      <c r="G12" s="1834">
        <f t="shared" ref="G12:G18" si="0">SUM(E12:F12)</f>
        <v>310515</v>
      </c>
      <c r="H12" s="1041">
        <v>327500</v>
      </c>
      <c r="I12" s="1040"/>
      <c r="J12" s="1834">
        <f t="shared" ref="J12:J18" si="1">SUM(H12:I12)</f>
        <v>327500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80107</v>
      </c>
      <c r="F15" s="1834">
        <f>'Expenditures 15-22'!K122</f>
        <v>0</v>
      </c>
      <c r="G15" s="1834">
        <f t="shared" si="0"/>
        <v>80107</v>
      </c>
      <c r="H15" s="1041">
        <v>76000</v>
      </c>
      <c r="I15" s="1041"/>
      <c r="J15" s="1834">
        <f t="shared" si="1"/>
        <v>76000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390622</v>
      </c>
      <c r="F19" s="1836">
        <f t="shared" si="2"/>
        <v>0</v>
      </c>
      <c r="G19" s="1836">
        <f t="shared" si="2"/>
        <v>390622</v>
      </c>
      <c r="H19" s="1836">
        <f t="shared" si="2"/>
        <v>403500</v>
      </c>
      <c r="I19" s="1836">
        <f t="shared" si="2"/>
        <v>0</v>
      </c>
      <c r="J19" s="1836">
        <f t="shared" si="2"/>
        <v>403500</v>
      </c>
    </row>
    <row r="20" spans="1:10" ht="13.5" thickTop="1" x14ac:dyDescent="0.2">
      <c r="A20" s="1036">
        <v>9</v>
      </c>
      <c r="B20" s="2347" t="s">
        <v>1703</v>
      </c>
      <c r="C20" s="2347"/>
      <c r="D20" s="2348"/>
      <c r="E20" s="1047"/>
      <c r="F20" s="1047"/>
      <c r="G20" s="1047"/>
      <c r="H20" s="1047"/>
      <c r="I20" s="1047"/>
      <c r="J20" s="1837">
        <f>IF(AND(G19&gt;0,J19&gt;0),(((J19-G19)/G19)),"Enter Budget Data")</f>
        <v>3.2967933193726928E-2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abSelected="1" zoomScale="110" zoomScaleNormal="110" workbookViewId="0">
      <selection sqref="A1:F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70" t="s">
        <v>2102</v>
      </c>
    </row>
    <row r="6" spans="1:2" x14ac:dyDescent="0.2">
      <c r="A6" s="1069"/>
      <c r="B6" s="329" t="s">
        <v>2103</v>
      </c>
    </row>
    <row r="7" spans="1:2" x14ac:dyDescent="0.2">
      <c r="A7" s="1069"/>
      <c r="B7" s="1955" t="s">
        <v>2104</v>
      </c>
    </row>
    <row r="8" spans="1:2" x14ac:dyDescent="0.2">
      <c r="A8" s="1069"/>
    </row>
    <row r="9" spans="1:2" x14ac:dyDescent="0.2">
      <c r="A9" s="1070" t="s">
        <v>2105</v>
      </c>
    </row>
    <row r="10" spans="1:2" x14ac:dyDescent="0.2">
      <c r="A10" s="1070"/>
      <c r="B10" s="329" t="s">
        <v>2106</v>
      </c>
    </row>
    <row r="11" spans="1:2" x14ac:dyDescent="0.2">
      <c r="A11" s="1070"/>
      <c r="B11" s="1955" t="s">
        <v>2107</v>
      </c>
    </row>
    <row r="12" spans="1:2" x14ac:dyDescent="0.2">
      <c r="A12" s="1070"/>
    </row>
    <row r="13" spans="1:2" x14ac:dyDescent="0.2">
      <c r="A13" s="1070" t="s">
        <v>2108</v>
      </c>
    </row>
    <row r="14" spans="1:2" x14ac:dyDescent="0.2">
      <c r="A14" s="1070"/>
      <c r="B14" s="329" t="s">
        <v>2106</v>
      </c>
    </row>
    <row r="15" spans="1:2" x14ac:dyDescent="0.2">
      <c r="A15" s="1070"/>
      <c r="B15" s="1955" t="s">
        <v>2109</v>
      </c>
    </row>
    <row r="16" spans="1:2" x14ac:dyDescent="0.2">
      <c r="A16" s="1070"/>
      <c r="B16" s="329" t="s">
        <v>2110</v>
      </c>
    </row>
    <row r="17" spans="1:2" x14ac:dyDescent="0.2">
      <c r="A17" s="1070"/>
      <c r="B17" s="1955" t="s">
        <v>2113</v>
      </c>
    </row>
    <row r="18" spans="1:2" x14ac:dyDescent="0.2">
      <c r="A18" s="1070"/>
      <c r="B18" s="329" t="s">
        <v>2111</v>
      </c>
    </row>
    <row r="19" spans="1:2" x14ac:dyDescent="0.2">
      <c r="A19" s="1070"/>
      <c r="B19" s="1955" t="s">
        <v>2112</v>
      </c>
    </row>
    <row r="20" spans="1:2" x14ac:dyDescent="0.2">
      <c r="A20" s="1070"/>
    </row>
    <row r="21" spans="1:2" x14ac:dyDescent="0.2">
      <c r="A21" s="1070" t="s">
        <v>2134</v>
      </c>
    </row>
    <row r="22" spans="1:2" x14ac:dyDescent="0.2">
      <c r="A22" s="1070"/>
      <c r="B22" s="329" t="s">
        <v>2106</v>
      </c>
    </row>
    <row r="23" spans="1:2" x14ac:dyDescent="0.2">
      <c r="A23" s="1070"/>
      <c r="B23" s="1955" t="s">
        <v>2135</v>
      </c>
    </row>
    <row r="24" spans="1:2" x14ac:dyDescent="0.2">
      <c r="A24" s="1070"/>
    </row>
    <row r="25" spans="1:2" x14ac:dyDescent="0.2">
      <c r="A25" s="1070" t="s">
        <v>2136</v>
      </c>
    </row>
    <row r="26" spans="1:2" x14ac:dyDescent="0.2">
      <c r="A26" s="1070"/>
      <c r="B26" s="329" t="s">
        <v>2103</v>
      </c>
    </row>
    <row r="27" spans="1:2" x14ac:dyDescent="0.2">
      <c r="A27" s="1070"/>
      <c r="B27" s="1955" t="s">
        <v>2137</v>
      </c>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Oak Grove SD 68</v>
      </c>
    </row>
    <row r="65" spans="2:2" x14ac:dyDescent="0.2">
      <c r="B65" s="1071">
        <f>COVER!A13</f>
        <v>34049068002</v>
      </c>
    </row>
  </sheetData>
  <phoneticPr fontId="16"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tabSelected="1"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abSelected="1" zoomScale="110" zoomScaleNormal="110" workbookViewId="0">
      <selection sqref="A1:F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abSelected="1" topLeftCell="A7"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13428008</v>
      </c>
      <c r="C8" s="1838">
        <f>'Acct Summary 7-8'!D8</f>
        <v>1192631</v>
      </c>
      <c r="D8" s="1838">
        <f>'Acct Summary 7-8'!F8</f>
        <v>873330</v>
      </c>
      <c r="E8" s="1838">
        <f>'Acct Summary 7-8'!I8</f>
        <v>853</v>
      </c>
      <c r="F8" s="1838">
        <f>SUM(B8:E8)</f>
        <v>15494822</v>
      </c>
    </row>
    <row r="9" spans="1:8" s="1080" customFormat="1" ht="14.25" customHeight="1" thickBot="1" x14ac:dyDescent="0.25">
      <c r="A9" s="1079" t="s">
        <v>1436</v>
      </c>
      <c r="B9" s="1839">
        <f>'Acct Summary 7-8'!C17</f>
        <v>12120780</v>
      </c>
      <c r="C9" s="1839">
        <f>'Acct Summary 7-8'!D17</f>
        <v>1002787</v>
      </c>
      <c r="D9" s="1839">
        <f>'Acct Summary 7-8'!F17</f>
        <v>725250</v>
      </c>
      <c r="E9" s="1838"/>
      <c r="F9" s="1838">
        <f>SUM(B9:E9)</f>
        <v>13848817</v>
      </c>
    </row>
    <row r="10" spans="1:8" s="1080" customFormat="1" ht="14.25" thickTop="1" thickBot="1" x14ac:dyDescent="0.25">
      <c r="A10" s="1081" t="s">
        <v>1437</v>
      </c>
      <c r="B10" s="1840">
        <f>(B8-B9)</f>
        <v>1307228</v>
      </c>
      <c r="C10" s="1840">
        <f>(C8-C9)</f>
        <v>189844</v>
      </c>
      <c r="D10" s="1840">
        <f>(D8-D9)</f>
        <v>148080</v>
      </c>
      <c r="E10" s="1839">
        <f>(E8-E9)</f>
        <v>853</v>
      </c>
      <c r="F10" s="1841">
        <f>SUM(F8-F9)</f>
        <v>1646005</v>
      </c>
    </row>
    <row r="11" spans="1:8" s="1080" customFormat="1" ht="14.25" thickTop="1" thickBot="1" x14ac:dyDescent="0.25">
      <c r="A11" s="1082" t="s">
        <v>1785</v>
      </c>
      <c r="B11" s="1842">
        <f>'Acct Summary 7-8'!C81</f>
        <v>-333884</v>
      </c>
      <c r="C11" s="1842">
        <f>'Acct Summary 7-8'!D81</f>
        <v>598953</v>
      </c>
      <c r="D11" s="1842">
        <f>'Acct Summary 7-8'!F81</f>
        <v>202088</v>
      </c>
      <c r="E11" s="1842">
        <f>'Acct Summary 7-8'!I81</f>
        <v>202835</v>
      </c>
      <c r="F11" s="1843">
        <f>SUM(B11:E11)</f>
        <v>669992</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D48" sqref="D4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34049068002</v>
      </c>
    </row>
    <row r="3" spans="1:2" x14ac:dyDescent="0.2">
      <c r="A3" t="s">
        <v>1013</v>
      </c>
      <c r="B3" s="138" t="str">
        <f>COVER!A15</f>
        <v>LAKE</v>
      </c>
    </row>
    <row r="4" spans="1:2" x14ac:dyDescent="0.2">
      <c r="A4" t="s">
        <v>1064</v>
      </c>
      <c r="B4" s="138" t="str">
        <f>COVER!A17</f>
        <v>Oak Grove SD 68</v>
      </c>
    </row>
    <row r="5" spans="1:2" x14ac:dyDescent="0.2">
      <c r="A5" t="s">
        <v>728</v>
      </c>
      <c r="B5" s="138" t="str">
        <f>COVER!A38</f>
        <v>KURT VALENTIN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ANTHONY MICHELOTTI</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Yes</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5577526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12449292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3306</v>
      </c>
      <c r="D86" s="2" t="str">
        <f t="shared" si="0"/>
        <v>Error?</v>
      </c>
    </row>
    <row r="87" spans="1:4" x14ac:dyDescent="0.2">
      <c r="A87" s="10">
        <v>26</v>
      </c>
      <c r="D87" s="2" t="str">
        <f t="shared" si="0"/>
        <v>OK</v>
      </c>
    </row>
    <row r="88" spans="1:4" x14ac:dyDescent="0.2">
      <c r="A88" s="5">
        <v>27</v>
      </c>
      <c r="B88" s="138">
        <f>'Assets-Liab 5-6'!C32</f>
        <v>12630930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12783176</v>
      </c>
      <c r="C91" s="2" t="s">
        <v>594</v>
      </c>
      <c r="D91" s="2" t="str">
        <f t="shared" si="0"/>
        <v>Error?</v>
      </c>
    </row>
    <row r="92" spans="1:4" x14ac:dyDescent="0.2">
      <c r="A92" s="5">
        <v>31</v>
      </c>
      <c r="B92" s="138">
        <f>'Assets-Liab 5-6'!C39</f>
        <v>-333884</v>
      </c>
      <c r="D92" s="2" t="str">
        <f t="shared" si="0"/>
        <v>Error?</v>
      </c>
    </row>
    <row r="93" spans="1:4" x14ac:dyDescent="0.2">
      <c r="A93" s="5">
        <v>32</v>
      </c>
      <c r="B93" s="138">
        <f>'Assets-Liab 5-6'!C41</f>
        <v>12449292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606342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1982918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1365716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1383965</v>
      </c>
      <c r="C122" s="2" t="s">
        <v>594</v>
      </c>
      <c r="D122" s="2" t="str">
        <f t="shared" si="0"/>
        <v>Error?</v>
      </c>
    </row>
    <row r="123" spans="1:4" x14ac:dyDescent="0.2">
      <c r="A123" s="5">
        <v>62</v>
      </c>
      <c r="B123" s="138">
        <f>'Assets-Liab 5-6'!D39</f>
        <v>598953</v>
      </c>
      <c r="D123" s="2" t="str">
        <f t="shared" si="0"/>
        <v>Error?</v>
      </c>
    </row>
    <row r="124" spans="1:4" x14ac:dyDescent="0.2">
      <c r="A124" s="5">
        <v>63</v>
      </c>
      <c r="B124" s="138">
        <f>'Assets-Liab 5-6'!D41</f>
        <v>1982918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1767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1767</v>
      </c>
      <c r="D140" s="2" t="str">
        <f t="shared" si="1"/>
        <v>Error?</v>
      </c>
    </row>
    <row r="141" spans="1:4" x14ac:dyDescent="0.2">
      <c r="A141" s="5">
        <v>80</v>
      </c>
      <c r="B141" s="138">
        <f>'Assets-Liab 5-6'!E41</f>
        <v>1767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281519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837365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634089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635277</v>
      </c>
      <c r="C169" s="2" t="s">
        <v>594</v>
      </c>
      <c r="D169" s="2" t="str">
        <f t="shared" si="1"/>
        <v>Error?</v>
      </c>
    </row>
    <row r="170" spans="1:4" x14ac:dyDescent="0.2">
      <c r="A170" s="5">
        <v>109</v>
      </c>
      <c r="B170" s="138">
        <f>'Assets-Liab 5-6'!F39</f>
        <v>202088</v>
      </c>
      <c r="D170" s="2" t="str">
        <f t="shared" si="1"/>
        <v>Error?</v>
      </c>
    </row>
    <row r="171" spans="1:4" x14ac:dyDescent="0.2">
      <c r="A171" s="5">
        <v>110</v>
      </c>
      <c r="B171" s="138">
        <f>'Assets-Liab 5-6'!F41</f>
        <v>837365</v>
      </c>
      <c r="C171" s="2" t="s">
        <v>594</v>
      </c>
      <c r="D171" s="2" t="str">
        <f t="shared" si="1"/>
        <v>Error?</v>
      </c>
    </row>
    <row r="172" spans="1:4" x14ac:dyDescent="0.2">
      <c r="A172" s="10">
        <v>111</v>
      </c>
      <c r="D172" s="2" t="str">
        <f t="shared" si="1"/>
        <v>OK</v>
      </c>
    </row>
    <row r="173" spans="1:4" x14ac:dyDescent="0.2">
      <c r="A173" s="5">
        <v>112</v>
      </c>
      <c r="B173" s="138">
        <f>'Assets-Liab 5-6'!G6</f>
        <v>151418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431468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341052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341052</v>
      </c>
      <c r="C188" s="2" t="s">
        <v>594</v>
      </c>
      <c r="D188" s="2" t="str">
        <f t="shared" si="1"/>
        <v>Error?</v>
      </c>
    </row>
    <row r="189" spans="1:4" x14ac:dyDescent="0.2">
      <c r="A189" s="5">
        <v>128</v>
      </c>
      <c r="B189" s="138">
        <f>'Assets-Liab 5-6'!G39</f>
        <v>83315</v>
      </c>
      <c r="D189" s="2" t="str">
        <f t="shared" si="1"/>
        <v>Error?</v>
      </c>
    </row>
    <row r="190" spans="1:4" x14ac:dyDescent="0.2">
      <c r="A190" s="5">
        <v>129</v>
      </c>
      <c r="B190" s="138">
        <f>'Assets-Liab 5-6'!G41</f>
        <v>431468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10249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10249</v>
      </c>
      <c r="D212" s="2" t="str">
        <f t="shared" si="2"/>
        <v>Error?</v>
      </c>
    </row>
    <row r="213" spans="1:4" x14ac:dyDescent="0.2">
      <c r="A213" s="12">
        <v>152</v>
      </c>
      <c r="B213" s="138">
        <f>'Assets-Liab 5-6'!H41</f>
        <v>10249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57497</v>
      </c>
      <c r="D273" s="2" t="str">
        <f t="shared" si="3"/>
        <v>Error?</v>
      </c>
    </row>
    <row r="274" spans="1:4" x14ac:dyDescent="0.2">
      <c r="A274" s="5">
        <v>213</v>
      </c>
      <c r="B274" s="138">
        <f>'Assets-Liab 5-6'!M17</f>
        <v>25737750</v>
      </c>
      <c r="D274" s="2" t="str">
        <f t="shared" si="3"/>
        <v>Error?</v>
      </c>
    </row>
    <row r="275" spans="1:4" x14ac:dyDescent="0.2">
      <c r="A275" s="5">
        <v>214</v>
      </c>
      <c r="B275" s="138">
        <f>'Assets-Liab 5-6'!M18</f>
        <v>506084</v>
      </c>
      <c r="D275" s="2" t="str">
        <f t="shared" si="3"/>
        <v>Error?</v>
      </c>
    </row>
    <row r="276" spans="1:4" x14ac:dyDescent="0.2">
      <c r="A276" s="5">
        <v>215</v>
      </c>
      <c r="B276" s="138">
        <f>'Assets-Liab 5-6'!M19</f>
        <v>2690180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28991511</v>
      </c>
      <c r="C279" s="2" t="s">
        <v>594</v>
      </c>
      <c r="D279" s="2" t="str">
        <f t="shared" si="3"/>
        <v>Error?</v>
      </c>
    </row>
    <row r="280" spans="1:4" x14ac:dyDescent="0.2">
      <c r="A280" s="5">
        <v>219</v>
      </c>
      <c r="B280" s="138">
        <f>'Assets-Liab 5-6'!M40</f>
        <v>28991511</v>
      </c>
      <c r="D280" s="2" t="str">
        <f t="shared" si="3"/>
        <v>Error?</v>
      </c>
    </row>
    <row r="281" spans="1:4" x14ac:dyDescent="0.2">
      <c r="A281" s="5">
        <v>220</v>
      </c>
      <c r="B281" s="138">
        <f>'Assets-Liab 5-6'!M41</f>
        <v>28991511</v>
      </c>
      <c r="C281" s="2" t="s">
        <v>594</v>
      </c>
      <c r="D281" s="2" t="str">
        <f t="shared" si="3"/>
        <v>Error?</v>
      </c>
    </row>
    <row r="282" spans="1:4" x14ac:dyDescent="0.2">
      <c r="A282" s="5">
        <v>221</v>
      </c>
      <c r="B282" s="138">
        <f>'Assets-Liab 5-6'!N21</f>
        <v>1767</v>
      </c>
      <c r="D282" s="2" t="str">
        <f t="shared" si="3"/>
        <v>Error?</v>
      </c>
    </row>
    <row r="283" spans="1:4" x14ac:dyDescent="0.2">
      <c r="A283" s="5">
        <v>222</v>
      </c>
      <c r="B283" s="138">
        <f>'Assets-Liab 5-6'!N22</f>
        <v>903233</v>
      </c>
      <c r="D283" s="2" t="str">
        <f t="shared" si="3"/>
        <v>Error?</v>
      </c>
    </row>
    <row r="284" spans="1:4" x14ac:dyDescent="0.2">
      <c r="A284" s="5">
        <v>223</v>
      </c>
      <c r="B284" s="138">
        <f>'Assets-Liab 5-6'!N23</f>
        <v>905000</v>
      </c>
      <c r="C284" s="2" t="s">
        <v>594</v>
      </c>
      <c r="D284" s="2" t="str">
        <f t="shared" si="3"/>
        <v>Error?</v>
      </c>
    </row>
    <row r="285" spans="1:4" x14ac:dyDescent="0.2">
      <c r="A285" s="5">
        <v>224</v>
      </c>
      <c r="B285" s="138">
        <f>'Assets-Liab 5-6'!N36</f>
        <v>905000</v>
      </c>
      <c r="D285" s="2" t="str">
        <f t="shared" si="3"/>
        <v>Error?</v>
      </c>
    </row>
    <row r="286" spans="1:4" x14ac:dyDescent="0.2">
      <c r="A286" s="10">
        <v>225</v>
      </c>
      <c r="D286" s="2" t="str">
        <f t="shared" si="3"/>
        <v>OK</v>
      </c>
    </row>
    <row r="287" spans="1:4" x14ac:dyDescent="0.2">
      <c r="A287" s="5">
        <v>226</v>
      </c>
      <c r="B287" s="138">
        <f>'Assets-Liab 5-6'!N37</f>
        <v>905000</v>
      </c>
      <c r="C287" s="2" t="s">
        <v>594</v>
      </c>
      <c r="D287" s="2" t="str">
        <f t="shared" si="3"/>
        <v>Error?</v>
      </c>
    </row>
    <row r="288" spans="1:4" x14ac:dyDescent="0.2">
      <c r="A288" s="5">
        <v>227</v>
      </c>
      <c r="B288" s="138">
        <f>'Assets-Liab 5-6'!N41</f>
        <v>905000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5352030</v>
      </c>
      <c r="D705" s="2" t="str">
        <f t="shared" si="10"/>
        <v>Error?</v>
      </c>
    </row>
    <row r="706" spans="1:4" x14ac:dyDescent="0.2">
      <c r="A706" s="5">
        <v>645</v>
      </c>
      <c r="B706" s="138">
        <f>'Expenditures 15-22'!C16</f>
        <v>190632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89993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196993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6779960</v>
      </c>
      <c r="C720" s="2" t="s">
        <v>594</v>
      </c>
      <c r="D720" s="2" t="str">
        <f t="shared" si="10"/>
        <v>Error?</v>
      </c>
    </row>
    <row r="721" spans="1:4" x14ac:dyDescent="0.2">
      <c r="A721" s="5">
        <v>660</v>
      </c>
      <c r="B721" s="138">
        <f>'Expenditures 15-22'!C36</f>
        <v>209602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159155</v>
      </c>
      <c r="D723" s="2" t="str">
        <f t="shared" si="10"/>
        <v>Error?</v>
      </c>
    </row>
    <row r="724" spans="1:4" x14ac:dyDescent="0.2">
      <c r="A724" s="5">
        <v>663</v>
      </c>
      <c r="B724" s="138">
        <f>'Expenditures 15-22'!C39</f>
        <v>90714</v>
      </c>
      <c r="D724" s="2" t="str">
        <f t="shared" si="10"/>
        <v>Error?</v>
      </c>
    </row>
    <row r="725" spans="1:4" x14ac:dyDescent="0.2">
      <c r="A725" s="5">
        <v>664</v>
      </c>
      <c r="B725" s="138">
        <f>'Expenditures 15-22'!C40</f>
        <v>215738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675209</v>
      </c>
      <c r="C727" s="2" t="s">
        <v>594</v>
      </c>
      <c r="D727" s="2" t="str">
        <f t="shared" si="10"/>
        <v>Error?</v>
      </c>
    </row>
    <row r="728" spans="1:4" x14ac:dyDescent="0.2">
      <c r="A728" s="5">
        <v>667</v>
      </c>
      <c r="B728" s="138">
        <f>'Expenditures 15-22'!C44</f>
        <v>161905</v>
      </c>
      <c r="D728" s="2" t="str">
        <f t="shared" si="10"/>
        <v>Error?</v>
      </c>
    </row>
    <row r="729" spans="1:4" x14ac:dyDescent="0.2">
      <c r="A729" s="5">
        <v>668</v>
      </c>
      <c r="B729" s="138">
        <f>'Expenditures 15-22'!C45</f>
        <v>560753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722658</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278303</v>
      </c>
      <c r="D733" s="2" t="str">
        <f t="shared" si="10"/>
        <v>Error?</v>
      </c>
    </row>
    <row r="734" spans="1:4" x14ac:dyDescent="0.2">
      <c r="A734" s="5">
        <v>673</v>
      </c>
      <c r="B734" s="138">
        <f>'Expenditures 15-22'!C53</f>
        <v>278303</v>
      </c>
      <c r="C734" s="2" t="s">
        <v>594</v>
      </c>
      <c r="D734" s="2" t="str">
        <f t="shared" si="10"/>
        <v>Error?</v>
      </c>
    </row>
    <row r="735" spans="1:4" x14ac:dyDescent="0.2">
      <c r="A735" s="5">
        <v>674</v>
      </c>
      <c r="B735" s="138">
        <f>'Expenditures 15-22'!C55</f>
        <v>503756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503756</v>
      </c>
      <c r="C737" s="2" t="s">
        <v>594</v>
      </c>
      <c r="D737" s="2" t="str">
        <f t="shared" si="10"/>
        <v>Error?</v>
      </c>
    </row>
    <row r="738" spans="1:4" x14ac:dyDescent="0.2">
      <c r="A738" s="5">
        <v>677</v>
      </c>
      <c r="B738" s="138">
        <f>'Expenditures 15-22'!C59</f>
        <v>6149</v>
      </c>
      <c r="D738" s="2" t="str">
        <f t="shared" si="10"/>
        <v>Error?</v>
      </c>
    </row>
    <row r="739" spans="1:4" x14ac:dyDescent="0.2">
      <c r="A739" s="5">
        <v>678</v>
      </c>
      <c r="B739" s="138">
        <f>'Expenditures 15-22'!C60</f>
        <v>21801</v>
      </c>
      <c r="D739" s="2" t="str">
        <f t="shared" si="10"/>
        <v>Error?</v>
      </c>
    </row>
    <row r="740" spans="1:4" x14ac:dyDescent="0.2">
      <c r="A740" s="5">
        <v>679</v>
      </c>
      <c r="B740" s="138">
        <f>'Expenditures 15-22'!C61</f>
        <v>-6149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64736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86537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2266463</v>
      </c>
      <c r="C755" s="2" t="s">
        <v>594</v>
      </c>
      <c r="D755" s="2" t="str">
        <f t="shared" si="10"/>
        <v>Error?</v>
      </c>
    </row>
    <row r="756" spans="1:4" x14ac:dyDescent="0.2">
      <c r="A756" s="5">
        <v>695</v>
      </c>
      <c r="B756" s="138">
        <f>'Expenditures 15-22'!C75</f>
        <v>74311</v>
      </c>
      <c r="D756" s="2" t="str">
        <f t="shared" si="10"/>
        <v>Error?</v>
      </c>
    </row>
    <row r="757" spans="1:4" x14ac:dyDescent="0.2">
      <c r="A757" s="5">
        <v>696</v>
      </c>
      <c r="B757" s="138">
        <f>'Expenditures 15-22'!C114</f>
        <v>9120734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733800</v>
      </c>
      <c r="D763" s="2" t="str">
        <f t="shared" si="10"/>
        <v>Error?</v>
      </c>
    </row>
    <row r="764" spans="1:4" x14ac:dyDescent="0.2">
      <c r="A764" s="5">
        <v>703</v>
      </c>
      <c r="B764" s="138">
        <f>'Expenditures 15-22'!D16</f>
        <v>15376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8108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2883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916704</v>
      </c>
      <c r="C778" s="2" t="s">
        <v>594</v>
      </c>
      <c r="D778" s="2" t="str">
        <f t="shared" si="11"/>
        <v>Error?</v>
      </c>
    </row>
    <row r="779" spans="1:4" x14ac:dyDescent="0.2">
      <c r="A779" s="5">
        <v>718</v>
      </c>
      <c r="B779" s="138">
        <f>'Expenditures 15-22'!D36</f>
        <v>27000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8048</v>
      </c>
      <c r="D782" s="2" t="str">
        <f t="shared" si="11"/>
        <v>Error?</v>
      </c>
    </row>
    <row r="783" spans="1:4" x14ac:dyDescent="0.2">
      <c r="A783" s="5">
        <v>722</v>
      </c>
      <c r="B783" s="138">
        <f>'Expenditures 15-22'!D40</f>
        <v>25722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60770</v>
      </c>
      <c r="C785" s="2" t="s">
        <v>594</v>
      </c>
      <c r="D785" s="2" t="str">
        <f t="shared" si="11"/>
        <v>Error?</v>
      </c>
    </row>
    <row r="786" spans="1:4" x14ac:dyDescent="0.2">
      <c r="A786" s="5">
        <v>725</v>
      </c>
      <c r="B786" s="138">
        <f>'Expenditures 15-22'!D44</f>
        <v>16453</v>
      </c>
      <c r="D786" s="2" t="str">
        <f t="shared" si="11"/>
        <v>Error?</v>
      </c>
    </row>
    <row r="787" spans="1:4" x14ac:dyDescent="0.2">
      <c r="A787" s="5">
        <v>726</v>
      </c>
      <c r="B787" s="138">
        <f>'Expenditures 15-22'!D45</f>
        <v>103355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119808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24726</v>
      </c>
      <c r="D791" s="2" t="str">
        <f t="shared" si="11"/>
        <v>Error?</v>
      </c>
    </row>
    <row r="792" spans="1:4" x14ac:dyDescent="0.2">
      <c r="A792" s="5">
        <v>731</v>
      </c>
      <c r="B792" s="138">
        <f>'Expenditures 15-22'!D53</f>
        <v>24726</v>
      </c>
      <c r="C792" s="2" t="s">
        <v>594</v>
      </c>
      <c r="D792" s="2" t="str">
        <f t="shared" si="11"/>
        <v>Error?</v>
      </c>
    </row>
    <row r="793" spans="1:4" x14ac:dyDescent="0.2">
      <c r="A793" s="5">
        <v>732</v>
      </c>
      <c r="B793" s="138">
        <f>'Expenditures 15-22'!D55</f>
        <v>82857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82857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1893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1893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290054</v>
      </c>
      <c r="C813" s="2" t="s">
        <v>594</v>
      </c>
      <c r="D813" s="2" t="str">
        <f t="shared" si="11"/>
        <v>Error?</v>
      </c>
    </row>
    <row r="814" spans="1:4" x14ac:dyDescent="0.2">
      <c r="A814" s="5">
        <v>753</v>
      </c>
      <c r="B814" s="138">
        <f>'Expenditures 15-22'!D75</f>
        <v>19928</v>
      </c>
      <c r="D814" s="2" t="str">
        <f t="shared" si="11"/>
        <v>Error?</v>
      </c>
    </row>
    <row r="815" spans="1:4" x14ac:dyDescent="0.2">
      <c r="A815" s="5">
        <v>754</v>
      </c>
      <c r="B815" s="138">
        <f>'Expenditures 15-22'!D114</f>
        <v>1226686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79970</v>
      </c>
      <c r="D821" s="2" t="str">
        <f t="shared" si="11"/>
        <v>Error?</v>
      </c>
    </row>
    <row r="822" spans="1:4" x14ac:dyDescent="0.2">
      <c r="A822" s="5">
        <v>761</v>
      </c>
      <c r="B822" s="138">
        <f>'Expenditures 15-22'!E16</f>
        <v>360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7754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99174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477</v>
      </c>
      <c r="D839" s="2" t="str">
        <f t="shared" si="12"/>
        <v>Error?</v>
      </c>
    </row>
    <row r="840" spans="1:4" x14ac:dyDescent="0.2">
      <c r="A840" s="5">
        <v>779</v>
      </c>
      <c r="B840" s="138">
        <f>'Expenditures 15-22'!E39</f>
        <v>498</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975</v>
      </c>
      <c r="C843" s="2" t="s">
        <v>594</v>
      </c>
      <c r="D843" s="2" t="str">
        <f t="shared" si="12"/>
        <v>Error?</v>
      </c>
    </row>
    <row r="844" spans="1:4" x14ac:dyDescent="0.2">
      <c r="A844" s="5">
        <v>783</v>
      </c>
      <c r="B844" s="138">
        <f>'Expenditures 15-22'!E44</f>
        <v>28857</v>
      </c>
      <c r="D844" s="2" t="str">
        <f t="shared" si="12"/>
        <v>Error?</v>
      </c>
    </row>
    <row r="845" spans="1:4" x14ac:dyDescent="0.2">
      <c r="A845" s="5">
        <v>784</v>
      </c>
      <c r="B845" s="138">
        <f>'Expenditures 15-22'!E45</f>
        <v>68693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97550</v>
      </c>
      <c r="C847" s="2" t="s">
        <v>594</v>
      </c>
      <c r="D847" s="2" t="str">
        <f t="shared" si="12"/>
        <v>Error?</v>
      </c>
    </row>
    <row r="848" spans="1:4" x14ac:dyDescent="0.2">
      <c r="A848" s="5">
        <v>787</v>
      </c>
      <c r="B848" s="138">
        <f>'Expenditures 15-22'!E49</f>
        <v>110946</v>
      </c>
      <c r="D848" s="2" t="str">
        <f t="shared" si="12"/>
        <v>Error?</v>
      </c>
    </row>
    <row r="849" spans="1:4" x14ac:dyDescent="0.2">
      <c r="A849" s="5">
        <v>788</v>
      </c>
      <c r="B849" s="138">
        <f>'Expenditures 15-22'!E50</f>
        <v>4355</v>
      </c>
      <c r="D849" s="2" t="str">
        <f t="shared" si="12"/>
        <v>Error?</v>
      </c>
    </row>
    <row r="850" spans="1:4" x14ac:dyDescent="0.2">
      <c r="A850" s="5">
        <v>789</v>
      </c>
      <c r="B850" s="138">
        <f>'Expenditures 15-22'!E53</f>
        <v>115301</v>
      </c>
      <c r="C850" s="2" t="s">
        <v>594</v>
      </c>
      <c r="D850" s="2" t="str">
        <f t="shared" si="12"/>
        <v>Error?</v>
      </c>
    </row>
    <row r="851" spans="1:4" x14ac:dyDescent="0.2">
      <c r="A851" s="5">
        <v>790</v>
      </c>
      <c r="B851" s="138">
        <f>'Expenditures 15-22'!E55</f>
        <v>5208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5208</v>
      </c>
      <c r="C853" s="2" t="s">
        <v>594</v>
      </c>
      <c r="D853" s="2" t="str">
        <f t="shared" si="12"/>
        <v>Error?</v>
      </c>
    </row>
    <row r="854" spans="1:4" x14ac:dyDescent="0.2">
      <c r="A854" s="5">
        <v>793</v>
      </c>
      <c r="B854" s="138">
        <f>'Expenditures 15-22'!E59</f>
        <v>73958</v>
      </c>
      <c r="D854" s="2" t="str">
        <f t="shared" si="12"/>
        <v>Error?</v>
      </c>
    </row>
    <row r="855" spans="1:4" x14ac:dyDescent="0.2">
      <c r="A855" s="5">
        <v>794</v>
      </c>
      <c r="B855" s="138">
        <f>'Expenditures 15-22'!E60</f>
        <v>201838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275796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494830</v>
      </c>
      <c r="C871" s="2" t="s">
        <v>594</v>
      </c>
      <c r="D871" s="2" t="str">
        <f t="shared" si="12"/>
        <v>Error?</v>
      </c>
    </row>
    <row r="872" spans="1:4" x14ac:dyDescent="0.2">
      <c r="A872" s="5">
        <v>811</v>
      </c>
      <c r="B872" s="138">
        <f>'Expenditures 15-22'!E75</f>
        <v>573</v>
      </c>
      <c r="D872" s="2" t="str">
        <f t="shared" si="12"/>
        <v>Error?</v>
      </c>
    </row>
    <row r="873" spans="1:4" x14ac:dyDescent="0.2">
      <c r="A873" s="5">
        <v>812</v>
      </c>
      <c r="B873" s="138">
        <f>'Expenditures 15-22'!E114</f>
        <v>611223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138326</v>
      </c>
      <c r="D879" s="2" t="str">
        <f t="shared" si="12"/>
        <v>Error?</v>
      </c>
    </row>
    <row r="880" spans="1:4" x14ac:dyDescent="0.2">
      <c r="A880" s="5">
        <v>819</v>
      </c>
      <c r="B880" s="138">
        <f>'Expenditures 15-22'!F16</f>
        <v>3366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1268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5980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161384</v>
      </c>
      <c r="C894" s="2" t="s">
        <v>594</v>
      </c>
      <c r="D894" s="2" t="str">
        <f t="shared" si="12"/>
        <v>Error?</v>
      </c>
    </row>
    <row r="895" spans="1:4" x14ac:dyDescent="0.2">
      <c r="A895" s="5">
        <v>834</v>
      </c>
      <c r="B895" s="138">
        <f>'Expenditures 15-22'!F36</f>
        <v>1735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3629</v>
      </c>
      <c r="D897" s="2" t="str">
        <f t="shared" si="13"/>
        <v>Error?</v>
      </c>
    </row>
    <row r="898" spans="1:4" x14ac:dyDescent="0.2">
      <c r="A898" s="5">
        <v>837</v>
      </c>
      <c r="B898" s="138">
        <f>'Expenditures 15-22'!F39</f>
        <v>2326</v>
      </c>
      <c r="D898" s="2" t="str">
        <f t="shared" si="13"/>
        <v>Error?</v>
      </c>
    </row>
    <row r="899" spans="1:4" x14ac:dyDescent="0.2">
      <c r="A899" s="5">
        <v>838</v>
      </c>
      <c r="B899" s="138">
        <f>'Expenditures 15-22'!F40</f>
        <v>1809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9499</v>
      </c>
      <c r="C901" s="2" t="s">
        <v>594</v>
      </c>
      <c r="D901" s="2" t="str">
        <f t="shared" si="13"/>
        <v>Error?</v>
      </c>
    </row>
    <row r="902" spans="1:4" x14ac:dyDescent="0.2">
      <c r="A902" s="5">
        <v>841</v>
      </c>
      <c r="B902" s="138">
        <f>'Expenditures 15-22'!F44</f>
        <v>103703</v>
      </c>
      <c r="D902" s="2" t="str">
        <f t="shared" si="13"/>
        <v>Error?</v>
      </c>
    </row>
    <row r="903" spans="1:4" x14ac:dyDescent="0.2">
      <c r="A903" s="5">
        <v>842</v>
      </c>
      <c r="B903" s="138">
        <f>'Expenditures 15-22'!F45</f>
        <v>193553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297256</v>
      </c>
      <c r="C905" s="2" t="s">
        <v>594</v>
      </c>
      <c r="D905" s="2" t="str">
        <f t="shared" si="13"/>
        <v>Error?</v>
      </c>
    </row>
    <row r="906" spans="1:4" x14ac:dyDescent="0.2">
      <c r="A906" s="5">
        <v>845</v>
      </c>
      <c r="B906" s="138">
        <f>'Expenditures 15-22'!F49</f>
        <v>7716</v>
      </c>
      <c r="D906" s="2" t="str">
        <f t="shared" si="13"/>
        <v>Error?</v>
      </c>
    </row>
    <row r="907" spans="1:4" x14ac:dyDescent="0.2">
      <c r="A907" s="5">
        <v>846</v>
      </c>
      <c r="B907" s="138">
        <f>'Expenditures 15-22'!F50</f>
        <v>3131</v>
      </c>
      <c r="D907" s="2" t="str">
        <f t="shared" si="13"/>
        <v>Error?</v>
      </c>
    </row>
    <row r="908" spans="1:4" x14ac:dyDescent="0.2">
      <c r="A908" s="5">
        <v>847</v>
      </c>
      <c r="B908" s="138">
        <f>'Expenditures 15-22'!F53</f>
        <v>10847</v>
      </c>
      <c r="C908" s="2" t="s">
        <v>594</v>
      </c>
      <c r="D908" s="2" t="str">
        <f t="shared" si="13"/>
        <v>Error?</v>
      </c>
    </row>
    <row r="909" spans="1:4" x14ac:dyDescent="0.2">
      <c r="A909" s="5">
        <v>848</v>
      </c>
      <c r="B909" s="138">
        <f>'Expenditures 15-22'!F55</f>
        <v>3092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3092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9924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24640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34564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355258</v>
      </c>
      <c r="C929" s="2" t="s">
        <v>594</v>
      </c>
      <c r="D929" s="2" t="str">
        <f t="shared" si="13"/>
        <v>Error?</v>
      </c>
    </row>
    <row r="930" spans="1:4" x14ac:dyDescent="0.2">
      <c r="A930" s="5">
        <v>869</v>
      </c>
      <c r="B930" s="138">
        <f>'Expenditures 15-22'!F75</f>
        <v>5316</v>
      </c>
      <c r="D930" s="2" t="str">
        <f t="shared" si="13"/>
        <v>Error?</v>
      </c>
    </row>
    <row r="931" spans="1:4" x14ac:dyDescent="0.2">
      <c r="A931" s="5">
        <v>870</v>
      </c>
      <c r="B931" s="138">
        <f>'Expenditures 15-22'!F114</f>
        <v>521958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2554</v>
      </c>
      <c r="D960" s="2" t="str">
        <f t="shared" si="14"/>
        <v>Error?</v>
      </c>
    </row>
    <row r="961" spans="1:4" x14ac:dyDescent="0.2">
      <c r="A961" s="5">
        <v>900</v>
      </c>
      <c r="B961" s="138">
        <f>'Expenditures 15-22'!G45</f>
        <v>3514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6068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6068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6068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64856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375371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440227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6342450</v>
      </c>
      <c r="C1093" s="2" t="s">
        <v>594</v>
      </c>
      <c r="D1093" s="2" t="str">
        <f t="shared" si="16"/>
        <v>Error?</v>
      </c>
    </row>
    <row r="1094" spans="1:4" x14ac:dyDescent="0.2">
      <c r="A1094" s="5">
        <v>1033</v>
      </c>
      <c r="B1094" s="138">
        <f>'Expenditures 15-22'!K16</f>
        <v>209734</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99369</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213610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8060402</v>
      </c>
      <c r="C1108" s="2" t="s">
        <v>594</v>
      </c>
      <c r="D1108" s="2" t="str">
        <f t="shared" si="16"/>
        <v>Error?</v>
      </c>
    </row>
    <row r="1109" spans="1:4" x14ac:dyDescent="0.2">
      <c r="A1109" s="5">
        <v>1048</v>
      </c>
      <c r="B1109" s="138">
        <f>'Expenditures 15-22'!K36</f>
        <v>238337</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163261</v>
      </c>
      <c r="C1111" s="2" t="s">
        <v>594</v>
      </c>
      <c r="D1111" s="2" t="str">
        <f t="shared" si="16"/>
        <v>Error?</v>
      </c>
    </row>
    <row r="1112" spans="1:4" x14ac:dyDescent="0.2">
      <c r="A1112" s="5">
        <v>1051</v>
      </c>
      <c r="B1112" s="138">
        <f>'Expenditures 15-22'!K39</f>
        <v>101586</v>
      </c>
      <c r="C1112" s="2" t="s">
        <v>594</v>
      </c>
      <c r="D1112" s="2" t="str">
        <f t="shared" si="16"/>
        <v>Error?</v>
      </c>
    </row>
    <row r="1113" spans="1:4" x14ac:dyDescent="0.2">
      <c r="A1113" s="5">
        <v>1052</v>
      </c>
      <c r="B1113" s="138">
        <f>'Expenditures 15-22'!K40</f>
        <v>243269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746453</v>
      </c>
      <c r="C1115" s="2" t="s">
        <v>594</v>
      </c>
      <c r="D1115" s="2" t="str">
        <f t="shared" si="16"/>
        <v>Error?</v>
      </c>
    </row>
    <row r="1116" spans="1:4" x14ac:dyDescent="0.2">
      <c r="A1116" s="5">
        <v>1055</v>
      </c>
      <c r="B1116" s="138">
        <f>'Expenditures 15-22'!K44</f>
        <v>313472</v>
      </c>
      <c r="C1116" s="2" t="s">
        <v>594</v>
      </c>
      <c r="D1116" s="2" t="str">
        <f t="shared" si="16"/>
        <v>Error?</v>
      </c>
    </row>
    <row r="1117" spans="1:4" x14ac:dyDescent="0.2">
      <c r="A1117" s="5">
        <v>1056</v>
      </c>
      <c r="B1117" s="138">
        <f>'Expenditures 15-22'!K45</f>
        <v>1085428</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1398900</v>
      </c>
      <c r="C1119" s="2" t="s">
        <v>594</v>
      </c>
      <c r="D1119" s="2" t="str">
        <f t="shared" si="16"/>
        <v>Error?</v>
      </c>
    </row>
    <row r="1120" spans="1:4" x14ac:dyDescent="0.2">
      <c r="A1120" s="5">
        <v>1059</v>
      </c>
      <c r="B1120" s="138">
        <f>'Expenditures 15-22'!K49</f>
        <v>118662</v>
      </c>
      <c r="C1120" s="2" t="s">
        <v>594</v>
      </c>
      <c r="D1120" s="2" t="str">
        <f t="shared" si="16"/>
        <v>Error?</v>
      </c>
    </row>
    <row r="1121" spans="1:4" x14ac:dyDescent="0.2">
      <c r="A1121" s="5">
        <v>1060</v>
      </c>
      <c r="B1121" s="138">
        <f>'Expenditures 15-22'!K50</f>
        <v>310515</v>
      </c>
      <c r="C1121" s="2" t="s">
        <v>594</v>
      </c>
      <c r="D1121" s="2" t="str">
        <f t="shared" si="16"/>
        <v>Error?</v>
      </c>
    </row>
    <row r="1122" spans="1:4" x14ac:dyDescent="0.2">
      <c r="A1122" s="5">
        <v>1061</v>
      </c>
      <c r="B1122" s="138">
        <f>'Expenditures 15-22'!K53</f>
        <v>429177</v>
      </c>
      <c r="C1122" s="2" t="s">
        <v>594</v>
      </c>
      <c r="D1122" s="2" t="str">
        <f t="shared" si="16"/>
        <v>Error?</v>
      </c>
    </row>
    <row r="1123" spans="1:4" x14ac:dyDescent="0.2">
      <c r="A1123" s="5">
        <v>1062</v>
      </c>
      <c r="B1123" s="138">
        <f>'Expenditures 15-22'!K55</f>
        <v>594913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594913</v>
      </c>
      <c r="C1125" s="2" t="s">
        <v>594</v>
      </c>
      <c r="D1125" s="2" t="str">
        <f t="shared" si="16"/>
        <v>Error?</v>
      </c>
    </row>
    <row r="1126" spans="1:4" x14ac:dyDescent="0.2">
      <c r="A1126" s="5">
        <v>1065</v>
      </c>
      <c r="B1126" s="138">
        <f>'Expenditures 15-22'!K59</f>
        <v>80107</v>
      </c>
      <c r="C1126" s="2" t="s">
        <v>594</v>
      </c>
      <c r="D1126" s="2" t="str">
        <f t="shared" si="16"/>
        <v>Error?</v>
      </c>
    </row>
    <row r="1127" spans="1:4" x14ac:dyDescent="0.2">
      <c r="A1127" s="5">
        <v>1066</v>
      </c>
      <c r="B1127" s="138">
        <f>'Expenditures 15-22'!K60</f>
        <v>233563</v>
      </c>
      <c r="C1127" s="2" t="s">
        <v>594</v>
      </c>
      <c r="D1127" s="2" t="str">
        <f t="shared" si="16"/>
        <v>Error?</v>
      </c>
    </row>
    <row r="1128" spans="1:4" x14ac:dyDescent="0.2">
      <c r="A1128" s="5">
        <v>1067</v>
      </c>
      <c r="B1128" s="138">
        <f>'Expenditures 15-22'!K61</f>
        <v>-6149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91269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398790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3568233</v>
      </c>
      <c r="C1143" s="2" t="s">
        <v>594</v>
      </c>
      <c r="D1143" s="2" t="str">
        <f t="shared" si="16"/>
        <v>Error?</v>
      </c>
    </row>
    <row r="1144" spans="1:4" x14ac:dyDescent="0.2">
      <c r="A1144" s="5">
        <v>1083</v>
      </c>
      <c r="B1144" s="138">
        <f>'Expenditures 15-22'!K75</f>
        <v>100128</v>
      </c>
      <c r="C1144" s="2" t="s">
        <v>594</v>
      </c>
      <c r="D1144" s="2" t="str">
        <f t="shared" si="16"/>
        <v>Error?</v>
      </c>
    </row>
    <row r="1145" spans="1:4" x14ac:dyDescent="0.2">
      <c r="A1145" s="5">
        <v>1084</v>
      </c>
      <c r="B1145" s="138">
        <f>'Expenditures 15-22'!K102</f>
        <v>392017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12120780</v>
      </c>
      <c r="C1152" s="2" t="s">
        <v>594</v>
      </c>
      <c r="D1152" s="2" t="str">
        <f t="shared" si="17"/>
        <v>Error?</v>
      </c>
    </row>
    <row r="1153" spans="1:4" x14ac:dyDescent="0.2">
      <c r="A1153" s="5">
        <v>1092</v>
      </c>
      <c r="B1153" s="138">
        <f>'Expenditures 15-22'!K115</f>
        <v>1307228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367378</v>
      </c>
      <c r="D1221" s="2" t="str">
        <f t="shared" si="18"/>
        <v>Error?</v>
      </c>
    </row>
    <row r="1222" spans="1:4" x14ac:dyDescent="0.2">
      <c r="A1222" s="10">
        <v>1161</v>
      </c>
      <c r="D1222" s="2" t="str">
        <f t="shared" si="18"/>
        <v>OK</v>
      </c>
    </row>
    <row r="1223" spans="1:4" x14ac:dyDescent="0.2">
      <c r="A1223" s="5">
        <v>1162</v>
      </c>
      <c r="B1223" s="138">
        <f>'Expenditures 15-22'!C127</f>
        <v>367378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367378</v>
      </c>
      <c r="C1225" s="2" t="s">
        <v>594</v>
      </c>
      <c r="D1225" s="2" t="str">
        <f t="shared" si="18"/>
        <v>Error?</v>
      </c>
    </row>
    <row r="1226" spans="1:4" x14ac:dyDescent="0.2">
      <c r="A1226" s="5">
        <v>1165</v>
      </c>
      <c r="B1226" s="138">
        <f>'Expenditures 15-22'!C151</f>
        <v>367378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82470</v>
      </c>
      <c r="D1229" s="2" t="str">
        <f t="shared" si="18"/>
        <v>Error?</v>
      </c>
    </row>
    <row r="1230" spans="1:4" x14ac:dyDescent="0.2">
      <c r="A1230" s="10">
        <v>1169</v>
      </c>
      <c r="D1230" s="2" t="str">
        <f t="shared" si="18"/>
        <v>OK</v>
      </c>
    </row>
    <row r="1231" spans="1:4" x14ac:dyDescent="0.2">
      <c r="A1231" s="5">
        <v>1170</v>
      </c>
      <c r="B1231" s="138">
        <f>'Expenditures 15-22'!D127</f>
        <v>82470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82470</v>
      </c>
      <c r="C1233" s="2" t="s">
        <v>594</v>
      </c>
      <c r="D1233" s="2" t="str">
        <f t="shared" si="18"/>
        <v>Error?</v>
      </c>
    </row>
    <row r="1234" spans="1:4" x14ac:dyDescent="0.2">
      <c r="A1234" s="5">
        <v>1173</v>
      </c>
      <c r="B1234" s="138">
        <f>'Expenditures 15-22'!D151</f>
        <v>82470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275552</v>
      </c>
      <c r="D1237" s="2" t="str">
        <f t="shared" si="18"/>
        <v>Error?</v>
      </c>
    </row>
    <row r="1238" spans="1:4" x14ac:dyDescent="0.2">
      <c r="A1238" s="10">
        <v>1177</v>
      </c>
      <c r="D1238" s="2" t="str">
        <f t="shared" si="18"/>
        <v>OK</v>
      </c>
    </row>
    <row r="1239" spans="1:4" x14ac:dyDescent="0.2">
      <c r="A1239" s="5">
        <v>1178</v>
      </c>
      <c r="B1239" s="138">
        <f>'Expenditures 15-22'!E127</f>
        <v>275552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275552</v>
      </c>
      <c r="C1241" s="2" t="s">
        <v>594</v>
      </c>
      <c r="D1241" s="2" t="str">
        <f t="shared" si="18"/>
        <v>Error?</v>
      </c>
    </row>
    <row r="1242" spans="1:4" x14ac:dyDescent="0.2">
      <c r="A1242" s="5">
        <v>1181</v>
      </c>
      <c r="B1242" s="138">
        <f>'Expenditures 15-22'!E151</f>
        <v>321432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220749</v>
      </c>
      <c r="D1245" s="2" t="str">
        <f t="shared" si="18"/>
        <v>Error?</v>
      </c>
    </row>
    <row r="1246" spans="1:4" x14ac:dyDescent="0.2">
      <c r="A1246" s="10">
        <v>1185</v>
      </c>
      <c r="D1246" s="2" t="str">
        <f t="shared" si="18"/>
        <v>OK</v>
      </c>
    </row>
    <row r="1247" spans="1:4" x14ac:dyDescent="0.2">
      <c r="A1247" s="5">
        <v>1186</v>
      </c>
      <c r="B1247" s="138">
        <f>'Expenditures 15-22'!F127</f>
        <v>220749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220749</v>
      </c>
      <c r="C1249" s="2" t="s">
        <v>594</v>
      </c>
      <c r="D1249" s="2" t="str">
        <f t="shared" si="18"/>
        <v>Error?</v>
      </c>
    </row>
    <row r="1250" spans="1:4" x14ac:dyDescent="0.2">
      <c r="A1250" s="5">
        <v>1189</v>
      </c>
      <c r="B1250" s="138">
        <f>'Expenditures 15-22'!F151</f>
        <v>220749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6425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6425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6425</v>
      </c>
      <c r="C1258" s="2" t="s">
        <v>594</v>
      </c>
      <c r="D1258" s="2" t="str">
        <f t="shared" si="18"/>
        <v>Error?</v>
      </c>
    </row>
    <row r="1259" spans="1:4" x14ac:dyDescent="0.2">
      <c r="A1259" s="5">
        <v>1198</v>
      </c>
      <c r="B1259" s="138">
        <f>'Expenditures 15-22'!G151</f>
        <v>6425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956907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956907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956907</v>
      </c>
      <c r="C1281" s="2" t="s">
        <v>594</v>
      </c>
      <c r="D1281" s="2" t="str">
        <f t="shared" si="19"/>
        <v>Error?</v>
      </c>
    </row>
    <row r="1282" spans="1:4" x14ac:dyDescent="0.2">
      <c r="A1282" s="5">
        <v>1221</v>
      </c>
      <c r="B1282" s="138">
        <f>'Expenditures 15-22'!K139</f>
        <v>45880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1002787</v>
      </c>
      <c r="C1288" s="2" t="s">
        <v>594</v>
      </c>
      <c r="D1288" s="2" t="str">
        <f t="shared" si="19"/>
        <v>Error?</v>
      </c>
    </row>
    <row r="1289" spans="1:4" x14ac:dyDescent="0.2">
      <c r="A1289" s="5">
        <v>1228</v>
      </c>
      <c r="B1289" s="138">
        <f>'Expenditures 15-22'!K152</f>
        <v>189844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16178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495000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511178</v>
      </c>
      <c r="C1317" s="2" t="s">
        <v>594</v>
      </c>
      <c r="D1317" s="2" t="str">
        <f t="shared" si="19"/>
        <v>Error?</v>
      </c>
    </row>
    <row r="1318" spans="1:4" x14ac:dyDescent="0.2">
      <c r="A1318" s="5">
        <v>1257</v>
      </c>
      <c r="B1318" s="138">
        <f>'Expenditures 15-22'!H174</f>
        <v>511178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16178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495000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511178</v>
      </c>
      <c r="C1331" s="2" t="s">
        <v>594</v>
      </c>
      <c r="D1331" s="2" t="str">
        <f t="shared" si="19"/>
        <v>Error?</v>
      </c>
    </row>
    <row r="1332" spans="1:4" x14ac:dyDescent="0.2">
      <c r="A1332" s="5">
        <v>1271</v>
      </c>
      <c r="B1332" s="138">
        <f>'Expenditures 15-22'!K174</f>
        <v>511178</v>
      </c>
      <c r="C1332" s="2" t="s">
        <v>594</v>
      </c>
      <c r="D1332" s="2" t="str">
        <f t="shared" si="19"/>
        <v>Error?</v>
      </c>
    </row>
    <row r="1333" spans="1:4" x14ac:dyDescent="0.2">
      <c r="A1333" s="5">
        <v>1272</v>
      </c>
      <c r="B1333" s="138">
        <f>'Expenditures 15-22'!K175</f>
        <v>-315233</v>
      </c>
      <c r="C1333" s="2" t="s">
        <v>594</v>
      </c>
      <c r="D1333" s="2" t="str">
        <f t="shared" si="19"/>
        <v>Error?</v>
      </c>
    </row>
    <row r="1334" spans="1:4" x14ac:dyDescent="0.2">
      <c r="A1334" s="10">
        <v>1273</v>
      </c>
      <c r="D1334" s="2" t="str">
        <f t="shared" si="19"/>
        <v>OK</v>
      </c>
    </row>
    <row r="1335" spans="1:4" x14ac:dyDescent="0.2">
      <c r="A1335" s="5">
        <v>1274</v>
      </c>
      <c r="B1335" s="138">
        <f>'Expenditures 15-22'!C182</f>
        <v>8813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8813</v>
      </c>
      <c r="C1339" s="2" t="s">
        <v>594</v>
      </c>
      <c r="D1339" s="2" t="str">
        <f t="shared" si="19"/>
        <v>Error?</v>
      </c>
    </row>
    <row r="1340" spans="1:4" x14ac:dyDescent="0.2">
      <c r="A1340" s="5">
        <v>1279</v>
      </c>
      <c r="B1340" s="138">
        <f>'Expenditures 15-22'!C210</f>
        <v>8813</v>
      </c>
      <c r="C1340" s="2" t="s">
        <v>594</v>
      </c>
      <c r="D1340" s="2" t="str">
        <f t="shared" si="19"/>
        <v>Error?</v>
      </c>
    </row>
    <row r="1341" spans="1:4" x14ac:dyDescent="0.2">
      <c r="A1341" s="5">
        <v>1280</v>
      </c>
      <c r="B1341" s="138">
        <f>'Expenditures 15-22'!D182</f>
        <v>1116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1116</v>
      </c>
      <c r="C1345" s="2" t="s">
        <v>594</v>
      </c>
      <c r="D1345" s="2" t="str">
        <f t="shared" si="20"/>
        <v>Error?</v>
      </c>
    </row>
    <row r="1346" spans="1:4" x14ac:dyDescent="0.2">
      <c r="A1346" s="5">
        <v>1285</v>
      </c>
      <c r="B1346" s="138">
        <f>'Expenditures 15-22'!D210</f>
        <v>1116</v>
      </c>
      <c r="C1346" s="2" t="s">
        <v>594</v>
      </c>
      <c r="D1346" s="2" t="str">
        <f t="shared" si="20"/>
        <v>Error?</v>
      </c>
    </row>
    <row r="1347" spans="1:4" x14ac:dyDescent="0.2">
      <c r="A1347" s="5">
        <v>1286</v>
      </c>
      <c r="B1347" s="138">
        <f>'Expenditures 15-22'!E182</f>
        <v>715321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715321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715321</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725250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725250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725250</v>
      </c>
      <c r="C1388" s="2" t="s">
        <v>594</v>
      </c>
      <c r="D1388" s="2" t="str">
        <f t="shared" si="20"/>
        <v>Error?</v>
      </c>
    </row>
    <row r="1389" spans="1:4" x14ac:dyDescent="0.2">
      <c r="A1389" s="5">
        <v>1328</v>
      </c>
      <c r="B1389" s="138">
        <f>'Expenditures 15-22'!K211</f>
        <v>148080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2699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1278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8690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141536</v>
      </c>
      <c r="C1410" s="2" t="s">
        <v>594</v>
      </c>
      <c r="D1410" s="2" t="str">
        <f t="shared" si="21"/>
        <v>Error?</v>
      </c>
    </row>
    <row r="1411" spans="1:4" x14ac:dyDescent="0.2">
      <c r="A1411" s="5">
        <v>1350</v>
      </c>
      <c r="B1411" s="138">
        <f>'Expenditures 15-22'!D232</f>
        <v>2802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29131</v>
      </c>
      <c r="D1413" s="2" t="str">
        <f t="shared" si="21"/>
        <v>Error?</v>
      </c>
    </row>
    <row r="1414" spans="1:4" x14ac:dyDescent="0.2">
      <c r="A1414" s="5">
        <v>1353</v>
      </c>
      <c r="B1414" s="138">
        <f>'Expenditures 15-22'!D235</f>
        <v>1307</v>
      </c>
      <c r="D1414" s="2" t="str">
        <f t="shared" si="21"/>
        <v>Error?</v>
      </c>
    </row>
    <row r="1415" spans="1:4" x14ac:dyDescent="0.2">
      <c r="A1415" s="5">
        <v>1354</v>
      </c>
      <c r="B1415" s="138">
        <f>'Expenditures 15-22'!D236</f>
        <v>3039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36279</v>
      </c>
      <c r="C1417" s="2" t="s">
        <v>594</v>
      </c>
      <c r="D1417" s="2" t="str">
        <f t="shared" si="21"/>
        <v>Error?</v>
      </c>
    </row>
    <row r="1418" spans="1:4" x14ac:dyDescent="0.2">
      <c r="A1418" s="5">
        <v>1357</v>
      </c>
      <c r="B1418" s="138">
        <f>'Expenditures 15-22'!D240</f>
        <v>2275</v>
      </c>
      <c r="D1418" s="2" t="str">
        <f t="shared" si="21"/>
        <v>Error?</v>
      </c>
    </row>
    <row r="1419" spans="1:4" x14ac:dyDescent="0.2">
      <c r="A1419" s="5">
        <v>1358</v>
      </c>
      <c r="B1419" s="138">
        <f>'Expenditures 15-22'!D241</f>
        <v>40347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42622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14104</v>
      </c>
      <c r="D1423" s="2" t="str">
        <f t="shared" si="21"/>
        <v>Error?</v>
      </c>
    </row>
    <row r="1424" spans="1:4" x14ac:dyDescent="0.2">
      <c r="A1424" s="5">
        <v>1363</v>
      </c>
      <c r="B1424" s="138">
        <f>'Expenditures 15-22'!D257</f>
        <v>14104</v>
      </c>
      <c r="C1424" s="2" t="s">
        <v>594</v>
      </c>
      <c r="D1424" s="2" t="str">
        <f t="shared" si="21"/>
        <v>Error?</v>
      </c>
    </row>
    <row r="1425" spans="1:4" x14ac:dyDescent="0.2">
      <c r="A1425" s="5">
        <v>1364</v>
      </c>
      <c r="B1425" s="138">
        <f>'Expenditures 15-22'!D259</f>
        <v>33951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33951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2050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64753</v>
      </c>
      <c r="D1431" s="2" t="str">
        <f t="shared" si="21"/>
        <v>Error?</v>
      </c>
    </row>
    <row r="1432" spans="1:4" x14ac:dyDescent="0.2">
      <c r="A1432" s="5">
        <v>1371</v>
      </c>
      <c r="B1432" s="138">
        <f>'Expenditures 15-22'!D267</f>
        <v>1608</v>
      </c>
      <c r="D1432" s="2" t="str">
        <f t="shared" si="21"/>
        <v>Error?</v>
      </c>
    </row>
    <row r="1433" spans="1:4" x14ac:dyDescent="0.2">
      <c r="A1433" s="5">
        <v>1372</v>
      </c>
      <c r="B1433" s="138">
        <f>'Expenditures 15-22'!D268</f>
        <v>6353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74764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201720</v>
      </c>
      <c r="C1446" s="2" t="s">
        <v>594</v>
      </c>
      <c r="D1446" s="2" t="str">
        <f t="shared" si="21"/>
        <v>Error?</v>
      </c>
    </row>
    <row r="1447" spans="1:4" x14ac:dyDescent="0.2">
      <c r="A1447" s="5">
        <v>1386</v>
      </c>
      <c r="B1447" s="138">
        <f>'Expenditures 15-22'!D280</f>
        <v>12341</v>
      </c>
      <c r="D1447" s="2" t="str">
        <f t="shared" si="21"/>
        <v>Error?</v>
      </c>
    </row>
    <row r="1448" spans="1:4" x14ac:dyDescent="0.2">
      <c r="A1448" s="5">
        <v>1387</v>
      </c>
      <c r="B1448" s="138">
        <f>'Expenditures 15-22'!D295</f>
        <v>397634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2699</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1278</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8690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141536</v>
      </c>
      <c r="C1474" s="2" t="s">
        <v>594</v>
      </c>
      <c r="D1474" s="2" t="str">
        <f t="shared" si="22"/>
        <v>Error?</v>
      </c>
    </row>
    <row r="1475" spans="1:4" x14ac:dyDescent="0.2">
      <c r="A1475" s="5">
        <v>1414</v>
      </c>
      <c r="B1475" s="138">
        <f>'Expenditures 15-22'!K232</f>
        <v>2802</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29131</v>
      </c>
      <c r="C1477" s="2" t="s">
        <v>594</v>
      </c>
      <c r="D1477" s="2" t="str">
        <f t="shared" si="22"/>
        <v>Error?</v>
      </c>
    </row>
    <row r="1478" spans="1:4" x14ac:dyDescent="0.2">
      <c r="A1478" s="5">
        <v>1417</v>
      </c>
      <c r="B1478" s="138">
        <f>'Expenditures 15-22'!K235</f>
        <v>1307</v>
      </c>
      <c r="C1478" s="2" t="s">
        <v>594</v>
      </c>
      <c r="D1478" s="2" t="str">
        <f t="shared" si="22"/>
        <v>Error?</v>
      </c>
    </row>
    <row r="1479" spans="1:4" x14ac:dyDescent="0.2">
      <c r="A1479" s="5">
        <v>1418</v>
      </c>
      <c r="B1479" s="138">
        <f>'Expenditures 15-22'!K236</f>
        <v>3039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36279</v>
      </c>
      <c r="C1481" s="2" t="s">
        <v>594</v>
      </c>
      <c r="D1481" s="2" t="str">
        <f t="shared" si="22"/>
        <v>Error?</v>
      </c>
    </row>
    <row r="1482" spans="1:4" x14ac:dyDescent="0.2">
      <c r="A1482" s="5">
        <v>1421</v>
      </c>
      <c r="B1482" s="138">
        <f>'Expenditures 15-22'!K240</f>
        <v>2275</v>
      </c>
      <c r="C1482" s="2" t="s">
        <v>594</v>
      </c>
      <c r="D1482" s="2" t="str">
        <f t="shared" si="22"/>
        <v>Error?</v>
      </c>
    </row>
    <row r="1483" spans="1:4" x14ac:dyDescent="0.2">
      <c r="A1483" s="5">
        <v>1422</v>
      </c>
      <c r="B1483" s="138">
        <f>'Expenditures 15-22'!K241</f>
        <v>40347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42622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14104</v>
      </c>
      <c r="C1487" s="2" t="s">
        <v>594</v>
      </c>
      <c r="D1487" s="2" t="str">
        <f t="shared" si="22"/>
        <v>Error?</v>
      </c>
    </row>
    <row r="1488" spans="1:4" x14ac:dyDescent="0.2">
      <c r="A1488" s="5">
        <v>1427</v>
      </c>
      <c r="B1488" s="138">
        <f>'Expenditures 15-22'!K257</f>
        <v>14104</v>
      </c>
      <c r="C1488" s="2" t="s">
        <v>594</v>
      </c>
      <c r="D1488" s="2" t="str">
        <f t="shared" si="22"/>
        <v>Error?</v>
      </c>
    </row>
    <row r="1489" spans="1:4" x14ac:dyDescent="0.2">
      <c r="A1489" s="5">
        <v>1428</v>
      </c>
      <c r="B1489" s="138">
        <f>'Expenditures 15-22'!K259</f>
        <v>33951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33951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2050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64753</v>
      </c>
      <c r="C1495" s="2" t="s">
        <v>594</v>
      </c>
      <c r="D1495" s="2" t="str">
        <f t="shared" si="22"/>
        <v>Error?</v>
      </c>
    </row>
    <row r="1496" spans="1:4" x14ac:dyDescent="0.2">
      <c r="A1496" s="5">
        <v>1435</v>
      </c>
      <c r="B1496" s="138">
        <f>'Expenditures 15-22'!K267</f>
        <v>1608</v>
      </c>
      <c r="C1496" s="2" t="s">
        <v>594</v>
      </c>
      <c r="D1496" s="2" t="str">
        <f t="shared" si="22"/>
        <v>Error?</v>
      </c>
    </row>
    <row r="1497" spans="1:4" x14ac:dyDescent="0.2">
      <c r="A1497" s="5">
        <v>1436</v>
      </c>
      <c r="B1497" s="138">
        <f>'Expenditures 15-22'!K268</f>
        <v>6353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74764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201720</v>
      </c>
      <c r="C1510" s="2" t="s">
        <v>594</v>
      </c>
      <c r="D1510" s="2" t="str">
        <f t="shared" si="22"/>
        <v>Error?</v>
      </c>
    </row>
    <row r="1511" spans="1:4" x14ac:dyDescent="0.2">
      <c r="A1511" s="5">
        <v>1450</v>
      </c>
      <c r="B1511" s="138">
        <f>'Expenditures 15-22'!K280</f>
        <v>12341</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397634</v>
      </c>
      <c r="C1517" s="2" t="s">
        <v>594</v>
      </c>
      <c r="D1517" s="2" t="str">
        <f t="shared" si="22"/>
        <v>Error?</v>
      </c>
    </row>
    <row r="1518" spans="1:4" x14ac:dyDescent="0.2">
      <c r="A1518" s="5">
        <v>1457</v>
      </c>
      <c r="B1518" s="138">
        <f>'Expenditures 15-22'!K296</f>
        <v>-15284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364723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364723</v>
      </c>
      <c r="C1547" s="2" t="s">
        <v>594</v>
      </c>
      <c r="D1547" s="2" t="str">
        <f t="shared" si="23"/>
        <v>Error?</v>
      </c>
    </row>
    <row r="1548" spans="1:4" x14ac:dyDescent="0.2">
      <c r="A1548" s="5">
        <v>1487</v>
      </c>
      <c r="B1548" s="138">
        <f>'Expenditures 15-22'!G312</f>
        <v>364723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364723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364723</v>
      </c>
      <c r="C1559" s="2" t="s">
        <v>594</v>
      </c>
      <c r="D1559" s="2" t="str">
        <f t="shared" si="23"/>
        <v>Error?</v>
      </c>
    </row>
    <row r="1560" spans="1:4" x14ac:dyDescent="0.2">
      <c r="A1560" s="5">
        <v>1499</v>
      </c>
      <c r="B1560" s="138">
        <f>'Expenditures 15-22'!K312</f>
        <v>364723</v>
      </c>
      <c r="C1560" s="2" t="s">
        <v>594</v>
      </c>
      <c r="D1560" s="2" t="str">
        <f t="shared" si="23"/>
        <v>Error?</v>
      </c>
    </row>
    <row r="1561" spans="1:4" x14ac:dyDescent="0.2">
      <c r="A1561" s="5">
        <v>1500</v>
      </c>
      <c r="B1561" s="138">
        <f>'Expenditures 15-22'!K313</f>
        <v>-363355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-1339385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-333884</v>
      </c>
      <c r="C1630" s="2" t="s">
        <v>594</v>
      </c>
      <c r="D1630" s="2" t="str">
        <f t="shared" si="24"/>
        <v>Error?</v>
      </c>
    </row>
    <row r="1631" spans="1:4" x14ac:dyDescent="0.2">
      <c r="A1631" s="5">
        <v>1570</v>
      </c>
      <c r="B1631" s="138">
        <f>'Acct Summary 7-8'!D79</f>
        <v>409109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598953</v>
      </c>
      <c r="C1644" s="2" t="s">
        <v>594</v>
      </c>
      <c r="D1644" s="2" t="str">
        <f t="shared" si="24"/>
        <v>Error?</v>
      </c>
    </row>
    <row r="1645" spans="1:4" x14ac:dyDescent="0.2">
      <c r="A1645" s="5">
        <v>1584</v>
      </c>
      <c r="B1645" s="138">
        <f>'Acct Summary 7-8'!E79</f>
        <v>15273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1767</v>
      </c>
      <c r="C1658" s="2" t="s">
        <v>594</v>
      </c>
      <c r="D1658" s="2" t="str">
        <f t="shared" si="24"/>
        <v>Error?</v>
      </c>
    </row>
    <row r="1659" spans="1:4" x14ac:dyDescent="0.2">
      <c r="A1659" s="5">
        <v>1598</v>
      </c>
      <c r="B1659" s="138">
        <f>'Acct Summary 7-8'!F79</f>
        <v>54008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202088</v>
      </c>
      <c r="C1672" s="2" t="s">
        <v>594</v>
      </c>
      <c r="D1672" s="2" t="str">
        <f t="shared" si="25"/>
        <v>Error?</v>
      </c>
    </row>
    <row r="1673" spans="1:4" x14ac:dyDescent="0.2">
      <c r="A1673" s="5">
        <v>1612</v>
      </c>
      <c r="B1673" s="138">
        <f>'Acct Summary 7-8'!G79</f>
        <v>105700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90416</v>
      </c>
      <c r="C1686" s="2" t="s">
        <v>594</v>
      </c>
      <c r="D1686" s="2" t="str">
        <f t="shared" si="25"/>
        <v>Error?</v>
      </c>
    </row>
    <row r="1687" spans="1:4" x14ac:dyDescent="0.2">
      <c r="A1687" s="5">
        <v>1626</v>
      </c>
      <c r="B1687" s="138">
        <f>'Acct Summary 7-8'!H79</f>
        <v>373604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10249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12990095</v>
      </c>
      <c r="C1744" s="2" t="s">
        <v>594</v>
      </c>
      <c r="D1744" s="2" t="str">
        <f t="shared" si="26"/>
        <v>Error?</v>
      </c>
    </row>
    <row r="1745" spans="1:5" x14ac:dyDescent="0.2">
      <c r="A1745" s="5">
        <v>1684</v>
      </c>
      <c r="B1745" s="138">
        <f>'Tax Sched 23'!B5</f>
        <v>1320320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647569</v>
      </c>
      <c r="C1747" s="2" t="s">
        <v>594</v>
      </c>
      <c r="D1747" s="2" t="str">
        <f t="shared" si="26"/>
        <v>Error?</v>
      </c>
    </row>
    <row r="1748" spans="1:5" x14ac:dyDescent="0.2">
      <c r="A1748" s="5">
        <v>1687</v>
      </c>
      <c r="B1748" s="138">
        <f>'Tax Sched 23'!B8</f>
        <v>125257</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106645</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15401184</v>
      </c>
      <c r="C1759" s="2" t="s">
        <v>594</v>
      </c>
      <c r="D1759" s="2" t="str">
        <f t="shared" si="26"/>
        <v>Error?</v>
      </c>
    </row>
    <row r="1760" spans="1:5" x14ac:dyDescent="0.2">
      <c r="A1760" s="5">
        <v>1699</v>
      </c>
      <c r="B1760" s="138">
        <f>'Tax Sched 23'!D4</f>
        <v>6048896</v>
      </c>
      <c r="C1760" s="2" t="s">
        <v>594</v>
      </c>
      <c r="D1760" s="2" t="str">
        <f t="shared" si="26"/>
        <v>Error?</v>
      </c>
    </row>
    <row r="1761" spans="1:5" x14ac:dyDescent="0.2">
      <c r="A1761" s="5">
        <v>1700</v>
      </c>
      <c r="B1761" s="138">
        <f>'Tax Sched 23'!D5</f>
        <v>560946</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294998.83</v>
      </c>
      <c r="C1763" s="2" t="s">
        <v>594</v>
      </c>
      <c r="D1763" s="2" t="str">
        <f t="shared" si="26"/>
        <v>Error?</v>
      </c>
    </row>
    <row r="1764" spans="1:5" x14ac:dyDescent="0.2">
      <c r="A1764" s="5">
        <v>1703</v>
      </c>
      <c r="B1764" s="138">
        <f>'Tax Sched 23'!D8</f>
        <v>58533</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51040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7102801.8300000001</v>
      </c>
      <c r="C1775" s="2" t="s">
        <v>594</v>
      </c>
      <c r="D1775" s="2" t="str">
        <f t="shared" si="26"/>
        <v>Error?</v>
      </c>
    </row>
    <row r="1776" spans="1:5" x14ac:dyDescent="0.2">
      <c r="A1776" s="5">
        <v>1715</v>
      </c>
      <c r="B1776" s="138">
        <f>'Tax Sched 23'!C4</f>
        <v>6941199</v>
      </c>
      <c r="D1776" s="2" t="str">
        <f t="shared" si="26"/>
        <v>Error?</v>
      </c>
    </row>
    <row r="1777" spans="1:4" x14ac:dyDescent="0.2">
      <c r="A1777" s="5">
        <v>1716</v>
      </c>
      <c r="B1777" s="138">
        <f>'Tax Sched 23'!C5</f>
        <v>759374</v>
      </c>
      <c r="D1777" s="2" t="str">
        <f t="shared" si="26"/>
        <v>Error?</v>
      </c>
    </row>
    <row r="1778" spans="1:4" x14ac:dyDescent="0.2">
      <c r="A1778" s="5">
        <v>1717</v>
      </c>
      <c r="B1778" s="138">
        <f>'Tax Sched 23'!C6</f>
        <v>0</v>
      </c>
      <c r="D1778" s="2" t="str">
        <f t="shared" si="26"/>
        <v>Error?</v>
      </c>
    </row>
    <row r="1779" spans="1:4" x14ac:dyDescent="0.2">
      <c r="A1779" s="5">
        <v>1718</v>
      </c>
      <c r="B1779" s="138">
        <f>'Tax Sched 23'!C7</f>
        <v>352570.17</v>
      </c>
      <c r="D1779" s="2" t="str">
        <f t="shared" si="26"/>
        <v>Error?</v>
      </c>
    </row>
    <row r="1780" spans="1:4" x14ac:dyDescent="0.2">
      <c r="A1780" s="5">
        <v>1719</v>
      </c>
      <c r="B1780" s="138">
        <f>'Tax Sched 23'!C8</f>
        <v>66724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55605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8298382.1699999999</v>
      </c>
      <c r="C1791" s="2" t="s">
        <v>594</v>
      </c>
      <c r="D1791" s="2" t="str">
        <f t="shared" ref="D1791:D1854" si="27">IF(ISBLANK(B1791),"OK",IF(A1791-B1791=0,"OK","Error?"))</f>
        <v>Error?</v>
      </c>
    </row>
    <row r="1792" spans="1:4" x14ac:dyDescent="0.2">
      <c r="A1792" s="5">
        <v>1731</v>
      </c>
      <c r="B1792" s="138">
        <f>'Tax Sched 23'!F4</f>
        <v>5542377</v>
      </c>
      <c r="C1792" s="2" t="s">
        <v>594</v>
      </c>
      <c r="D1792" s="2" t="str">
        <f t="shared" si="27"/>
        <v>Error?</v>
      </c>
    </row>
    <row r="1793" spans="1:4" x14ac:dyDescent="0.2">
      <c r="A1793" s="5">
        <v>1732</v>
      </c>
      <c r="B1793" s="138">
        <f>'Tax Sched 23'!F5</f>
        <v>606342</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281518.83</v>
      </c>
      <c r="C1795" s="2" t="s">
        <v>594</v>
      </c>
      <c r="D1795" s="2" t="str">
        <f t="shared" si="27"/>
        <v>Error?</v>
      </c>
    </row>
    <row r="1796" spans="1:4" x14ac:dyDescent="0.2">
      <c r="A1796" s="5">
        <v>1735</v>
      </c>
      <c r="B1796" s="138">
        <f>'Tax Sched 23'!F8</f>
        <v>53277</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44398</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6626053.8300000001</v>
      </c>
      <c r="C1807" s="2" t="s">
        <v>594</v>
      </c>
      <c r="D1807" s="2" t="str">
        <f t="shared" si="27"/>
        <v>Error?</v>
      </c>
    </row>
    <row r="1808" spans="1:4" x14ac:dyDescent="0.2">
      <c r="A1808" s="5">
        <v>1747</v>
      </c>
      <c r="B1808" s="138">
        <f>'Tax Sched 23'!E4</f>
        <v>12483576</v>
      </c>
      <c r="D1808" s="2" t="str">
        <f t="shared" si="27"/>
        <v>Error?</v>
      </c>
    </row>
    <row r="1809" spans="1:4" x14ac:dyDescent="0.2">
      <c r="A1809" s="5">
        <v>1748</v>
      </c>
      <c r="B1809" s="138">
        <f>'Tax Sched 23'!E5</f>
        <v>1365716</v>
      </c>
      <c r="D1809" s="2" t="str">
        <f t="shared" si="27"/>
        <v>Error?</v>
      </c>
    </row>
    <row r="1810" spans="1:4" x14ac:dyDescent="0.2">
      <c r="A1810" s="5">
        <v>1749</v>
      </c>
      <c r="B1810" s="138">
        <f>'Tax Sched 23'!E6</f>
        <v>0</v>
      </c>
      <c r="D1810" s="2" t="str">
        <f t="shared" si="27"/>
        <v>Error?</v>
      </c>
    </row>
    <row r="1811" spans="1:4" x14ac:dyDescent="0.2">
      <c r="A1811" s="5">
        <v>1750</v>
      </c>
      <c r="B1811" s="138">
        <f>'Tax Sched 23'!E7</f>
        <v>634089</v>
      </c>
      <c r="D1811" s="2" t="str">
        <f t="shared" si="27"/>
        <v>Error?</v>
      </c>
    </row>
    <row r="1812" spans="1:4" x14ac:dyDescent="0.2">
      <c r="A1812" s="5">
        <v>1751</v>
      </c>
      <c r="B1812" s="138">
        <f>'Tax Sched 23'!E8</f>
        <v>120001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100003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14924436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57497</v>
      </c>
      <c r="D2008" s="2" t="str">
        <f t="shared" si="30"/>
        <v>Error?</v>
      </c>
    </row>
    <row r="2009" spans="1:4" x14ac:dyDescent="0.2">
      <c r="A2009" s="5">
        <v>1948</v>
      </c>
      <c r="B2009" s="138">
        <f>'Cap Outlay Deprec 26'!C8</f>
        <v>25366602</v>
      </c>
      <c r="D2009" s="2" t="str">
        <f t="shared" si="30"/>
        <v>Error?</v>
      </c>
    </row>
    <row r="2010" spans="1:4" x14ac:dyDescent="0.2">
      <c r="A2010" s="5">
        <v>1949</v>
      </c>
      <c r="B2010" s="138">
        <f>'Cap Outlay Deprec 26'!C10</f>
        <v>506084</v>
      </c>
      <c r="D2010" s="2" t="str">
        <f t="shared" si="30"/>
        <v>Error?</v>
      </c>
    </row>
    <row r="2011" spans="1:4" x14ac:dyDescent="0.2">
      <c r="A2011" s="5">
        <v>1950</v>
      </c>
      <c r="B2011" s="138">
        <f>'Cap Outlay Deprec 26'!C12</f>
        <v>2684112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28614295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371148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6068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377216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57497</v>
      </c>
      <c r="C2026" s="2" t="s">
        <v>594</v>
      </c>
      <c r="D2026" s="2" t="str">
        <f t="shared" si="30"/>
        <v>Error?</v>
      </c>
    </row>
    <row r="2027" spans="1:4" x14ac:dyDescent="0.2">
      <c r="A2027" s="5">
        <v>1966</v>
      </c>
      <c r="B2027" s="138">
        <f>'Cap Outlay Deprec 26'!F8</f>
        <v>25737750</v>
      </c>
      <c r="C2027" s="2" t="s">
        <v>594</v>
      </c>
      <c r="D2027" s="2" t="str">
        <f t="shared" si="30"/>
        <v>Error?</v>
      </c>
    </row>
    <row r="2028" spans="1:4" x14ac:dyDescent="0.2">
      <c r="A2028" s="5">
        <v>1967</v>
      </c>
      <c r="B2028" s="138">
        <f>'Cap Outlay Deprec 26'!F10</f>
        <v>506084</v>
      </c>
      <c r="C2028" s="2" t="s">
        <v>594</v>
      </c>
      <c r="D2028" s="2" t="str">
        <f t="shared" si="30"/>
        <v>Error?</v>
      </c>
    </row>
    <row r="2029" spans="1:4" x14ac:dyDescent="0.2">
      <c r="A2029" s="5">
        <v>1968</v>
      </c>
      <c r="B2029" s="138">
        <f>'Cap Outlay Deprec 26'!F12</f>
        <v>2690180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28991511</v>
      </c>
      <c r="C2031" s="2" t="s">
        <v>594</v>
      </c>
      <c r="D2031" s="2" t="str">
        <f t="shared" si="30"/>
        <v>Error?</v>
      </c>
    </row>
    <row r="2032" spans="1:4" x14ac:dyDescent="0.2">
      <c r="A2032" s="10">
        <v>1971</v>
      </c>
      <c r="D2032" s="2" t="str">
        <f t="shared" si="30"/>
        <v>OK</v>
      </c>
    </row>
    <row r="2033" spans="1:4" x14ac:dyDescent="0.2">
      <c r="A2033" s="5">
        <v>1972</v>
      </c>
      <c r="B2033" s="138">
        <f>'Cap Outlay Deprec 26'!H8</f>
        <v>4444142</v>
      </c>
      <c r="D2033" s="2" t="str">
        <f t="shared" si="30"/>
        <v>Error?</v>
      </c>
    </row>
    <row r="2034" spans="1:4" x14ac:dyDescent="0.2">
      <c r="A2034" s="5">
        <v>1973</v>
      </c>
      <c r="B2034" s="138">
        <f>'Cap Outlay Deprec 26'!H10</f>
        <v>226814</v>
      </c>
      <c r="D2034" s="2" t="str">
        <f t="shared" si="30"/>
        <v>Error?</v>
      </c>
    </row>
    <row r="2035" spans="1:4" x14ac:dyDescent="0.2">
      <c r="A2035" s="5">
        <v>1974</v>
      </c>
      <c r="B2035" s="138">
        <f>'Cap Outlay Deprec 26'!H12</f>
        <v>1853134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6524090</v>
      </c>
      <c r="C2037" s="2" t="s">
        <v>594</v>
      </c>
      <c r="D2037" s="2" t="str">
        <f t="shared" si="30"/>
        <v>Error?</v>
      </c>
    </row>
    <row r="2038" spans="1:4" x14ac:dyDescent="0.2">
      <c r="A2038" s="10">
        <v>1977</v>
      </c>
      <c r="D2038" s="2" t="str">
        <f t="shared" si="30"/>
        <v>OK</v>
      </c>
    </row>
    <row r="2039" spans="1:4" x14ac:dyDescent="0.2">
      <c r="A2039" s="5">
        <v>1978</v>
      </c>
      <c r="B2039" s="138">
        <f>'Cap Outlay Deprec 26'!I8</f>
        <v>511301</v>
      </c>
      <c r="D2039" s="2" t="str">
        <f t="shared" si="30"/>
        <v>Error?</v>
      </c>
    </row>
    <row r="2040" spans="1:4" x14ac:dyDescent="0.2">
      <c r="A2040" s="5">
        <v>1979</v>
      </c>
      <c r="B2040" s="138">
        <f>'Cap Outlay Deprec 26'!I10</f>
        <v>17605</v>
      </c>
      <c r="D2040" s="2" t="str">
        <f t="shared" si="30"/>
        <v>Error?</v>
      </c>
    </row>
    <row r="2041" spans="1:4" x14ac:dyDescent="0.2">
      <c r="A2041" s="5">
        <v>1980</v>
      </c>
      <c r="B2041" s="138">
        <f>'Cap Outlay Deprec 26'!I12</f>
        <v>247049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775955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4955443</v>
      </c>
      <c r="C2051" s="2" t="s">
        <v>594</v>
      </c>
      <c r="D2051" s="2" t="str">
        <f t="shared" si="31"/>
        <v>Error?</v>
      </c>
    </row>
    <row r="2052" spans="1:4" x14ac:dyDescent="0.2">
      <c r="A2052" s="5">
        <v>1991</v>
      </c>
      <c r="B2052" s="138">
        <f>'Cap Outlay Deprec 26'!K10</f>
        <v>244419</v>
      </c>
      <c r="C2052" s="2" t="s">
        <v>594</v>
      </c>
      <c r="D2052" s="2" t="str">
        <f t="shared" si="31"/>
        <v>Error?</v>
      </c>
    </row>
    <row r="2053" spans="1:4" x14ac:dyDescent="0.2">
      <c r="A2053" s="5">
        <v>1992</v>
      </c>
      <c r="B2053" s="138">
        <f>'Cap Outlay Deprec 26'!K12</f>
        <v>2100183</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7300045</v>
      </c>
      <c r="C2055" s="2" t="s">
        <v>594</v>
      </c>
      <c r="D2055" s="2" t="str">
        <f t="shared" si="31"/>
        <v>Error?</v>
      </c>
    </row>
    <row r="2056" spans="1:4" x14ac:dyDescent="0.2">
      <c r="A2056" s="5">
        <v>1995</v>
      </c>
      <c r="B2056" s="138">
        <f>'Cap Outlay Deprec 26'!L5</f>
        <v>57497</v>
      </c>
      <c r="C2056" s="2" t="s">
        <v>594</v>
      </c>
      <c r="D2056" s="2" t="str">
        <f t="shared" si="31"/>
        <v>Error?</v>
      </c>
    </row>
    <row r="2057" spans="1:4" x14ac:dyDescent="0.2">
      <c r="A2057" s="5">
        <v>1996</v>
      </c>
      <c r="B2057" s="138">
        <f>'Cap Outlay Deprec 26'!L8</f>
        <v>20782307</v>
      </c>
      <c r="C2057" s="2" t="s">
        <v>594</v>
      </c>
      <c r="D2057" s="2" t="str">
        <f t="shared" si="31"/>
        <v>Error?</v>
      </c>
    </row>
    <row r="2058" spans="1:4" x14ac:dyDescent="0.2">
      <c r="A2058" s="5">
        <v>1997</v>
      </c>
      <c r="B2058" s="138">
        <f>'Cap Outlay Deprec 26'!L10</f>
        <v>261665</v>
      </c>
      <c r="C2058" s="2" t="s">
        <v>594</v>
      </c>
      <c r="D2058" s="2" t="str">
        <f t="shared" si="31"/>
        <v>Error?</v>
      </c>
    </row>
    <row r="2059" spans="1:4" x14ac:dyDescent="0.2">
      <c r="A2059" s="5">
        <v>1998</v>
      </c>
      <c r="B2059" s="138">
        <f>'Cap Outlay Deprec 26'!L12</f>
        <v>589997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21691466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16646</v>
      </c>
      <c r="C2088" s="2" t="s">
        <v>594</v>
      </c>
      <c r="D2088" s="2" t="str">
        <f t="shared" si="31"/>
        <v>Error?</v>
      </c>
    </row>
    <row r="2089" spans="1:4" x14ac:dyDescent="0.2">
      <c r="A2089" s="5">
        <v>2028</v>
      </c>
      <c r="B2089" s="138">
        <f>'Expenditures 15-22'!K92</f>
        <v>375371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45880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7101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13056291</v>
      </c>
      <c r="C2551" s="2" t="s">
        <v>594</v>
      </c>
      <c r="D2551" s="2" t="str">
        <f t="shared" si="38"/>
        <v>Error?</v>
      </c>
    </row>
    <row r="2552" spans="1:4" x14ac:dyDescent="0.2">
      <c r="A2552" s="10">
        <v>2491</v>
      </c>
      <c r="D2552" s="2" t="str">
        <f t="shared" si="38"/>
        <v>OK</v>
      </c>
    </row>
    <row r="2553" spans="1:4" x14ac:dyDescent="0.2">
      <c r="A2553" s="5">
        <v>2492</v>
      </c>
      <c r="B2553" s="138">
        <f>'Acct Summary 7-8'!C6</f>
        <v>237115</v>
      </c>
      <c r="C2553" s="2" t="s">
        <v>594</v>
      </c>
      <c r="D2553" s="2" t="str">
        <f t="shared" si="38"/>
        <v>Error?</v>
      </c>
    </row>
    <row r="2554" spans="1:4" x14ac:dyDescent="0.2">
      <c r="A2554" s="5">
        <v>2493</v>
      </c>
      <c r="B2554" s="138">
        <f>'Acct Summary 7-8'!C7</f>
        <v>134602</v>
      </c>
      <c r="C2554" s="2" t="s">
        <v>594</v>
      </c>
      <c r="D2554" s="2" t="str">
        <f t="shared" si="38"/>
        <v>Error?</v>
      </c>
    </row>
    <row r="2555" spans="1:4" x14ac:dyDescent="0.2">
      <c r="A2555" s="5">
        <v>2494</v>
      </c>
      <c r="B2555" s="138">
        <f>'Acct Summary 7-8'!C8</f>
        <v>13428008</v>
      </c>
      <c r="C2555" s="2" t="s">
        <v>594</v>
      </c>
      <c r="D2555" s="2" t="str">
        <f t="shared" si="38"/>
        <v>Error?</v>
      </c>
    </row>
    <row r="2556" spans="1:4" x14ac:dyDescent="0.2">
      <c r="A2556" s="5">
        <v>2495</v>
      </c>
      <c r="B2556" s="138">
        <f>'Acct Summary 7-8'!C12</f>
        <v>8060402</v>
      </c>
      <c r="C2556" s="2" t="s">
        <v>594</v>
      </c>
      <c r="D2556" s="2" t="str">
        <f t="shared" si="38"/>
        <v>Error?</v>
      </c>
    </row>
    <row r="2557" spans="1:4" x14ac:dyDescent="0.2">
      <c r="A2557" s="5">
        <v>2496</v>
      </c>
      <c r="B2557" s="138">
        <f>'Acct Summary 7-8'!C13</f>
        <v>3568233</v>
      </c>
      <c r="C2557" s="2" t="s">
        <v>594</v>
      </c>
      <c r="D2557" s="2" t="str">
        <f t="shared" si="38"/>
        <v>Error?</v>
      </c>
    </row>
    <row r="2558" spans="1:4" x14ac:dyDescent="0.2">
      <c r="A2558" s="5">
        <v>2497</v>
      </c>
      <c r="B2558" s="138">
        <f>'Acct Summary 7-8'!C14</f>
        <v>100128</v>
      </c>
      <c r="C2558" s="2" t="s">
        <v>594</v>
      </c>
      <c r="D2558" s="2" t="str">
        <f t="shared" si="38"/>
        <v>Error?</v>
      </c>
    </row>
    <row r="2559" spans="1:4" x14ac:dyDescent="0.2">
      <c r="A2559" s="5">
        <v>2498</v>
      </c>
      <c r="B2559" s="138">
        <f>'Acct Summary 7-8'!C15</f>
        <v>392017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12120780</v>
      </c>
      <c r="C2561" s="2" t="s">
        <v>594</v>
      </c>
      <c r="D2561" s="2" t="str">
        <f t="shared" si="39"/>
        <v>Error?</v>
      </c>
    </row>
    <row r="2562" spans="1:4" x14ac:dyDescent="0.2">
      <c r="A2562" s="5">
        <v>2501</v>
      </c>
      <c r="B2562" s="138">
        <f>'Acct Summary 7-8'!C20</f>
        <v>1307228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1192631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1192631</v>
      </c>
      <c r="C2568" s="2" t="s">
        <v>594</v>
      </c>
      <c r="D2568" s="2" t="str">
        <f t="shared" si="39"/>
        <v>Error?</v>
      </c>
    </row>
    <row r="2569" spans="1:4" x14ac:dyDescent="0.2">
      <c r="A2569" s="5">
        <v>2508</v>
      </c>
      <c r="B2569" s="138">
        <f>'Acct Summary 7-8'!D13</f>
        <v>956907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45880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1002787</v>
      </c>
      <c r="C2573" s="2" t="s">
        <v>594</v>
      </c>
      <c r="D2573" s="2" t="str">
        <f t="shared" si="39"/>
        <v>Error?</v>
      </c>
    </row>
    <row r="2574" spans="1:4" x14ac:dyDescent="0.2">
      <c r="A2574" s="5">
        <v>2513</v>
      </c>
      <c r="B2574" s="138">
        <f>'Acct Summary 7-8'!D20</f>
        <v>189844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606274</v>
      </c>
      <c r="C2591" s="2" t="s">
        <v>594</v>
      </c>
      <c r="D2591" s="2" t="str">
        <f t="shared" si="39"/>
        <v>Error?</v>
      </c>
    </row>
    <row r="2592" spans="1:4" x14ac:dyDescent="0.2">
      <c r="A2592" s="10">
        <v>2531</v>
      </c>
      <c r="D2592" s="2" t="str">
        <f t="shared" si="39"/>
        <v>OK</v>
      </c>
    </row>
    <row r="2593" spans="1:4" x14ac:dyDescent="0.2">
      <c r="A2593" s="5">
        <v>2532</v>
      </c>
      <c r="B2593" s="138">
        <f>'Acct Summary 7-8'!F6</f>
        <v>267056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873330</v>
      </c>
      <c r="C2595" s="2" t="s">
        <v>594</v>
      </c>
      <c r="D2595" s="2" t="str">
        <f t="shared" si="39"/>
        <v>Error?</v>
      </c>
    </row>
    <row r="2596" spans="1:4" x14ac:dyDescent="0.2">
      <c r="A2596" s="5">
        <v>2535</v>
      </c>
      <c r="B2596" s="138">
        <f>'Acct Summary 7-8'!F13</f>
        <v>725250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725250</v>
      </c>
      <c r="C2600" s="2" t="s">
        <v>594</v>
      </c>
      <c r="D2600" s="2" t="str">
        <f t="shared" si="39"/>
        <v>Error?</v>
      </c>
    </row>
    <row r="2601" spans="1:4" x14ac:dyDescent="0.2">
      <c r="A2601" s="5">
        <v>2540</v>
      </c>
      <c r="B2601" s="138">
        <f>'Acct Summary 7-8'!F20</f>
        <v>148080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382350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382350</v>
      </c>
      <c r="C2606" s="2" t="s">
        <v>594</v>
      </c>
      <c r="D2606" s="2" t="str">
        <f t="shared" si="39"/>
        <v>Error?</v>
      </c>
    </row>
    <row r="2607" spans="1:4" x14ac:dyDescent="0.2">
      <c r="A2607" s="5">
        <v>2546</v>
      </c>
      <c r="B2607" s="138">
        <f>'Acct Summary 7-8'!G12</f>
        <v>141536</v>
      </c>
      <c r="C2607" s="2" t="s">
        <v>594</v>
      </c>
      <c r="D2607" s="2" t="str">
        <f t="shared" si="39"/>
        <v>Error?</v>
      </c>
    </row>
    <row r="2608" spans="1:4" x14ac:dyDescent="0.2">
      <c r="A2608" s="5">
        <v>2547</v>
      </c>
      <c r="B2608" s="138">
        <f>'Acct Summary 7-8'!G13</f>
        <v>201720</v>
      </c>
      <c r="C2608" s="2" t="s">
        <v>594</v>
      </c>
      <c r="D2608" s="2" t="str">
        <f t="shared" si="39"/>
        <v>Error?</v>
      </c>
    </row>
    <row r="2609" spans="1:4" x14ac:dyDescent="0.2">
      <c r="A2609" s="5">
        <v>2548</v>
      </c>
      <c r="B2609" s="138">
        <f>'Acct Summary 7-8'!G14</f>
        <v>12341</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397634</v>
      </c>
      <c r="C2612" s="2" t="s">
        <v>594</v>
      </c>
      <c r="D2612" s="2" t="str">
        <f t="shared" si="39"/>
        <v>Error?</v>
      </c>
    </row>
    <row r="2613" spans="1:4" x14ac:dyDescent="0.2">
      <c r="A2613" s="5">
        <v>2552</v>
      </c>
      <c r="B2613" s="138">
        <f>'Acct Summary 7-8'!G20</f>
        <v>-15284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95</v>
      </c>
      <c r="C2630" s="2" t="s">
        <v>594</v>
      </c>
      <c r="D2630" s="2" t="str">
        <f t="shared" si="40"/>
        <v>Error?</v>
      </c>
    </row>
    <row r="2631" spans="1:4" x14ac:dyDescent="0.2">
      <c r="A2631" s="5">
        <v>2570</v>
      </c>
      <c r="B2631" s="138">
        <f>'Acct Summary 7-8'!E6</f>
        <v>195850</v>
      </c>
      <c r="C2631" s="2" t="s">
        <v>594</v>
      </c>
      <c r="D2631" s="2" t="str">
        <f t="shared" si="40"/>
        <v>Error?</v>
      </c>
    </row>
    <row r="2632" spans="1:4" x14ac:dyDescent="0.2">
      <c r="A2632" s="5">
        <v>2571</v>
      </c>
      <c r="B2632" s="138">
        <f>'Acct Summary 7-8'!E8</f>
        <v>195945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511178</v>
      </c>
      <c r="C2634" s="2" t="s">
        <v>594</v>
      </c>
      <c r="D2634" s="2" t="str">
        <f t="shared" si="40"/>
        <v>Error?</v>
      </c>
    </row>
    <row r="2635" spans="1:4" x14ac:dyDescent="0.2">
      <c r="A2635" s="5">
        <v>2574</v>
      </c>
      <c r="B2635" s="138">
        <f>'Acct Summary 7-8'!E17</f>
        <v>511178</v>
      </c>
      <c r="C2635" s="2" t="s">
        <v>594</v>
      </c>
      <c r="D2635" s="2" t="str">
        <f t="shared" si="40"/>
        <v>Error?</v>
      </c>
    </row>
    <row r="2636" spans="1:4" x14ac:dyDescent="0.2">
      <c r="A2636" s="5">
        <v>2575</v>
      </c>
      <c r="B2636" s="138">
        <f>'Acct Summary 7-8'!E20</f>
        <v>-315233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1368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1368</v>
      </c>
      <c r="C2658" s="2" t="s">
        <v>594</v>
      </c>
      <c r="D2658" s="2" t="str">
        <f t="shared" si="40"/>
        <v>Error?</v>
      </c>
    </row>
    <row r="2659" spans="1:4" x14ac:dyDescent="0.2">
      <c r="A2659" s="5">
        <v>2598</v>
      </c>
      <c r="B2659" s="138">
        <f>'Acct Summary 7-8'!H13</f>
        <v>364723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364723</v>
      </c>
      <c r="C2661" s="2" t="s">
        <v>594</v>
      </c>
      <c r="D2661" s="2" t="str">
        <f t="shared" si="40"/>
        <v>Error?</v>
      </c>
    </row>
    <row r="2662" spans="1:4" x14ac:dyDescent="0.2">
      <c r="A2662" s="5">
        <v>2601</v>
      </c>
      <c r="B2662" s="138">
        <f>'Acct Summary 7-8'!H20</f>
        <v>-363355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16646</v>
      </c>
      <c r="C2789" s="2" t="s">
        <v>594</v>
      </c>
      <c r="D2789" s="2" t="str">
        <f t="shared" si="42"/>
        <v>Error?</v>
      </c>
    </row>
    <row r="2790" spans="1:4" x14ac:dyDescent="0.2">
      <c r="A2790" s="5">
        <v>2729</v>
      </c>
      <c r="B2790" s="138">
        <f>'Expenditures 15-22'!E102</f>
        <v>16646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202835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38216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202835</v>
      </c>
      <c r="D2912" s="2" t="str">
        <f t="shared" si="44"/>
        <v>Error?</v>
      </c>
    </row>
    <row r="2913" spans="1:4" x14ac:dyDescent="0.2">
      <c r="A2913" s="5">
        <v>2852</v>
      </c>
      <c r="B2913" s="138">
        <f>'Assets-Liab 5-6'!I41</f>
        <v>202835</v>
      </c>
      <c r="C2913" s="2" t="s">
        <v>594</v>
      </c>
      <c r="D2913" s="2" t="str">
        <f t="shared" si="44"/>
        <v>Error?</v>
      </c>
    </row>
    <row r="2914" spans="1:4" x14ac:dyDescent="0.2">
      <c r="A2914" s="5">
        <v>2853</v>
      </c>
      <c r="B2914" s="138">
        <f>'Assets-Liab 5-6'!L33</f>
        <v>38216</v>
      </c>
      <c r="D2914" s="2" t="str">
        <f t="shared" si="44"/>
        <v>Error?</v>
      </c>
    </row>
    <row r="2915" spans="1:4" x14ac:dyDescent="0.2">
      <c r="A2915" s="10">
        <v>2854</v>
      </c>
      <c r="D2915" s="2" t="str">
        <f t="shared" si="44"/>
        <v>OK</v>
      </c>
    </row>
    <row r="2916" spans="1:4" x14ac:dyDescent="0.2">
      <c r="A2916" s="5">
        <v>2855</v>
      </c>
      <c r="B2916" s="138">
        <f>'Assets-Liab 5-6'!L34</f>
        <v>38216</v>
      </c>
      <c r="C2916" s="2" t="s">
        <v>594</v>
      </c>
      <c r="D2916" s="2" t="str">
        <f t="shared" si="44"/>
        <v>Error?</v>
      </c>
    </row>
    <row r="2917" spans="1:4" x14ac:dyDescent="0.2">
      <c r="A2917" s="5">
        <v>2856</v>
      </c>
      <c r="B2917" s="138">
        <f>'Assets-Liab 5-6'!L41</f>
        <v>38216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16646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16646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45880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52966</v>
      </c>
      <c r="D3055" s="2" t="str">
        <f t="shared" si="46"/>
        <v>Error?</v>
      </c>
    </row>
    <row r="3056" spans="1:4" x14ac:dyDescent="0.2">
      <c r="A3056" s="5">
        <v>2995</v>
      </c>
      <c r="B3056" s="138">
        <f>'Expenditures 15-22'!D10</f>
        <v>2500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55466</v>
      </c>
      <c r="C3062" s="2" t="s">
        <v>594</v>
      </c>
      <c r="D3062" s="2" t="str">
        <f t="shared" si="46"/>
        <v>Error?</v>
      </c>
    </row>
    <row r="3063" spans="1:4" x14ac:dyDescent="0.2">
      <c r="A3063" s="10">
        <v>3002</v>
      </c>
      <c r="D3063" s="2" t="str">
        <f t="shared" si="46"/>
        <v>OK</v>
      </c>
    </row>
    <row r="3064" spans="1:4" x14ac:dyDescent="0.2">
      <c r="A3064" s="5">
        <v>3003</v>
      </c>
      <c r="B3064" s="138">
        <f>'Expenditures 15-22'!D219</f>
        <v>767</v>
      </c>
      <c r="D3064" s="2" t="str">
        <f t="shared" si="46"/>
        <v>Error?</v>
      </c>
    </row>
    <row r="3065" spans="1:4" x14ac:dyDescent="0.2">
      <c r="A3065" s="5">
        <v>3004</v>
      </c>
      <c r="B3065" s="138">
        <f>'Expenditures 15-22'!K219</f>
        <v>767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853</v>
      </c>
      <c r="C3225" s="2" t="s">
        <v>594</v>
      </c>
      <c r="D3225" s="2" t="str">
        <f t="shared" si="49"/>
        <v>Error?</v>
      </c>
    </row>
    <row r="3226" spans="1:4" x14ac:dyDescent="0.2">
      <c r="A3226" s="5">
        <v>3165</v>
      </c>
      <c r="B3226" s="138">
        <f>'Acct Summary 7-8'!I8</f>
        <v>853</v>
      </c>
      <c r="C3226" s="2" t="s">
        <v>594</v>
      </c>
      <c r="D3226" s="2" t="str">
        <f t="shared" si="49"/>
        <v>Error?</v>
      </c>
    </row>
    <row r="3227" spans="1:4" x14ac:dyDescent="0.2">
      <c r="A3227" s="5">
        <v>3166</v>
      </c>
      <c r="B3227" s="138">
        <f>'Acct Summary 7-8'!I20</f>
        <v>853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301727</v>
      </c>
      <c r="C3231" s="2" t="s">
        <v>594</v>
      </c>
      <c r="D3231" s="2" t="str">
        <f t="shared" si="49"/>
        <v>Error?</v>
      </c>
    </row>
    <row r="3232" spans="1:4" x14ac:dyDescent="0.2">
      <c r="A3232" s="5">
        <v>3171</v>
      </c>
      <c r="B3232" s="138">
        <f>'Acct Summary 7-8'!C77</f>
        <v>-301727</v>
      </c>
      <c r="C3232" s="2" t="s">
        <v>594</v>
      </c>
      <c r="D3232" s="2" t="str">
        <f t="shared" si="49"/>
        <v>Error?</v>
      </c>
    </row>
    <row r="3233" spans="1:4" x14ac:dyDescent="0.2">
      <c r="A3233" s="5">
        <v>3172</v>
      </c>
      <c r="B3233" s="138">
        <f>'Acct Summary 7-8'!C78</f>
        <v>1005501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189844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148080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-15284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301727</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301727</v>
      </c>
      <c r="C3277" s="2" t="s">
        <v>594</v>
      </c>
      <c r="D3277" s="2" t="str">
        <f t="shared" si="50"/>
        <v>Error?</v>
      </c>
    </row>
    <row r="3278" spans="1:4" x14ac:dyDescent="0.2">
      <c r="A3278" s="5">
        <v>3217</v>
      </c>
      <c r="B3278" s="138">
        <f>'Acct Summary 7-8'!E78</f>
        <v>-13506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-363355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853</v>
      </c>
      <c r="C3320" s="2" t="s">
        <v>594</v>
      </c>
      <c r="D3320" s="2" t="str">
        <f t="shared" si="50"/>
        <v>Error?</v>
      </c>
    </row>
    <row r="3321" spans="1:4" x14ac:dyDescent="0.2">
      <c r="A3321" s="5">
        <v>3260</v>
      </c>
      <c r="B3321" s="138">
        <f>'Acct Summary 7-8'!I79</f>
        <v>201982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202835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897346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154037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11090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12444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2978</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1074917</v>
      </c>
      <c r="C3380" s="2" t="s">
        <v>594</v>
      </c>
      <c r="D3380" s="2" t="str">
        <f t="shared" si="51"/>
        <v>Error?</v>
      </c>
    </row>
    <row r="3381" spans="1:4" x14ac:dyDescent="0.2">
      <c r="A3381" s="5">
        <v>3320</v>
      </c>
      <c r="B3381" s="138">
        <f>'Expenditures 15-22'!K19</f>
        <v>2978</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77479</v>
      </c>
      <c r="D3387" s="2" t="str">
        <f t="shared" si="51"/>
        <v>Error?</v>
      </c>
    </row>
    <row r="3388" spans="1:4" x14ac:dyDescent="0.2">
      <c r="A3388" s="5">
        <v>3327</v>
      </c>
      <c r="B3388" s="138">
        <f>'Expenditures 15-22'!D217</f>
        <v>50623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77479</v>
      </c>
      <c r="C3390" s="2" t="s">
        <v>594</v>
      </c>
      <c r="D3390" s="2" t="str">
        <f t="shared" si="51"/>
        <v>Error?</v>
      </c>
    </row>
    <row r="3391" spans="1:4" x14ac:dyDescent="0.2">
      <c r="A3391" s="5">
        <v>3330</v>
      </c>
      <c r="B3391" s="138">
        <f>'Expenditures 15-22'!K217</f>
        <v>50623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6071766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1376576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233</v>
      </c>
      <c r="D3417" s="2" t="str">
        <f t="shared" si="52"/>
        <v>Error?</v>
      </c>
    </row>
    <row r="3418" spans="1:4" x14ac:dyDescent="0.2">
      <c r="A3418" s="10">
        <v>3357</v>
      </c>
      <c r="D3418" s="2" t="str">
        <f t="shared" si="52"/>
        <v>OK</v>
      </c>
    </row>
    <row r="3419" spans="1:4" x14ac:dyDescent="0.2">
      <c r="A3419" s="5">
        <v>3358</v>
      </c>
      <c r="B3419" s="138">
        <f>'Assets-Liab 5-6'!F4</f>
        <v>488999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280050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10249</v>
      </c>
      <c r="D3425" s="2" t="str">
        <f t="shared" si="52"/>
        <v>Error?</v>
      </c>
    </row>
    <row r="3426" spans="1:4" x14ac:dyDescent="0.2">
      <c r="A3426" s="10">
        <v>3365</v>
      </c>
      <c r="D3426" s="2" t="str">
        <f t="shared" si="52"/>
        <v>OK</v>
      </c>
    </row>
    <row r="3427" spans="1:4" x14ac:dyDescent="0.2">
      <c r="A3427" s="5">
        <v>3366</v>
      </c>
      <c r="B3427" s="138">
        <f>'Assets-Liab 5-6'!I4</f>
        <v>202835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38216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167986</v>
      </c>
      <c r="C3446" s="2" t="s">
        <v>594</v>
      </c>
      <c r="D3446" s="2" t="str">
        <f t="shared" si="52"/>
        <v>Error?</v>
      </c>
    </row>
    <row r="3447" spans="1:4" x14ac:dyDescent="0.2">
      <c r="A3447" s="5">
        <v>3386</v>
      </c>
      <c r="B3447" s="138">
        <f>'Tax Sched 23'!D16</f>
        <v>67899</v>
      </c>
      <c r="C3447" s="2" t="s">
        <v>594</v>
      </c>
      <c r="D3447" s="2" t="str">
        <f t="shared" si="52"/>
        <v>Error?</v>
      </c>
    </row>
    <row r="3448" spans="1:4" x14ac:dyDescent="0.2">
      <c r="A3448" s="5">
        <v>3387</v>
      </c>
      <c r="B3448" s="138">
        <f>'Tax Sched 23'!C16</f>
        <v>100087</v>
      </c>
      <c r="D3448" s="2" t="str">
        <f t="shared" si="52"/>
        <v>Error?</v>
      </c>
    </row>
    <row r="3449" spans="1:4" x14ac:dyDescent="0.2">
      <c r="A3449" s="5">
        <v>3388</v>
      </c>
      <c r="B3449" s="138">
        <f>'Tax Sched 23'!F16</f>
        <v>79917</v>
      </c>
      <c r="C3449" s="2" t="s">
        <v>594</v>
      </c>
      <c r="D3449" s="2" t="str">
        <f t="shared" si="52"/>
        <v>Error?</v>
      </c>
    </row>
    <row r="3450" spans="1:4" x14ac:dyDescent="0.2">
      <c r="A3450" s="5">
        <v>3389</v>
      </c>
      <c r="B3450" s="138">
        <f>'Tax Sched 23'!E16</f>
        <v>180004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42037</v>
      </c>
      <c r="D3721" s="2" t="str">
        <f t="shared" si="57"/>
        <v>Error?</v>
      </c>
    </row>
    <row r="3722" spans="1:4" x14ac:dyDescent="0.2">
      <c r="A3722" s="5">
        <v>3661</v>
      </c>
      <c r="B3722" s="138">
        <f>'Expenditures 15-22'!D285</f>
        <v>42037</v>
      </c>
      <c r="C3722" s="2" t="s">
        <v>594</v>
      </c>
      <c r="D3722" s="2" t="str">
        <f t="shared" si="57"/>
        <v>Error?</v>
      </c>
    </row>
    <row r="3723" spans="1:4" x14ac:dyDescent="0.2">
      <c r="A3723" s="5">
        <v>3662</v>
      </c>
      <c r="B3723" s="138">
        <f>'Expenditures 15-22'!K283</f>
        <v>42037</v>
      </c>
      <c r="C3723" s="2" t="s">
        <v>594</v>
      </c>
      <c r="D3723" s="2" t="str">
        <f t="shared" si="57"/>
        <v>Error?</v>
      </c>
    </row>
    <row r="3724" spans="1:4" x14ac:dyDescent="0.2">
      <c r="A3724" s="5">
        <v>3663</v>
      </c>
      <c r="B3724" s="138">
        <f>'Expenditures 15-22'!K285</f>
        <v>42037</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43312</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20489</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22823</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18224</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41047</v>
      </c>
      <c r="D4111" s="2" t="str">
        <f t="shared" si="63"/>
        <v>Error?</v>
      </c>
    </row>
    <row r="4112" spans="1:4" x14ac:dyDescent="0.2">
      <c r="A4112" s="10">
        <v>4051</v>
      </c>
      <c r="D4112" s="2" t="str">
        <f t="shared" si="63"/>
        <v>OK</v>
      </c>
    </row>
    <row r="4113" spans="1:4" x14ac:dyDescent="0.2">
      <c r="A4113" s="5">
        <v>4052</v>
      </c>
      <c r="B4113" s="138">
        <f>'Acct Summary 7-8'!C9</f>
        <v>5824566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19252574</v>
      </c>
      <c r="C4122" s="2" t="s">
        <v>594</v>
      </c>
      <c r="D4122" s="2" t="str">
        <f t="shared" si="63"/>
        <v>Error?</v>
      </c>
    </row>
    <row r="4123" spans="1:4" x14ac:dyDescent="0.2">
      <c r="A4123" s="5">
        <v>4062</v>
      </c>
      <c r="B4123" s="138">
        <f>'Acct Summary 7-8'!D10</f>
        <v>1192631</v>
      </c>
      <c r="C4123" s="2" t="s">
        <v>594</v>
      </c>
      <c r="D4123" s="2" t="str">
        <f t="shared" si="63"/>
        <v>Error?</v>
      </c>
    </row>
    <row r="4124" spans="1:4" x14ac:dyDescent="0.2">
      <c r="A4124" s="5">
        <v>4063</v>
      </c>
      <c r="B4124" s="138">
        <f>'Acct Summary 7-8'!E10</f>
        <v>195945</v>
      </c>
      <c r="C4124" s="2" t="s">
        <v>594</v>
      </c>
      <c r="D4124" s="2" t="str">
        <f t="shared" si="63"/>
        <v>Error?</v>
      </c>
    </row>
    <row r="4125" spans="1:4" x14ac:dyDescent="0.2">
      <c r="A4125" s="5">
        <v>4064</v>
      </c>
      <c r="B4125" s="138">
        <f>'Acct Summary 7-8'!F10</f>
        <v>873330</v>
      </c>
      <c r="C4125" s="2" t="s">
        <v>594</v>
      </c>
      <c r="D4125" s="2" t="str">
        <f t="shared" si="63"/>
        <v>Error?</v>
      </c>
    </row>
    <row r="4126" spans="1:4" x14ac:dyDescent="0.2">
      <c r="A4126" s="5">
        <v>4065</v>
      </c>
      <c r="B4126" s="138">
        <f>'Acct Summary 7-8'!G10</f>
        <v>382350</v>
      </c>
      <c r="C4126" s="2" t="s">
        <v>594</v>
      </c>
      <c r="D4126" s="2" t="str">
        <f t="shared" si="63"/>
        <v>Error?</v>
      </c>
    </row>
    <row r="4127" spans="1:4" x14ac:dyDescent="0.2">
      <c r="A4127" s="5">
        <v>4066</v>
      </c>
      <c r="B4127" s="138">
        <f>'Acct Summary 7-8'!H10</f>
        <v>1368</v>
      </c>
      <c r="C4127" s="2" t="s">
        <v>594</v>
      </c>
      <c r="D4127" s="2" t="str">
        <f t="shared" si="63"/>
        <v>Error?</v>
      </c>
    </row>
    <row r="4128" spans="1:4" x14ac:dyDescent="0.2">
      <c r="A4128" s="5">
        <v>4067</v>
      </c>
      <c r="B4128" s="138">
        <f>'Acct Summary 7-8'!I10</f>
        <v>853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5824566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17945346</v>
      </c>
      <c r="C4136" s="2" t="s">
        <v>594</v>
      </c>
      <c r="D4136" s="2" t="str">
        <f t="shared" si="63"/>
        <v>Error?</v>
      </c>
    </row>
    <row r="4137" spans="1:4" x14ac:dyDescent="0.2">
      <c r="A4137" s="5">
        <v>4076</v>
      </c>
      <c r="B4137" s="138">
        <f>'Acct Summary 7-8'!D19</f>
        <v>1002787</v>
      </c>
      <c r="C4137" s="2" t="s">
        <v>594</v>
      </c>
      <c r="D4137" s="2" t="str">
        <f t="shared" si="63"/>
        <v>Error?</v>
      </c>
    </row>
    <row r="4138" spans="1:4" x14ac:dyDescent="0.2">
      <c r="A4138" s="5">
        <v>4077</v>
      </c>
      <c r="B4138" s="138">
        <f>'Acct Summary 7-8'!E19</f>
        <v>511178</v>
      </c>
      <c r="C4138" s="2" t="s">
        <v>594</v>
      </c>
      <c r="D4138" s="2" t="str">
        <f t="shared" si="63"/>
        <v>Error?</v>
      </c>
    </row>
    <row r="4139" spans="1:4" x14ac:dyDescent="0.2">
      <c r="A4139" s="5">
        <v>4078</v>
      </c>
      <c r="B4139" s="138">
        <f>'Acct Summary 7-8'!F19</f>
        <v>725250</v>
      </c>
      <c r="C4139" s="2" t="s">
        <v>594</v>
      </c>
      <c r="D4139" s="2" t="str">
        <f t="shared" si="63"/>
        <v>Error?</v>
      </c>
    </row>
    <row r="4140" spans="1:4" x14ac:dyDescent="0.2">
      <c r="A4140" s="5">
        <v>4079</v>
      </c>
      <c r="B4140" s="138">
        <f>'Acct Summary 7-8'!G19</f>
        <v>397634</v>
      </c>
      <c r="C4140" s="2" t="s">
        <v>594</v>
      </c>
      <c r="D4140" s="2" t="str">
        <f t="shared" si="63"/>
        <v>Error?</v>
      </c>
    </row>
    <row r="4141" spans="1:4" x14ac:dyDescent="0.2">
      <c r="A4141" s="5">
        <v>4080</v>
      </c>
      <c r="B4141" s="138">
        <f>'Acct Summary 7-8'!H19</f>
        <v>364723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905000</v>
      </c>
      <c r="C4171" s="2" t="s">
        <v>594</v>
      </c>
      <c r="D4171" s="2" t="str">
        <f t="shared" si="64"/>
        <v>Error?</v>
      </c>
    </row>
    <row r="4172" spans="1:4" x14ac:dyDescent="0.2">
      <c r="A4172" s="5">
        <v>4111</v>
      </c>
      <c r="B4172" s="138">
        <f>'Short-Term Long-Term Debt 24'!J49</f>
        <v>903233</v>
      </c>
      <c r="C4172" s="2" t="s">
        <v>594</v>
      </c>
      <c r="D4172" s="2" t="str">
        <f t="shared" si="64"/>
        <v>Error?</v>
      </c>
    </row>
    <row r="4173" spans="1:4" x14ac:dyDescent="0.2">
      <c r="A4173" s="5">
        <v>4112</v>
      </c>
      <c r="B4173" s="138">
        <f>'Short-Term Long-Term Debt 24'!H49</f>
        <v>495000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45880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45880</v>
      </c>
      <c r="C4202" s="2" t="s">
        <v>594</v>
      </c>
      <c r="D4202" s="2" t="str">
        <f t="shared" si="64"/>
        <v>Error?</v>
      </c>
    </row>
    <row r="4203" spans="1:4" x14ac:dyDescent="0.2">
      <c r="A4203" s="5">
        <v>4142</v>
      </c>
      <c r="B4203" s="138">
        <f>'Expenditures 15-22'!E139</f>
        <v>45880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2218.0050000000001</v>
      </c>
      <c r="C4265" s="2" t="s">
        <v>594</v>
      </c>
      <c r="D4265" s="2" t="str">
        <f t="shared" si="65"/>
        <v>Error?</v>
      </c>
      <c r="E4265" s="128"/>
    </row>
    <row r="4266" spans="1:5" x14ac:dyDescent="0.2">
      <c r="A4266" s="12">
        <v>4205</v>
      </c>
      <c r="B4266" s="138">
        <f>('FP Info 3'!F10)*100000</f>
        <v>242.65200000000002</v>
      </c>
      <c r="C4266" s="2" t="s">
        <v>594</v>
      </c>
      <c r="D4266" s="2" t="str">
        <f t="shared" si="65"/>
        <v>Error?</v>
      </c>
      <c r="E4266" s="128"/>
    </row>
    <row r="4267" spans="1:5" x14ac:dyDescent="0.2">
      <c r="A4267" s="12">
        <v>4206</v>
      </c>
      <c r="B4267" s="138">
        <f>('FP Info 3'!H10)*100000</f>
        <v>112.66099999999999</v>
      </c>
      <c r="C4267" s="2" t="s">
        <v>594</v>
      </c>
      <c r="D4267" s="2" t="str">
        <f t="shared" si="65"/>
        <v>Error?</v>
      </c>
      <c r="E4267" s="128"/>
    </row>
    <row r="4268" spans="1:5" x14ac:dyDescent="0.2">
      <c r="A4268" s="12">
        <v>4207</v>
      </c>
      <c r="B4268" s="138">
        <f>('FP Info 3'!J10)*100000</f>
        <v>2573</v>
      </c>
      <c r="C4268" s="2" t="s">
        <v>594</v>
      </c>
      <c r="D4268" s="2" t="str">
        <f t="shared" si="65"/>
        <v>Error?</v>
      </c>
    </row>
    <row r="4269" spans="1:5" x14ac:dyDescent="0.2">
      <c r="A4269" s="12">
        <v>4208</v>
      </c>
      <c r="B4269" s="138">
        <f>'FP Info 3'!J16</f>
        <v>669992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562829020</v>
      </c>
      <c r="D4995" s="2" t="str">
        <f t="shared" si="77"/>
        <v>Error?</v>
      </c>
    </row>
    <row r="4996" spans="1:4" x14ac:dyDescent="0.2">
      <c r="A4996" s="12">
        <v>4935</v>
      </c>
      <c r="B4996" s="138">
        <f>'FP Info 3'!H31</f>
        <v>38835202.380000003</v>
      </c>
      <c r="D4996" s="2" t="str">
        <f t="shared" si="77"/>
        <v>Error?</v>
      </c>
    </row>
    <row r="4997" spans="1:4" x14ac:dyDescent="0.2">
      <c r="A4997" s="12">
        <v>4936</v>
      </c>
      <c r="B4997" s="138">
        <f>'FP Info 3'!H37</f>
        <v>905000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12396202</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12396202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155151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155151</v>
      </c>
      <c r="C5071" s="2" t="s">
        <v>594</v>
      </c>
      <c r="D5071" s="2" t="str">
        <f t="shared" si="78"/>
        <v>Error?</v>
      </c>
    </row>
    <row r="5072" spans="1:4" x14ac:dyDescent="0.2">
      <c r="A5072" s="5">
        <v>5011</v>
      </c>
      <c r="B5072" s="138">
        <f>'Revenues 9-14'!C20</f>
        <v>202303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8203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362233</v>
      </c>
      <c r="C5087" s="2" t="s">
        <v>594</v>
      </c>
      <c r="D5087" s="2" t="str">
        <f t="shared" si="78"/>
        <v>Error?</v>
      </c>
    </row>
    <row r="5088" spans="1:4" x14ac:dyDescent="0.2">
      <c r="A5088" s="5">
        <v>5027</v>
      </c>
      <c r="B5088" s="138">
        <f>'Revenues 9-14'!C65</f>
        <v>28899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28899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2708</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2708</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70432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70432</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40626</v>
      </c>
      <c r="D5119" s="2" t="str">
        <f t="shared" ref="D5119:D5182" si="79">IF(ISBLANK(B5119),"OK",IF(A5119-B5119=0,"OK","Error?"))</f>
        <v>Error?</v>
      </c>
    </row>
    <row r="5120" spans="1:4" x14ac:dyDescent="0.2">
      <c r="A5120" s="5">
        <v>5059</v>
      </c>
      <c r="B5120" s="138">
        <f>'Revenues 9-14'!C108</f>
        <v>40666</v>
      </c>
      <c r="C5120" s="2" t="s">
        <v>594</v>
      </c>
      <c r="D5120" s="2" t="str">
        <f t="shared" si="79"/>
        <v>Error?</v>
      </c>
    </row>
    <row r="5121" spans="1:4" x14ac:dyDescent="0.2">
      <c r="A5121" s="5">
        <v>5060</v>
      </c>
      <c r="B5121" s="138">
        <f>'Revenues 9-14'!C109</f>
        <v>13056291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235615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235615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1500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237115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12186</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12186</v>
      </c>
      <c r="C5246" s="2" t="s">
        <v>594</v>
      </c>
      <c r="D5246" s="2" t="str">
        <f t="shared" si="80"/>
        <v>Error?</v>
      </c>
    </row>
    <row r="5247" spans="1:4" x14ac:dyDescent="0.2">
      <c r="A5247" s="5">
        <v>5186</v>
      </c>
      <c r="B5247" s="138">
        <f>'Revenues 9-14'!C203</f>
        <v>8357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8357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114059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114059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134602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134602</v>
      </c>
      <c r="C5326" s="2" t="s">
        <v>594</v>
      </c>
      <c r="D5326" s="2" t="str">
        <f t="shared" si="82"/>
        <v>Error?</v>
      </c>
    </row>
    <row r="5327" spans="1:4" x14ac:dyDescent="0.2">
      <c r="A5327" s="5">
        <v>5266</v>
      </c>
      <c r="B5327" s="138">
        <f>'Revenues 9-14'!C275</f>
        <v>13428008</v>
      </c>
      <c r="C5327" s="2" t="s">
        <v>594</v>
      </c>
      <c r="D5327" s="2" t="str">
        <f t="shared" si="82"/>
        <v>Error?</v>
      </c>
    </row>
    <row r="5328" spans="1:4" x14ac:dyDescent="0.2">
      <c r="A5328" s="5">
        <v>5267</v>
      </c>
      <c r="B5328" s="138">
        <f>'Revenues 9-14'!D5</f>
        <v>1149453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1149453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4962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4962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34511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2990</v>
      </c>
      <c r="D5354" s="2" t="str">
        <f t="shared" si="82"/>
        <v>Error?</v>
      </c>
    </row>
    <row r="5355" spans="1:4" x14ac:dyDescent="0.2">
      <c r="A5355" s="5">
        <v>5294</v>
      </c>
      <c r="B5355" s="138">
        <f>'Revenues 9-14'!D108</f>
        <v>38216</v>
      </c>
      <c r="C5355" s="2" t="s">
        <v>594</v>
      </c>
      <c r="D5355" s="2" t="str">
        <f t="shared" si="82"/>
        <v>Error?</v>
      </c>
    </row>
    <row r="5356" spans="1:4" x14ac:dyDescent="0.2">
      <c r="A5356" s="5">
        <v>5295</v>
      </c>
      <c r="B5356" s="138">
        <f>'Revenues 9-14'!D109</f>
        <v>1192631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1192631</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95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95</v>
      </c>
      <c r="C5527" s="2" t="s">
        <v>594</v>
      </c>
      <c r="D5527" s="2" t="str">
        <f t="shared" si="85"/>
        <v>Error?</v>
      </c>
    </row>
    <row r="5528" spans="1:4" x14ac:dyDescent="0.2">
      <c r="A5528" s="5">
        <v>5467</v>
      </c>
      <c r="B5528" s="138">
        <f>'Revenues 9-14'!E117</f>
        <v>195850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195850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195850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195945</v>
      </c>
      <c r="C5552" s="2" t="s">
        <v>594</v>
      </c>
      <c r="D5552" s="2" t="str">
        <f t="shared" si="85"/>
        <v>Error?</v>
      </c>
    </row>
    <row r="5553" spans="1:4" x14ac:dyDescent="0.2">
      <c r="A5553" s="5">
        <v>5492</v>
      </c>
      <c r="B5553" s="138">
        <f>'Revenues 9-14'!F5</f>
        <v>604538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604538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1736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1736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606274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10499</v>
      </c>
      <c r="D5615" s="2" t="str">
        <f t="shared" si="86"/>
        <v>Error?</v>
      </c>
    </row>
    <row r="5616" spans="1:4" x14ac:dyDescent="0.2">
      <c r="A5616" s="10">
        <v>5555</v>
      </c>
      <c r="D5616" s="2" t="str">
        <f t="shared" si="86"/>
        <v>OK</v>
      </c>
    </row>
    <row r="5617" spans="1:4" x14ac:dyDescent="0.2">
      <c r="A5617" s="5">
        <v>5556</v>
      </c>
      <c r="B5617" s="138">
        <f>'Revenues 9-14'!F152</f>
        <v>256557</v>
      </c>
      <c r="D5617" s="2" t="str">
        <f t="shared" si="86"/>
        <v>Error?</v>
      </c>
    </row>
    <row r="5618" spans="1:4" x14ac:dyDescent="0.2">
      <c r="A5618" s="5">
        <v>5557</v>
      </c>
      <c r="B5618" s="138">
        <f>'Revenues 9-14'!F154</f>
        <v>267056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267056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267056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873330</v>
      </c>
      <c r="C5720" s="2" t="s">
        <v>594</v>
      </c>
      <c r="D5720" s="2" t="str">
        <f t="shared" si="88"/>
        <v>Error?</v>
      </c>
    </row>
    <row r="5721" spans="1:4" x14ac:dyDescent="0.2">
      <c r="A5721" s="5">
        <v>5660</v>
      </c>
      <c r="B5721" s="138">
        <f>'Revenues 9-14'!G5</f>
        <v>119996</v>
      </c>
      <c r="D5721" s="2" t="str">
        <f t="shared" si="88"/>
        <v>Error?</v>
      </c>
    </row>
    <row r="5722" spans="1:4" x14ac:dyDescent="0.2">
      <c r="A5722" s="5">
        <v>5661</v>
      </c>
      <c r="B5722" s="138">
        <f>'Revenues 9-14'!G7</f>
        <v>0</v>
      </c>
      <c r="D5722" s="2" t="str">
        <f t="shared" si="88"/>
        <v>Error?</v>
      </c>
    </row>
    <row r="5723" spans="1:4" x14ac:dyDescent="0.2">
      <c r="A5723" s="5">
        <v>5662</v>
      </c>
      <c r="B5723" s="138">
        <f>'Revenues 9-14'!G8</f>
        <v>139127</v>
      </c>
      <c r="D5723" s="2" t="str">
        <f t="shared" si="88"/>
        <v>Error?</v>
      </c>
    </row>
    <row r="5724" spans="1:4" x14ac:dyDescent="0.2">
      <c r="A5724" s="5">
        <v>5663</v>
      </c>
      <c r="B5724" s="138">
        <f>'Revenues 9-14'!G11</f>
        <v>41947</v>
      </c>
      <c r="D5724" s="2" t="str">
        <f t="shared" si="88"/>
        <v>Error?</v>
      </c>
    </row>
    <row r="5725" spans="1:4" x14ac:dyDescent="0.2">
      <c r="A5725" s="5">
        <v>5664</v>
      </c>
      <c r="B5725" s="138">
        <f>'Revenues 9-14'!G12</f>
        <v>301070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80000</v>
      </c>
      <c r="C5730" s="2" t="s">
        <v>594</v>
      </c>
      <c r="D5730" s="2" t="str">
        <f t="shared" si="88"/>
        <v>Error?</v>
      </c>
    </row>
    <row r="5731" spans="1:4" x14ac:dyDescent="0.2">
      <c r="A5731" s="5">
        <v>5670</v>
      </c>
      <c r="B5731" s="138">
        <f>'Revenues 9-14'!G65</f>
        <v>1280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1280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382350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1368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1368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1368</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853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853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853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382350</v>
      </c>
      <c r="C6024" s="2" t="s">
        <v>594</v>
      </c>
      <c r="D6024" s="2" t="str">
        <f t="shared" si="93"/>
        <v>Error?</v>
      </c>
    </row>
    <row r="6025" spans="1:5" x14ac:dyDescent="0.2">
      <c r="A6025" s="5">
        <v>5964</v>
      </c>
      <c r="B6025" s="138">
        <f>'Revenues 9-14'!H109</f>
        <v>1368</v>
      </c>
      <c r="C6025" s="2" t="s">
        <v>594</v>
      </c>
      <c r="D6025" s="2" t="str">
        <f t="shared" si="93"/>
        <v>Error?</v>
      </c>
    </row>
    <row r="6026" spans="1:5" x14ac:dyDescent="0.2">
      <c r="A6026" s="5">
        <v>5965</v>
      </c>
      <c r="B6026" s="138">
        <f>'Revenues 9-14'!I109</f>
        <v>853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42037</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872.62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66847</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1534</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127362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148940</v>
      </c>
      <c r="D6142" s="2" t="str">
        <f t="shared" si="94"/>
        <v>Error?</v>
      </c>
      <c r="E6142" s="2" t="s">
        <v>199</v>
      </c>
    </row>
    <row r="6143" spans="1:5" x14ac:dyDescent="0.2">
      <c r="A6143">
        <v>6082</v>
      </c>
      <c r="B6143" s="138">
        <f>'Assets-Liab 5-6'!D27</f>
        <v>18249</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1188</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100003</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100003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27359</v>
      </c>
      <c r="D6215" s="2" t="str">
        <f t="shared" si="96"/>
        <v>Error?</v>
      </c>
      <c r="E6215" s="2" t="s">
        <v>199</v>
      </c>
    </row>
    <row r="6216" spans="1:5" x14ac:dyDescent="0.2">
      <c r="A6216">
        <v>6155</v>
      </c>
      <c r="B6216" s="138">
        <f>'Assets-Liab 5-6'!J41</f>
        <v>127362</v>
      </c>
      <c r="D6216" s="2" t="str">
        <f t="shared" si="96"/>
        <v>Error?</v>
      </c>
      <c r="E6216" s="2" t="s">
        <v>199</v>
      </c>
    </row>
    <row r="6217" spans="1:5" x14ac:dyDescent="0.2">
      <c r="A6217">
        <v>6156</v>
      </c>
      <c r="B6217" s="138">
        <f>'Assets-Liab 5-6'!J4</f>
        <v>82963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44399</v>
      </c>
      <c r="D6219" s="2" t="str">
        <f t="shared" si="96"/>
        <v>Error?</v>
      </c>
      <c r="E6219" s="2" t="s">
        <v>199</v>
      </c>
    </row>
    <row r="6220" spans="1:5" x14ac:dyDescent="0.2">
      <c r="A6220">
        <v>6159</v>
      </c>
      <c r="B6220" s="138">
        <f>'Acct Summary 7-8'!J4</f>
        <v>106069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106069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106069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110761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110761</v>
      </c>
      <c r="D6229" s="2" t="str">
        <f t="shared" si="96"/>
        <v>Error?</v>
      </c>
      <c r="E6229" s="2" t="s">
        <v>199</v>
      </c>
    </row>
    <row r="6230" spans="1:5" x14ac:dyDescent="0.2">
      <c r="A6230">
        <v>6169</v>
      </c>
      <c r="B6230" s="138">
        <f>'Acct Summary 7-8'!J20</f>
        <v>-4692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6727</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-4692</v>
      </c>
      <c r="D6263" s="2" t="str">
        <f t="shared" si="96"/>
        <v>Error?</v>
      </c>
      <c r="E6263" s="2" t="s">
        <v>199</v>
      </c>
    </row>
    <row r="6264" spans="1:5" x14ac:dyDescent="0.2">
      <c r="A6264">
        <v>6203</v>
      </c>
      <c r="B6264" s="138">
        <f>'Acct Summary 7-8'!J79</f>
        <v>32051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27359</v>
      </c>
      <c r="D6266" s="2" t="str">
        <f t="shared" si="96"/>
        <v>Error?</v>
      </c>
      <c r="E6266" s="2" t="s">
        <v>199</v>
      </c>
    </row>
    <row r="6267" spans="1:5" x14ac:dyDescent="0.2">
      <c r="A6267">
        <v>6206</v>
      </c>
      <c r="B6267" s="138">
        <f>'Acct Summary 7-8'!C82</f>
        <v>1005501</v>
      </c>
      <c r="D6267" s="2" t="str">
        <f t="shared" si="96"/>
        <v>Error?</v>
      </c>
      <c r="E6267" s="2" t="s">
        <v>199</v>
      </c>
    </row>
    <row r="6268" spans="1:5" x14ac:dyDescent="0.2">
      <c r="A6268">
        <v>6207</v>
      </c>
      <c r="B6268" s="138">
        <f>'Acct Summary 7-8'!D82</f>
        <v>189844</v>
      </c>
      <c r="D6268" s="2" t="str">
        <f t="shared" si="96"/>
        <v>Error?</v>
      </c>
      <c r="E6268" s="2" t="s">
        <v>199</v>
      </c>
    </row>
    <row r="6269" spans="1:5" x14ac:dyDescent="0.2">
      <c r="A6269">
        <v>6208</v>
      </c>
      <c r="B6269" s="138">
        <f>'Acct Summary 7-8'!E82</f>
        <v>-13506</v>
      </c>
      <c r="D6269" s="2" t="str">
        <f t="shared" si="96"/>
        <v>Error?</v>
      </c>
      <c r="E6269" s="2" t="s">
        <v>199</v>
      </c>
    </row>
    <row r="6270" spans="1:5" x14ac:dyDescent="0.2">
      <c r="A6270">
        <v>6209</v>
      </c>
      <c r="B6270" s="138">
        <f>'Acct Summary 7-8'!F82</f>
        <v>148080</v>
      </c>
      <c r="D6270" s="2" t="str">
        <f t="shared" si="96"/>
        <v>Error?</v>
      </c>
      <c r="E6270" s="2" t="s">
        <v>199</v>
      </c>
    </row>
    <row r="6271" spans="1:5" x14ac:dyDescent="0.2">
      <c r="A6271">
        <v>6210</v>
      </c>
      <c r="B6271" s="138">
        <f>'Acct Summary 7-8'!G82</f>
        <v>-15284</v>
      </c>
      <c r="D6271" s="2" t="str">
        <f t="shared" ref="D6271:D6334" si="97">IF(ISBLANK(B6271),"OK",IF(A6271-B6271=0,"OK","Error?"))</f>
        <v>Error?</v>
      </c>
      <c r="E6271" s="2" t="s">
        <v>199</v>
      </c>
    </row>
    <row r="6272" spans="1:5" x14ac:dyDescent="0.2">
      <c r="A6272">
        <v>6211</v>
      </c>
      <c r="B6272" s="138">
        <f>'Acct Summary 7-8'!H82</f>
        <v>-363355</v>
      </c>
      <c r="D6272" s="2" t="str">
        <f t="shared" si="97"/>
        <v>Error?</v>
      </c>
      <c r="E6272" s="2" t="s">
        <v>199</v>
      </c>
    </row>
    <row r="6273" spans="1:5" x14ac:dyDescent="0.2">
      <c r="A6273">
        <v>6212</v>
      </c>
      <c r="B6273" s="138">
        <f>'Acct Summary 7-8'!I82</f>
        <v>853</v>
      </c>
      <c r="D6273" s="2" t="str">
        <f t="shared" si="97"/>
        <v>Error?</v>
      </c>
      <c r="E6273" s="2" t="s">
        <v>199</v>
      </c>
    </row>
    <row r="6274" spans="1:5" x14ac:dyDescent="0.2">
      <c r="A6274">
        <v>6213</v>
      </c>
      <c r="B6274" s="138">
        <f>'Acct Summary 7-8'!J82</f>
        <v>-4692</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-3.0115279558169905</v>
      </c>
      <c r="D6276" s="2" t="str">
        <f t="shared" si="97"/>
        <v>Error?</v>
      </c>
      <c r="E6276" s="2" t="s">
        <v>199</v>
      </c>
    </row>
    <row r="6277" spans="1:5" x14ac:dyDescent="0.2">
      <c r="A6277">
        <v>6216</v>
      </c>
      <c r="B6277" s="138">
        <f>'Acct Summary 7-8'!D83</f>
        <v>0.31695976145039761</v>
      </c>
      <c r="D6277" s="2" t="str">
        <f t="shared" si="97"/>
        <v>Error?</v>
      </c>
      <c r="E6277" s="2" t="s">
        <v>199</v>
      </c>
    </row>
    <row r="6278" spans="1:5" x14ac:dyDescent="0.2">
      <c r="A6278">
        <v>6217</v>
      </c>
      <c r="B6278" s="138">
        <f>'Acct Summary 7-8'!E83</f>
        <v>-7.6434634974533111</v>
      </c>
      <c r="D6278" s="2" t="str">
        <f t="shared" si="97"/>
        <v>Error?</v>
      </c>
      <c r="E6278" s="2" t="s">
        <v>199</v>
      </c>
    </row>
    <row r="6279" spans="1:5" x14ac:dyDescent="0.2">
      <c r="A6279">
        <v>6218</v>
      </c>
      <c r="B6279" s="138">
        <f>'Acct Summary 7-8'!F83</f>
        <v>0.73275008907010808</v>
      </c>
      <c r="D6279" s="2" t="str">
        <f t="shared" si="97"/>
        <v>Error?</v>
      </c>
      <c r="E6279" s="2" t="s">
        <v>199</v>
      </c>
    </row>
    <row r="6280" spans="1:5" x14ac:dyDescent="0.2">
      <c r="A6280">
        <v>6219</v>
      </c>
      <c r="B6280" s="138">
        <f>'Acct Summary 7-8'!G83</f>
        <v>-0.16904087772075738</v>
      </c>
      <c r="D6280" s="2" t="str">
        <f t="shared" si="97"/>
        <v>Error?</v>
      </c>
      <c r="E6280" s="2" t="s">
        <v>199</v>
      </c>
    </row>
    <row r="6281" spans="1:5" x14ac:dyDescent="0.2">
      <c r="A6281">
        <v>6220</v>
      </c>
      <c r="B6281" s="138">
        <f>'Acct Summary 7-8'!H83</f>
        <v>-35.452727095326374</v>
      </c>
      <c r="D6281" s="2" t="str">
        <f t="shared" si="97"/>
        <v>Error?</v>
      </c>
      <c r="E6281" s="2" t="s">
        <v>199</v>
      </c>
    </row>
    <row r="6282" spans="1:5" x14ac:dyDescent="0.2">
      <c r="A6282">
        <v>6221</v>
      </c>
      <c r="B6282" s="138">
        <f>'Acct Summary 7-8'!I83</f>
        <v>4.2053886163630535E-3</v>
      </c>
      <c r="D6282" s="2" t="str">
        <f t="shared" si="97"/>
        <v>Error?</v>
      </c>
      <c r="E6282" s="2" t="s">
        <v>199</v>
      </c>
    </row>
    <row r="6283" spans="1:5" x14ac:dyDescent="0.2">
      <c r="A6283">
        <v>6222</v>
      </c>
      <c r="B6283" s="138">
        <f>'Acct Summary 7-8'!J83</f>
        <v>-0.17149749625351804</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295000</v>
      </c>
      <c r="D6285" s="2" t="str">
        <f t="shared" si="97"/>
        <v>Error?</v>
      </c>
      <c r="E6285" s="2" t="s">
        <v>199</v>
      </c>
    </row>
    <row r="6286" spans="1:5" x14ac:dyDescent="0.2">
      <c r="A6286">
        <v>6225</v>
      </c>
      <c r="B6286" s="138">
        <f>'Acct Summary 7-8'!E38</f>
        <v>6727</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104601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104601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151727</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174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174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715</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1294</v>
      </c>
      <c r="D6350" s="2" t="str">
        <f t="shared" si="98"/>
        <v>Error?</v>
      </c>
      <c r="E6350" s="2" t="s">
        <v>199</v>
      </c>
    </row>
    <row r="6351" spans="1:5" x14ac:dyDescent="0.2">
      <c r="A6351">
        <v>6290</v>
      </c>
      <c r="B6351" s="138">
        <f>'Revenues 9-14'!J108</f>
        <v>1294</v>
      </c>
      <c r="D6351" s="2" t="str">
        <f t="shared" si="98"/>
        <v>Error?</v>
      </c>
      <c r="E6351" s="2" t="s">
        <v>199</v>
      </c>
    </row>
    <row r="6352" spans="1:5" x14ac:dyDescent="0.2">
      <c r="A6352">
        <v>6291</v>
      </c>
      <c r="B6352" s="138">
        <f>'Revenues 9-14'!J109</f>
        <v>106069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144</v>
      </c>
      <c r="D6844" s="2" t="str">
        <f t="shared" si="105"/>
        <v>Error?</v>
      </c>
    </row>
    <row r="6845" spans="1:4" x14ac:dyDescent="0.2">
      <c r="A6845">
        <v>6784</v>
      </c>
      <c r="B6845" s="138">
        <f>'Expenditures 15-22'!J5</f>
        <v>38180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61878</v>
      </c>
      <c r="D6880" s="2" t="str">
        <f t="shared" si="106"/>
        <v>Error?</v>
      </c>
    </row>
    <row r="6881" spans="1:4" x14ac:dyDescent="0.2">
      <c r="A6881">
        <v>6820</v>
      </c>
      <c r="B6881" s="138">
        <f>'Expenditures 15-22'!K22</f>
        <v>61878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144</v>
      </c>
      <c r="D6902" s="2" t="str">
        <f t="shared" si="106"/>
        <v>Error?</v>
      </c>
    </row>
    <row r="6903" spans="1:4" x14ac:dyDescent="0.2">
      <c r="A6903">
        <v>6842</v>
      </c>
      <c r="B6903" s="138">
        <f>'Expenditures 15-22'!J33</f>
        <v>38180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155560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155560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155560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375371</v>
      </c>
      <c r="D6983" s="2" t="str">
        <f t="shared" si="108"/>
        <v>Error?</v>
      </c>
    </row>
    <row r="6984" spans="1:4" x14ac:dyDescent="0.2">
      <c r="A6984">
        <v>6923</v>
      </c>
      <c r="B6984" s="138">
        <f>'Expenditures 15-22'!K86</f>
        <v>375371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375371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155704</v>
      </c>
      <c r="D7020" s="2" t="str">
        <f t="shared" si="108"/>
        <v>Error?</v>
      </c>
    </row>
    <row r="7021" spans="1:4" x14ac:dyDescent="0.2">
      <c r="A7021">
        <v>6960</v>
      </c>
      <c r="B7021" s="138">
        <f>'Expenditures 15-22'!J114</f>
        <v>38180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4333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4333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4333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110761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4333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106069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72572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72572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33689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33689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4500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4500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110761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110761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110761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110761</v>
      </c>
      <c r="D7224" s="2" t="str">
        <f t="shared" si="111"/>
        <v>Error?</v>
      </c>
    </row>
    <row r="7225" spans="1:4" x14ac:dyDescent="0.2">
      <c r="A7225">
        <v>7164</v>
      </c>
      <c r="B7225" s="138">
        <f>'Expenditures 15-22'!K343</f>
        <v>-4692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160037</v>
      </c>
      <c r="D7624" s="2" t="str">
        <f t="shared" si="124"/>
        <v>Error?</v>
      </c>
      <c r="E7624" s="2" t="s">
        <v>19</v>
      </c>
    </row>
    <row r="7625" spans="1:5" x14ac:dyDescent="0.2">
      <c r="A7625">
        <f t="shared" si="123"/>
        <v>7564</v>
      </c>
      <c r="B7625" s="138">
        <f>'Cap Outlay Deprec 26'!I17</f>
        <v>16003.7</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791958.7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295000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66847</v>
      </c>
      <c r="D7759" s="2" t="str">
        <f t="shared" si="127"/>
        <v>Error?</v>
      </c>
      <c r="E7759" s="4" t="s">
        <v>1400</v>
      </c>
    </row>
    <row r="7760" spans="1:6" x14ac:dyDescent="0.2">
      <c r="A7760">
        <v>7699</v>
      </c>
      <c r="B7760" s="138">
        <f>'Aud Quest 2'!J90</f>
        <v>66847</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1154979</v>
      </c>
      <c r="D7797" s="2" t="str">
        <f t="shared" si="127"/>
        <v>Error?</v>
      </c>
      <c r="E7797" s="4" t="s">
        <v>2020</v>
      </c>
    </row>
    <row r="7798" spans="1:5" x14ac:dyDescent="0.2">
      <c r="A7798">
        <v>7737</v>
      </c>
      <c r="B7798" s="138">
        <f>'Contracts Paid in CY 29'!F141</f>
        <v>175000</v>
      </c>
      <c r="D7798" s="2" t="str">
        <f t="shared" si="127"/>
        <v>Error?</v>
      </c>
      <c r="E7798" s="4" t="s">
        <v>2020</v>
      </c>
    </row>
    <row r="7799" spans="1:5" x14ac:dyDescent="0.2">
      <c r="A7799">
        <v>7738</v>
      </c>
      <c r="B7799" s="138">
        <f>'Contracts Paid in CY 29'!G141</f>
        <v>895826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Oak Grove SD 68</v>
      </c>
      <c r="B7" s="2422"/>
      <c r="C7" s="2422"/>
      <c r="D7" s="2423"/>
      <c r="E7" s="2424">
        <f>COVER!A13</f>
        <v>34049068002</v>
      </c>
      <c r="F7" s="2425"/>
      <c r="G7" s="2431" t="str">
        <f>COVER!T23</f>
        <v>066-005142</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EDER, CASELLA &amp; CO.</v>
      </c>
      <c r="H9" s="2437"/>
      <c r="I9" s="2437"/>
      <c r="J9" s="2437"/>
      <c r="K9" s="2437"/>
      <c r="L9" s="2438"/>
    </row>
    <row r="10" spans="1:29" ht="13.5" customHeight="1" x14ac:dyDescent="0.2">
      <c r="A10" s="2411" t="str">
        <f>COVER!A38</f>
        <v>KURT VALENTIN</v>
      </c>
      <c r="B10" s="2412"/>
      <c r="C10" s="2412"/>
      <c r="D10" s="2412"/>
      <c r="E10" s="2412"/>
      <c r="F10" s="2413"/>
      <c r="G10" s="2405" t="str">
        <f>COVER!T17</f>
        <v>5400 WEST ELM STREET, SUITE 203</v>
      </c>
      <c r="H10" s="2406"/>
      <c r="I10" s="2406"/>
      <c r="J10" s="2406"/>
      <c r="K10" s="2406"/>
      <c r="L10" s="2407"/>
    </row>
    <row r="11" spans="1:29" ht="13.5" customHeight="1" x14ac:dyDescent="0.2">
      <c r="A11" s="1185" t="s">
        <v>1599</v>
      </c>
      <c r="B11" s="1186"/>
      <c r="C11" s="1187"/>
      <c r="D11" s="1192"/>
      <c r="E11" s="1187"/>
      <c r="F11" s="1191"/>
      <c r="G11" s="2405" t="str">
        <f>COVER!T19</f>
        <v>MCHENRY</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CPAS@EDERCASELLA.COM</v>
      </c>
      <c r="J13" s="2418"/>
      <c r="K13" s="2418"/>
      <c r="L13" s="2419"/>
    </row>
    <row r="14" spans="1:29" ht="13.5" customHeight="1" x14ac:dyDescent="0.2">
      <c r="A14" s="2405" t="str">
        <f>COVER!A19</f>
        <v>1700 SOUTH O'PLAINE ROAD</v>
      </c>
      <c r="B14" s="2406"/>
      <c r="C14" s="2406"/>
      <c r="D14" s="2406"/>
      <c r="E14" s="2406"/>
      <c r="F14" s="2407"/>
      <c r="G14" s="1196" t="s">
        <v>1247</v>
      </c>
      <c r="H14" s="1194"/>
      <c r="I14" s="1194"/>
      <c r="J14" s="1194"/>
      <c r="K14" s="1194"/>
      <c r="L14" s="1195"/>
    </row>
    <row r="15" spans="1:29" ht="13.5" customHeight="1" x14ac:dyDescent="0.2">
      <c r="A15" s="2405" t="str">
        <f>COVER!A21</f>
        <v>GREEN OAKS</v>
      </c>
      <c r="B15" s="2406"/>
      <c r="C15" s="2406"/>
      <c r="D15" s="2406"/>
      <c r="E15" s="2406"/>
      <c r="F15" s="2407"/>
      <c r="G15" s="2402" t="str">
        <f>COVER!T15</f>
        <v>ANTHONY MICHELOTTI</v>
      </c>
      <c r="H15" s="2403"/>
      <c r="I15" s="2403"/>
      <c r="J15" s="2403"/>
      <c r="K15" s="2403"/>
      <c r="L15" s="2404"/>
    </row>
    <row r="16" spans="1:29" ht="12.2" customHeight="1" x14ac:dyDescent="0.2">
      <c r="A16" s="2427">
        <f>COVER!A25</f>
        <v>60048</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815-344-1300</v>
      </c>
      <c r="H18" s="2422"/>
      <c r="I18" s="2422"/>
      <c r="J18" s="2422"/>
      <c r="K18" s="2421" t="str">
        <f>COVER!X21</f>
        <v>815-344-1320</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Oak Grove SD 68</v>
      </c>
      <c r="B1" s="2420"/>
      <c r="C1" s="2420"/>
      <c r="D1" s="2420"/>
    </row>
    <row r="2" spans="1:11" s="1215" customFormat="1" ht="12.75" x14ac:dyDescent="0.2">
      <c r="A2" s="2444">
        <f>'Single Audit Cover'!E7</f>
        <v>34049068002</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abSelected="1" topLeftCell="A13" zoomScale="110" zoomScaleNormal="110" zoomScaleSheetLayoutView="100" workbookViewId="0">
      <selection sqref="A1:F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Oak Grove SD 68</v>
      </c>
      <c r="B1" s="2447"/>
      <c r="C1" s="2447"/>
      <c r="D1" s="2447"/>
      <c r="E1" s="2447"/>
    </row>
    <row r="2" spans="1:5" x14ac:dyDescent="0.2">
      <c r="A2" s="2448">
        <f>'Single Audit Cover'!E7</f>
        <v>34049068002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134602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134602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134602</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134602</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Oak Grove SD 68</v>
      </c>
      <c r="B1" s="2460"/>
      <c r="C1" s="2460"/>
      <c r="D1" s="2460"/>
      <c r="E1" s="2460"/>
      <c r="F1" s="2460"/>
    </row>
    <row r="2" spans="1:7" ht="13.5" customHeight="1" x14ac:dyDescent="0.2">
      <c r="A2" s="2461">
        <f>'Single Audit Cover'!E7</f>
        <v>34049068002</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0" t="s">
        <v>1332</v>
      </c>
      <c r="D15" s="2457" t="s">
        <v>1331</v>
      </c>
      <c r="E15" s="2457"/>
      <c r="F15" s="2457"/>
    </row>
    <row r="16" spans="1:7" ht="13.5" customHeight="1" x14ac:dyDescent="0.2">
      <c r="A16" s="1282"/>
      <c r="B16" s="1276" t="s">
        <v>1330</v>
      </c>
      <c r="C16" s="1870"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7"/>
      <c r="E33" s="1286"/>
    </row>
    <row r="34" spans="1:6" ht="13.5" customHeight="1" x14ac:dyDescent="0.2">
      <c r="A34" s="328" t="s">
        <v>1949</v>
      </c>
      <c r="B34" s="328"/>
      <c r="C34" s="1289">
        <v>0</v>
      </c>
      <c r="D34" s="1927" t="s">
        <v>1671</v>
      </c>
      <c r="E34" s="2454">
        <f>+C33+C34</f>
        <v>0</v>
      </c>
      <c r="F34" s="2455"/>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69"/>
      <c r="C50" s="1869"/>
      <c r="D50" s="1869"/>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Oak Grove SD 68</v>
      </c>
      <c r="C1" s="2464"/>
      <c r="D1" s="2464"/>
      <c r="E1" s="2464"/>
      <c r="F1" s="2464"/>
      <c r="G1" s="2464"/>
      <c r="H1" s="2464"/>
      <c r="I1" s="2464"/>
      <c r="J1" s="2464"/>
      <c r="K1" s="2464"/>
      <c r="L1" s="2464"/>
      <c r="M1" s="2464"/>
    </row>
    <row r="2" spans="2:14" ht="15" x14ac:dyDescent="0.2">
      <c r="B2" s="2461">
        <f>'Single Audit Cover'!E7</f>
        <v>34049068002</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Oak Grove SD 68</v>
      </c>
      <c r="C1" s="2479"/>
      <c r="D1" s="2479"/>
      <c r="E1" s="2479"/>
      <c r="F1" s="2479"/>
      <c r="G1" s="2479"/>
      <c r="H1" s="2479"/>
      <c r="I1" s="2479"/>
      <c r="J1" s="1422"/>
    </row>
    <row r="2" spans="2:10" s="317" customFormat="1" ht="12.75" customHeight="1" x14ac:dyDescent="0.2">
      <c r="B2" s="2480">
        <f>'Single Audit Cover'!E7</f>
        <v>34049068002</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1952</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Oak Grove SD 68</v>
      </c>
      <c r="C1" s="2478"/>
      <c r="D1" s="2478"/>
      <c r="E1" s="2478"/>
      <c r="F1" s="2478"/>
      <c r="G1" s="2478"/>
      <c r="H1" s="2478"/>
      <c r="I1" s="2478"/>
      <c r="J1" s="2478"/>
      <c r="K1" s="2478"/>
      <c r="L1" s="1374"/>
      <c r="M1" s="1374"/>
    </row>
    <row r="2" spans="1:13" ht="12" customHeight="1" x14ac:dyDescent="0.2">
      <c r="B2" s="2480">
        <f>'Single Audit Cover'!E7</f>
        <v>34049068002</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Oak Grove SD 68</v>
      </c>
      <c r="C1" s="2501"/>
      <c r="D1" s="2501"/>
      <c r="E1" s="2501"/>
      <c r="F1" s="2501"/>
      <c r="G1" s="2501"/>
      <c r="H1" s="2501"/>
      <c r="I1" s="2501"/>
      <c r="J1" s="2501"/>
      <c r="K1" s="2501"/>
      <c r="L1" s="1465"/>
    </row>
    <row r="2" spans="1:12" ht="12.75" customHeight="1" x14ac:dyDescent="0.2">
      <c r="B2" s="2502">
        <f>'Single Audit Cover'!E7</f>
        <v>34049068002</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Oak Grove SD 68</v>
      </c>
      <c r="C1" s="2478"/>
      <c r="D1" s="2478"/>
      <c r="E1" s="1491"/>
    </row>
    <row r="2" spans="2:5" s="1282" customFormat="1" ht="12.75" customHeight="1" x14ac:dyDescent="0.2">
      <c r="B2" s="2480">
        <f>'Single Audit Cover'!E7</f>
        <v>34049068002</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6ce3111e-7420-4802-b50a-75d4e9a0b980"/>
    <ds:schemaRef ds:uri="http://purl.org/dc/elements/1.1/"/>
    <ds:schemaRef ds:uri="http://schemas.openxmlformats.org/package/2006/metadata/core-properties"/>
    <ds:schemaRef ds:uri="4d435f69-8686-490b-bd6d-b153bf22ab50"/>
    <ds:schemaRef ds:uri="d21dc803-237d-4c68-8692-8d731fd29118"/>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2018-09-17T19:21:15Z</cp:lastPrinted>
  <dcterms:created xsi:type="dcterms:W3CDTF">2003-10-29T19:06:34Z</dcterms:created>
  <dcterms:modified xsi:type="dcterms:W3CDTF">2018-09-25T19:30:44Z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