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5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calcMode="manual"/>
</workbook>
</file>

<file path=xl/calcChain.xml><?xml version="1.0" encoding="utf-8"?>
<calcChain xmlns="http://schemas.openxmlformats.org/spreadsheetml/2006/main">
  <c r="E289" i="181" l="1"/>
  <c r="E288" i="181"/>
  <c r="E287" i="181"/>
  <c r="E286" i="181"/>
  <c r="E285" i="181"/>
  <c r="E284" i="181"/>
  <c r="E283" i="181"/>
  <c r="E282" i="181"/>
  <c r="E281" i="181"/>
  <c r="E280" i="181"/>
  <c r="E279" i="181"/>
  <c r="E278" i="181"/>
  <c r="E277" i="181"/>
  <c r="E276" i="181"/>
  <c r="E275" i="181"/>
  <c r="E274" i="181"/>
  <c r="E273" i="181"/>
  <c r="E272" i="181"/>
  <c r="E271" i="181"/>
  <c r="E270" i="181"/>
  <c r="E269" i="181"/>
  <c r="E268" i="181"/>
  <c r="E267" i="181"/>
  <c r="E266" i="181"/>
  <c r="E265" i="181"/>
  <c r="E264" i="181"/>
  <c r="E263" i="181"/>
  <c r="E262" i="181"/>
  <c r="E261" i="181"/>
  <c r="E260" i="181"/>
  <c r="E259" i="181"/>
  <c r="E258" i="181"/>
  <c r="E257" i="181"/>
  <c r="E256" i="181"/>
  <c r="E255" i="181"/>
  <c r="E254" i="181"/>
  <c r="E253" i="181"/>
  <c r="E252" i="181"/>
  <c r="E251" i="181"/>
  <c r="E250" i="181"/>
  <c r="E249" i="181"/>
  <c r="E248" i="181"/>
  <c r="E247" i="181"/>
  <c r="E246" i="181"/>
  <c r="E245" i="181"/>
  <c r="E244" i="181"/>
  <c r="E243" i="181"/>
  <c r="E242" i="181"/>
  <c r="E241" i="181"/>
  <c r="E240" i="181"/>
  <c r="E239" i="181"/>
  <c r="E238" i="181"/>
  <c r="E237" i="181"/>
  <c r="E236" i="181"/>
  <c r="E235" i="181"/>
  <c r="E234" i="181"/>
  <c r="E233" i="181"/>
  <c r="E232" i="181"/>
  <c r="E231" i="181"/>
  <c r="E230" i="181"/>
  <c r="E229" i="181"/>
  <c r="E228" i="181"/>
  <c r="E227" i="181"/>
  <c r="E226" i="181"/>
  <c r="E225" i="181"/>
  <c r="E224" i="181"/>
  <c r="E223" i="181"/>
  <c r="E222" i="181"/>
  <c r="E221" i="181"/>
  <c r="E220" i="181"/>
  <c r="E219" i="181"/>
  <c r="E218" i="181"/>
  <c r="E217" i="181"/>
  <c r="E216" i="181"/>
  <c r="E215" i="181"/>
  <c r="E214" i="181"/>
  <c r="E213" i="181"/>
  <c r="E212" i="181"/>
  <c r="E211" i="181"/>
  <c r="E210" i="181"/>
  <c r="E209" i="181"/>
  <c r="E208" i="181"/>
  <c r="E207" i="181"/>
  <c r="E206" i="181"/>
  <c r="E205" i="181"/>
  <c r="E204" i="181"/>
  <c r="E203" i="181"/>
  <c r="E202" i="181"/>
  <c r="E201" i="181"/>
  <c r="E200" i="181"/>
  <c r="E199" i="181"/>
  <c r="E198" i="181"/>
  <c r="E197" i="181"/>
  <c r="E196" i="181"/>
  <c r="E195" i="181"/>
  <c r="E194" i="181"/>
  <c r="E193" i="181"/>
  <c r="E192" i="181"/>
  <c r="E191" i="181"/>
  <c r="E190" i="181"/>
  <c r="E189" i="181"/>
  <c r="E188" i="181"/>
  <c r="E187" i="181"/>
  <c r="E186" i="181"/>
  <c r="E185" i="181"/>
  <c r="E184" i="181"/>
  <c r="E183" i="181"/>
  <c r="E182" i="181"/>
  <c r="E181" i="181"/>
  <c r="E180" i="181"/>
  <c r="E179" i="181"/>
  <c r="E178" i="181"/>
  <c r="E177" i="181"/>
  <c r="E176" i="181"/>
  <c r="E175" i="181"/>
  <c r="E174" i="181"/>
  <c r="E173" i="181"/>
  <c r="E172" i="181"/>
  <c r="E171" i="181"/>
  <c r="E170" i="181"/>
  <c r="E169" i="181"/>
  <c r="E168" i="181"/>
  <c r="E167" i="181"/>
  <c r="E166" i="181"/>
  <c r="E165" i="181"/>
  <c r="E164" i="181"/>
  <c r="E163" i="181"/>
  <c r="E162" i="181"/>
  <c r="E161" i="181"/>
  <c r="E160" i="181"/>
  <c r="E159" i="181"/>
  <c r="E158" i="181"/>
  <c r="E157" i="181"/>
  <c r="E156" i="181"/>
  <c r="E155" i="181"/>
  <c r="E154" i="181"/>
  <c r="E153" i="181"/>
  <c r="E152" i="181"/>
  <c r="E151" i="181"/>
  <c r="E150" i="181"/>
  <c r="E149" i="181"/>
  <c r="E148" i="181"/>
  <c r="E147" i="181"/>
  <c r="E146" i="181"/>
  <c r="E145" i="181"/>
  <c r="E144" i="181"/>
  <c r="E143" i="181"/>
  <c r="E142" i="181"/>
  <c r="E141" i="181"/>
  <c r="E140" i="181"/>
  <c r="E139" i="181"/>
  <c r="E138" i="181"/>
  <c r="E137" i="181"/>
  <c r="E136" i="181"/>
  <c r="E135" i="181"/>
  <c r="E134" i="181"/>
  <c r="E133" i="181"/>
  <c r="E132" i="181"/>
  <c r="E131" i="181"/>
  <c r="E130" i="181"/>
  <c r="E129" i="181"/>
  <c r="E128" i="181"/>
  <c r="E127" i="181"/>
  <c r="E126" i="181"/>
  <c r="E125" i="181"/>
  <c r="E124" i="181"/>
  <c r="E123" i="181"/>
  <c r="E122" i="181"/>
  <c r="E121" i="181"/>
  <c r="E120" i="181"/>
  <c r="E119" i="181"/>
  <c r="E118" i="181"/>
  <c r="E117" i="181"/>
  <c r="F289" i="181" l="1"/>
  <c r="G289" i="181" s="1"/>
  <c r="F288" i="181"/>
  <c r="G288" i="181" s="1"/>
  <c r="F287" i="181"/>
  <c r="G287" i="181" s="1"/>
  <c r="F286" i="181"/>
  <c r="G286" i="181" s="1"/>
  <c r="F285" i="181"/>
  <c r="G285" i="181" s="1"/>
  <c r="F284" i="181"/>
  <c r="G284" i="181" s="1"/>
  <c r="F283" i="181"/>
  <c r="G283" i="181" s="1"/>
  <c r="F282" i="181"/>
  <c r="G282" i="181" s="1"/>
  <c r="F281" i="181"/>
  <c r="G281" i="181" s="1"/>
  <c r="F280" i="181"/>
  <c r="G280" i="181" s="1"/>
  <c r="F279" i="181"/>
  <c r="G279" i="181" s="1"/>
  <c r="F278" i="181"/>
  <c r="G278" i="181" s="1"/>
  <c r="F277" i="181"/>
  <c r="G277" i="181" s="1"/>
  <c r="F276" i="181"/>
  <c r="G276" i="181" s="1"/>
  <c r="F275" i="181"/>
  <c r="G275" i="181" s="1"/>
  <c r="F274" i="181"/>
  <c r="G274" i="181" s="1"/>
  <c r="F273" i="181"/>
  <c r="G273" i="181" s="1"/>
  <c r="F272" i="181"/>
  <c r="G272" i="181" s="1"/>
  <c r="F271" i="181"/>
  <c r="G271" i="181" s="1"/>
  <c r="F270" i="181"/>
  <c r="G270" i="181" s="1"/>
  <c r="F269" i="181"/>
  <c r="G269" i="181" s="1"/>
  <c r="F268" i="181"/>
  <c r="G268" i="181" s="1"/>
  <c r="F267" i="181"/>
  <c r="G267" i="181" s="1"/>
  <c r="F266" i="181"/>
  <c r="G266" i="181" s="1"/>
  <c r="F265" i="181"/>
  <c r="G265" i="181" s="1"/>
  <c r="F264" i="181"/>
  <c r="G264" i="181" s="1"/>
  <c r="F263" i="181"/>
  <c r="G263" i="181" s="1"/>
  <c r="F262" i="181"/>
  <c r="G262" i="181" s="1"/>
  <c r="F261" i="181"/>
  <c r="G261" i="181" s="1"/>
  <c r="F260" i="181"/>
  <c r="G260" i="181" s="1"/>
  <c r="F259" i="181"/>
  <c r="G259" i="181" s="1"/>
  <c r="F258" i="181"/>
  <c r="G258" i="181" s="1"/>
  <c r="F257" i="181"/>
  <c r="G257" i="181" s="1"/>
  <c r="F256" i="181"/>
  <c r="G256" i="181" s="1"/>
  <c r="F255" i="181"/>
  <c r="G255" i="181" s="1"/>
  <c r="F254" i="181"/>
  <c r="G254" i="181" s="1"/>
  <c r="F253" i="181"/>
  <c r="G253" i="181" s="1"/>
  <c r="F252" i="181"/>
  <c r="G252" i="181" s="1"/>
  <c r="F251" i="181"/>
  <c r="G251" i="181" s="1"/>
  <c r="F250" i="181"/>
  <c r="G250" i="181" s="1"/>
  <c r="F249" i="181"/>
  <c r="G249" i="181" s="1"/>
  <c r="F248" i="181"/>
  <c r="G248" i="181" s="1"/>
  <c r="F247" i="181"/>
  <c r="G247" i="181" s="1"/>
  <c r="F246" i="181"/>
  <c r="G246" i="181" s="1"/>
  <c r="F245" i="181"/>
  <c r="G245" i="181" s="1"/>
  <c r="F244" i="181"/>
  <c r="G244" i="181" s="1"/>
  <c r="F243" i="181"/>
  <c r="G243" i="181" s="1"/>
  <c r="F242" i="181"/>
  <c r="G242" i="181" s="1"/>
  <c r="F241" i="181"/>
  <c r="G241" i="181" s="1"/>
  <c r="F240" i="181"/>
  <c r="G240" i="181" s="1"/>
  <c r="F239" i="181"/>
  <c r="G239" i="181" s="1"/>
  <c r="F238" i="181"/>
  <c r="G238" i="181" s="1"/>
  <c r="F237" i="181"/>
  <c r="G237" i="181" s="1"/>
  <c r="F236" i="181"/>
  <c r="G236" i="181" s="1"/>
  <c r="F235" i="181"/>
  <c r="G235" i="181" s="1"/>
  <c r="F234" i="181"/>
  <c r="G234" i="181" s="1"/>
  <c r="F233" i="181"/>
  <c r="G233" i="181" s="1"/>
  <c r="D290" i="181"/>
  <c r="E290" i="181" s="1"/>
  <c r="F232" i="181"/>
  <c r="G232" i="181" s="1"/>
  <c r="F231" i="181"/>
  <c r="G231" i="181" s="1"/>
  <c r="F230" i="181"/>
  <c r="G230" i="181" s="1"/>
  <c r="F229" i="181"/>
  <c r="G229" i="181" s="1"/>
  <c r="F228" i="181"/>
  <c r="G228" i="181" s="1"/>
  <c r="F227" i="181"/>
  <c r="G227" i="181" s="1"/>
  <c r="F226" i="181"/>
  <c r="G226" i="181" s="1"/>
  <c r="F225" i="181"/>
  <c r="G225" i="181" s="1"/>
  <c r="F224" i="181"/>
  <c r="G224" i="181" s="1"/>
  <c r="F223" i="181"/>
  <c r="G223" i="181" s="1"/>
  <c r="F222" i="181"/>
  <c r="G222" i="181" s="1"/>
  <c r="F221" i="181"/>
  <c r="G221" i="181" s="1"/>
  <c r="F220" i="181"/>
  <c r="G220" i="181" s="1"/>
  <c r="F219" i="181"/>
  <c r="G219" i="181" s="1"/>
  <c r="F218" i="181"/>
  <c r="G218" i="181" s="1"/>
  <c r="F217" i="181"/>
  <c r="G217" i="181" s="1"/>
  <c r="F216" i="181"/>
  <c r="G216" i="181" s="1"/>
  <c r="F215" i="181"/>
  <c r="G215" i="181" s="1"/>
  <c r="F214" i="181"/>
  <c r="G214" i="181" s="1"/>
  <c r="F213" i="181"/>
  <c r="G213" i="181" s="1"/>
  <c r="F212" i="181"/>
  <c r="G212" i="181" s="1"/>
  <c r="F211" i="181"/>
  <c r="G211" i="181" s="1"/>
  <c r="F210" i="181"/>
  <c r="G210" i="181" s="1"/>
  <c r="F209" i="181"/>
  <c r="G209" i="181" s="1"/>
  <c r="F208" i="181"/>
  <c r="G208" i="181" s="1"/>
  <c r="F207" i="181"/>
  <c r="G207" i="181" s="1"/>
  <c r="F206" i="181"/>
  <c r="G206" i="181" s="1"/>
  <c r="F205" i="181"/>
  <c r="G205" i="181" s="1"/>
  <c r="F204" i="181"/>
  <c r="G204" i="181" s="1"/>
  <c r="F203" i="181"/>
  <c r="G203" i="181" s="1"/>
  <c r="F202" i="181"/>
  <c r="G202" i="181" s="1"/>
  <c r="F201" i="181"/>
  <c r="G201" i="181" s="1"/>
  <c r="F200" i="181"/>
  <c r="G200" i="181" s="1"/>
  <c r="F199" i="181"/>
  <c r="G199" i="181" s="1"/>
  <c r="F198" i="181"/>
  <c r="G198" i="181" s="1"/>
  <c r="F197" i="181"/>
  <c r="G197" i="181" s="1"/>
  <c r="F196" i="181"/>
  <c r="G196" i="181" s="1"/>
  <c r="F195" i="181"/>
  <c r="G195" i="181" s="1"/>
  <c r="F194" i="181"/>
  <c r="G194" i="181" s="1"/>
  <c r="F193" i="181"/>
  <c r="G193" i="181" s="1"/>
  <c r="F192" i="181"/>
  <c r="G192" i="181" s="1"/>
  <c r="F191" i="181"/>
  <c r="G191" i="181" s="1"/>
  <c r="F190" i="181"/>
  <c r="G190" i="181" s="1"/>
  <c r="F189" i="181"/>
  <c r="G189" i="181" s="1"/>
  <c r="F188" i="181"/>
  <c r="G188" i="181" s="1"/>
  <c r="F187" i="181"/>
  <c r="G187" i="181" s="1"/>
  <c r="F186" i="181"/>
  <c r="G186" i="181" s="1"/>
  <c r="F185" i="181"/>
  <c r="G185" i="181" s="1"/>
  <c r="F184" i="181"/>
  <c r="G184" i="181" s="1"/>
  <c r="F183" i="181"/>
  <c r="G183" i="181" s="1"/>
  <c r="F182" i="181"/>
  <c r="G182" i="181" s="1"/>
  <c r="F181" i="181"/>
  <c r="G181" i="181" s="1"/>
  <c r="F180" i="181"/>
  <c r="G180" i="181" s="1"/>
  <c r="F179" i="181"/>
  <c r="G179" i="181" s="1"/>
  <c r="F178" i="181"/>
  <c r="G178" i="181" s="1"/>
  <c r="F177" i="181"/>
  <c r="G177" i="181" s="1"/>
  <c r="F176" i="181"/>
  <c r="G176" i="181" s="1"/>
  <c r="F175" i="181"/>
  <c r="G175" i="181" s="1"/>
  <c r="F174" i="181"/>
  <c r="G174" i="181" s="1"/>
  <c r="F173" i="181"/>
  <c r="G173" i="181" s="1"/>
  <c r="F172" i="181"/>
  <c r="G172" i="181" s="1"/>
  <c r="F171" i="181"/>
  <c r="G171" i="181" s="1"/>
  <c r="F170" i="181"/>
  <c r="G170" i="181" s="1"/>
  <c r="F169" i="181"/>
  <c r="G169" i="181" s="1"/>
  <c r="F168" i="181"/>
  <c r="G168" i="181" s="1"/>
  <c r="F167" i="181"/>
  <c r="G167" i="181" s="1"/>
  <c r="F166" i="181"/>
  <c r="G166" i="181" s="1"/>
  <c r="F165" i="181"/>
  <c r="G165" i="181" s="1"/>
  <c r="F164" i="181"/>
  <c r="G164" i="181" s="1"/>
  <c r="F163" i="181"/>
  <c r="G163" i="181" s="1"/>
  <c r="F162" i="181"/>
  <c r="G162" i="181" s="1"/>
  <c r="F161" i="181"/>
  <c r="G161" i="181" s="1"/>
  <c r="F160" i="181"/>
  <c r="G160" i="181" s="1"/>
  <c r="F159" i="181"/>
  <c r="G159" i="181" s="1"/>
  <c r="F158" i="181"/>
  <c r="G158" i="181" s="1"/>
  <c r="F157" i="181"/>
  <c r="G157" i="181" s="1"/>
  <c r="F156" i="181"/>
  <c r="G156" i="181" s="1"/>
  <c r="F155" i="181"/>
  <c r="G155" i="181" s="1"/>
  <c r="F154" i="181"/>
  <c r="G154" i="181" s="1"/>
  <c r="F153" i="181"/>
  <c r="G153" i="181" s="1"/>
  <c r="F152" i="181"/>
  <c r="G152" i="181" s="1"/>
  <c r="F151" i="181"/>
  <c r="G151" i="181" s="1"/>
  <c r="F150" i="181"/>
  <c r="G150" i="181" s="1"/>
  <c r="F149" i="181"/>
  <c r="G149" i="181" s="1"/>
  <c r="F148" i="181"/>
  <c r="G148" i="181" s="1"/>
  <c r="F147" i="181"/>
  <c r="G147" i="181" s="1"/>
  <c r="F146" i="181"/>
  <c r="G146" i="181" s="1"/>
  <c r="F145" i="181"/>
  <c r="G145" i="181" s="1"/>
  <c r="F144" i="181"/>
  <c r="G144" i="181" s="1"/>
  <c r="F143" i="181"/>
  <c r="G143" i="181" s="1"/>
  <c r="F142" i="181"/>
  <c r="G142" i="181" s="1"/>
  <c r="F141" i="181"/>
  <c r="G141" i="181" s="1"/>
  <c r="F140" i="181"/>
  <c r="G140" i="181" s="1"/>
  <c r="F139" i="181"/>
  <c r="G139" i="181" s="1"/>
  <c r="F138" i="181"/>
  <c r="G138" i="181" s="1"/>
  <c r="F137" i="181"/>
  <c r="G137" i="181" s="1"/>
  <c r="F136" i="181"/>
  <c r="G136" i="181" s="1"/>
  <c r="F135" i="181"/>
  <c r="G135" i="181" s="1"/>
  <c r="F134" i="181"/>
  <c r="G134" i="181" s="1"/>
  <c r="F133" i="181"/>
  <c r="G133" i="181" s="1"/>
  <c r="F132" i="181"/>
  <c r="G132" i="181" s="1"/>
  <c r="F131" i="181"/>
  <c r="G131" i="181" s="1"/>
  <c r="F130" i="181"/>
  <c r="G130" i="181" s="1"/>
  <c r="F129" i="181"/>
  <c r="G129" i="181" s="1"/>
  <c r="F128" i="181"/>
  <c r="G128" i="181" s="1"/>
  <c r="F127" i="181"/>
  <c r="G127" i="181" s="1"/>
  <c r="F126" i="181"/>
  <c r="G126" i="181" s="1"/>
  <c r="F125" i="181"/>
  <c r="G125" i="181" s="1"/>
  <c r="F124" i="181"/>
  <c r="G124" i="181" s="1"/>
  <c r="F123" i="181"/>
  <c r="G123" i="181" s="1"/>
  <c r="F122" i="181"/>
  <c r="G122" i="181" s="1"/>
  <c r="F121" i="181"/>
  <c r="G121" i="181" s="1"/>
  <c r="F120" i="181"/>
  <c r="G120" i="181" s="1"/>
  <c r="F119" i="181"/>
  <c r="G119" i="181" s="1"/>
  <c r="F118" i="181"/>
  <c r="G118" i="181" s="1"/>
  <c r="F117" i="181"/>
  <c r="G117" i="181" s="1"/>
  <c r="I27" i="185" l="1"/>
  <c r="F27" i="185"/>
  <c r="L21" i="183"/>
  <c r="I20" i="185"/>
  <c r="F20" i="185"/>
  <c r="L18" i="185"/>
  <c r="L17" i="185"/>
  <c r="L27" i="184"/>
  <c r="I15" i="184"/>
  <c r="F15" i="184"/>
  <c r="B4" i="186" l="1"/>
  <c r="L26" i="185"/>
  <c r="L25" i="185"/>
  <c r="L24" i="185"/>
  <c r="L23" i="185"/>
  <c r="B4" i="185"/>
  <c r="L26" i="184"/>
  <c r="L25" i="184"/>
  <c r="L24" i="184"/>
  <c r="L23" i="184"/>
  <c r="L21" i="184"/>
  <c r="L19" i="184"/>
  <c r="L13" i="184"/>
  <c r="L12" i="184"/>
  <c r="B4" i="184"/>
  <c r="L18" i="183"/>
  <c r="L17" i="183"/>
  <c r="L13" i="183"/>
  <c r="B4" i="183"/>
  <c r="I8" i="11" l="1"/>
  <c r="M19" i="3" l="1"/>
  <c r="M17" i="3"/>
  <c r="I7" i="3"/>
  <c r="E4" i="3"/>
  <c r="D4" i="3"/>
  <c r="C27"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15" i="181"/>
  <c r="F115" i="181" s="1"/>
  <c r="G115" i="181" s="1"/>
  <c r="E114" i="181"/>
  <c r="F114" i="181" s="1"/>
  <c r="G114" i="181" s="1"/>
  <c r="E113" i="181"/>
  <c r="F113" i="181" s="1"/>
  <c r="G113" i="181" s="1"/>
  <c r="E112" i="181"/>
  <c r="F112" i="181" s="1"/>
  <c r="G112" i="181" s="1"/>
  <c r="E111" i="181"/>
  <c r="F111" i="181" s="1"/>
  <c r="G111" i="181" s="1"/>
  <c r="E110" i="181"/>
  <c r="F110" i="181" s="1"/>
  <c r="G110" i="181" s="1"/>
  <c r="E109" i="181"/>
  <c r="F109" i="181" s="1"/>
  <c r="G109" i="181" s="1"/>
  <c r="E108" i="181"/>
  <c r="F108" i="181" s="1"/>
  <c r="G108" i="181" s="1"/>
  <c r="E107" i="181"/>
  <c r="F107" i="181" s="1"/>
  <c r="G107" i="181" s="1"/>
  <c r="E106" i="181"/>
  <c r="F106" i="181" s="1"/>
  <c r="G106" i="181" s="1"/>
  <c r="E105" i="181"/>
  <c r="F105" i="181" s="1"/>
  <c r="G105" i="181" s="1"/>
  <c r="E104" i="181"/>
  <c r="F104" i="181" s="1"/>
  <c r="G104" i="181" s="1"/>
  <c r="E103" i="181"/>
  <c r="F103" i="181" s="1"/>
  <c r="G103" i="181" s="1"/>
  <c r="E102" i="181"/>
  <c r="F102" i="181" s="1"/>
  <c r="G102" i="181" s="1"/>
  <c r="E101" i="181"/>
  <c r="F101" i="181" s="1"/>
  <c r="G101" i="181" s="1"/>
  <c r="F100" i="181"/>
  <c r="G100" i="181" s="1"/>
  <c r="E100" i="181"/>
  <c r="E99" i="181"/>
  <c r="F99" i="181" s="1"/>
  <c r="G99" i="181" s="1"/>
  <c r="E98" i="181"/>
  <c r="F98" i="181" s="1"/>
  <c r="G98" i="181" s="1"/>
  <c r="E97" i="181"/>
  <c r="F97" i="181" s="1"/>
  <c r="G97" i="181" s="1"/>
  <c r="E96" i="181"/>
  <c r="F96" i="181" s="1"/>
  <c r="G96" i="181" s="1"/>
  <c r="E95" i="181"/>
  <c r="F95" i="181" s="1"/>
  <c r="G95" i="181" s="1"/>
  <c r="E94" i="181"/>
  <c r="F94" i="181" s="1"/>
  <c r="G94" i="181" s="1"/>
  <c r="E93" i="181"/>
  <c r="F93" i="181" s="1"/>
  <c r="G93" i="181" s="1"/>
  <c r="E92" i="181"/>
  <c r="F92" i="181" s="1"/>
  <c r="G92" i="181" s="1"/>
  <c r="E91" i="181"/>
  <c r="F91" i="181" s="1"/>
  <c r="G91" i="181" s="1"/>
  <c r="E90" i="181"/>
  <c r="F90" i="181" s="1"/>
  <c r="G90" i="181" s="1"/>
  <c r="E89" i="181"/>
  <c r="F89" i="181" s="1"/>
  <c r="G89" i="181" s="1"/>
  <c r="E84" i="181"/>
  <c r="F84" i="181" s="1"/>
  <c r="G84" i="181" s="1"/>
  <c r="F88" i="181"/>
  <c r="G88" i="181" s="1"/>
  <c r="E88" i="181"/>
  <c r="E87" i="181"/>
  <c r="F87" i="181" s="1"/>
  <c r="G87" i="181" s="1"/>
  <c r="E86" i="181"/>
  <c r="F86" i="181" s="1"/>
  <c r="G86" i="181" s="1"/>
  <c r="E85" i="181"/>
  <c r="F85" i="181" s="1"/>
  <c r="G85" i="181" s="1"/>
  <c r="E83" i="181"/>
  <c r="F83" i="181" s="1"/>
  <c r="G83" i="181" s="1"/>
  <c r="E82" i="181"/>
  <c r="F82" i="181" s="1"/>
  <c r="G82" i="181" s="1"/>
  <c r="F81" i="181"/>
  <c r="G81" i="181" s="1"/>
  <c r="E81" i="181"/>
  <c r="E80" i="181"/>
  <c r="F80" i="181" s="1"/>
  <c r="G80" i="181" s="1"/>
  <c r="E77" i="181"/>
  <c r="F77" i="181" s="1"/>
  <c r="G77" i="181" s="1"/>
  <c r="E76" i="181"/>
  <c r="F76" i="181" s="1"/>
  <c r="G76" i="181" s="1"/>
  <c r="E75" i="181"/>
  <c r="F75" i="181" s="1"/>
  <c r="G75" i="181" s="1"/>
  <c r="E74" i="181"/>
  <c r="F74" i="181" s="1"/>
  <c r="G74" i="181" s="1"/>
  <c r="E73" i="181"/>
  <c r="F73" i="181" s="1"/>
  <c r="G73" i="181" s="1"/>
  <c r="E72" i="181"/>
  <c r="F72" i="181" s="1"/>
  <c r="G72" i="181" s="1"/>
  <c r="E71" i="181"/>
  <c r="F71" i="181" s="1"/>
  <c r="G71" i="181" s="1"/>
  <c r="E70" i="181"/>
  <c r="F70" i="181" s="1"/>
  <c r="G70" i="181" s="1"/>
  <c r="E69" i="181"/>
  <c r="F69" i="181" s="1"/>
  <c r="G69" i="181" s="1"/>
  <c r="E68" i="181"/>
  <c r="F68" i="181" s="1"/>
  <c r="G68" i="181" s="1"/>
  <c r="E116" i="181"/>
  <c r="F116" i="181" s="1"/>
  <c r="G116" i="181" s="1"/>
  <c r="E79" i="181"/>
  <c r="F79" i="181" s="1"/>
  <c r="G79" i="181" s="1"/>
  <c r="E78" i="181"/>
  <c r="F78" i="181" s="1"/>
  <c r="G7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F56" i="181"/>
  <c r="G56" i="181" s="1"/>
  <c r="E56" i="18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F47" i="181"/>
  <c r="G47" i="181" s="1"/>
  <c r="E47" i="18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F31" i="181"/>
  <c r="G31" i="181" s="1"/>
  <c r="E31" i="18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80" i="36" l="1"/>
  <c r="B7797" i="106"/>
  <c r="E17" i="181"/>
  <c r="E16" i="181"/>
  <c r="F16" i="181" s="1"/>
  <c r="G16" i="181" s="1"/>
  <c r="F17" i="181" l="1"/>
  <c r="G17" i="181" l="1"/>
  <c r="G290" i="181" s="1"/>
  <c r="G40" i="108" s="1"/>
  <c r="F290" i="181"/>
  <c r="B7798" i="106" s="1"/>
  <c r="E40" i="108" l="1"/>
  <c r="B7799" i="106"/>
  <c r="B4" i="179"/>
  <c r="D17" i="171" l="1"/>
  <c r="L27" i="179" l="1"/>
  <c r="L26" i="179"/>
  <c r="L25" i="179"/>
  <c r="L22" i="179"/>
  <c r="L20" i="179"/>
  <c r="L18" i="179"/>
  <c r="L16" i="179"/>
  <c r="L13" i="179"/>
  <c r="L12" i="179"/>
  <c r="D14" i="171" l="1"/>
  <c r="D12" i="171"/>
  <c r="A10" i="169"/>
  <c r="A16" i="169"/>
  <c r="A15" i="169"/>
  <c r="A14" i="169"/>
  <c r="K18" i="169"/>
  <c r="G18" i="169"/>
  <c r="G15" i="169"/>
  <c r="I13" i="169"/>
  <c r="G11" i="169"/>
  <c r="G10" i="169"/>
  <c r="G9" i="169"/>
  <c r="G7" i="169"/>
  <c r="E7" i="169"/>
  <c r="B2" i="174"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B1" i="186" l="1"/>
  <c r="B1" i="185"/>
  <c r="B1" i="184"/>
  <c r="B1" i="183"/>
  <c r="B2" i="179"/>
  <c r="B2" i="185"/>
  <c r="B2" i="186"/>
  <c r="B2" i="184"/>
  <c r="B2" i="18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B4411" i="106" s="1"/>
  <c r="D4411" i="106" s="1"/>
  <c r="C224" i="5"/>
  <c r="B5286" i="106" s="1"/>
  <c r="D5286" i="106" s="1"/>
  <c r="C228" i="5"/>
  <c r="C259" i="5"/>
  <c r="B7761" i="106"/>
  <c r="L127" i="29"/>
  <c r="L129" i="29" s="1"/>
  <c r="L139" i="29"/>
  <c r="L149" i="29"/>
  <c r="I7" i="145"/>
  <c r="I6" i="145"/>
  <c r="D78" i="36"/>
  <c r="K75" i="29"/>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E28" i="108"/>
  <c r="F28" i="108"/>
  <c r="F37" i="108"/>
  <c r="G28"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0" i="34"/>
  <c r="F128" i="34"/>
  <c r="F127" i="34"/>
  <c r="F111" i="34"/>
  <c r="B5847" i="106"/>
  <c r="D5847" i="106" s="1"/>
  <c r="B5752" i="106"/>
  <c r="D5752" i="106" s="1"/>
  <c r="B5599" i="106"/>
  <c r="D5599" i="106" s="1"/>
  <c r="K274" i="5"/>
  <c r="H109" i="5"/>
  <c r="B6025" i="106" s="1"/>
  <c r="D6025" i="106" s="1"/>
  <c r="F106" i="34"/>
  <c r="H4" i="4"/>
  <c r="B2655" i="106"/>
  <c r="D2655" i="106" s="1"/>
  <c r="D17" i="7"/>
  <c r="B4104" i="106" s="1"/>
  <c r="D4104" i="106" s="1"/>
  <c r="D12" i="7"/>
  <c r="B1769" i="106" s="1"/>
  <c r="D1769" i="106" s="1"/>
  <c r="D11" i="7"/>
  <c r="B1768" i="106" s="1"/>
  <c r="D1768" i="106" s="1"/>
  <c r="D15" i="7"/>
  <c r="B1772" i="106" s="1"/>
  <c r="D1772" i="106" s="1"/>
  <c r="L367" i="29" l="1"/>
  <c r="B7235" i="106"/>
  <c r="D7235" i="106" s="1"/>
  <c r="J129" i="29"/>
  <c r="B7038" i="106" s="1"/>
  <c r="D7038" i="106" s="1"/>
  <c r="I173" i="5"/>
  <c r="B4216" i="106" s="1"/>
  <c r="D4216" i="106" s="1"/>
  <c r="F172" i="5"/>
  <c r="B5644" i="106" s="1"/>
  <c r="D5644" i="106" s="1"/>
  <c r="G352" i="29"/>
  <c r="B3647" i="106"/>
  <c r="D3647" i="106" s="1"/>
  <c r="B3619" i="106"/>
  <c r="D3619" i="106" s="1"/>
  <c r="C352" i="29"/>
  <c r="B3565" i="106"/>
  <c r="D3565" i="106" s="1"/>
  <c r="K41" i="3"/>
  <c r="B3568" i="106" s="1"/>
  <c r="D3568" i="106" s="1"/>
  <c r="B3170" i="106"/>
  <c r="D3170" i="106" s="1"/>
  <c r="H76" i="4"/>
  <c r="B3298" i="106" s="1"/>
  <c r="D3298" i="106" s="1"/>
  <c r="K24" i="12"/>
  <c r="B7733" i="106" s="1"/>
  <c r="D7733" i="106" s="1"/>
  <c r="D6103" i="106"/>
  <c r="K285" i="29"/>
  <c r="G39" i="108"/>
  <c r="L15" i="11"/>
  <c r="B3459" i="106" s="1"/>
  <c r="D3459" i="106" s="1"/>
  <c r="L13" i="11"/>
  <c r="B2060" i="106" s="1"/>
  <c r="D2060" i="106" s="1"/>
  <c r="D69" i="36"/>
  <c r="F19" i="7"/>
  <c r="B1807" i="106" s="1"/>
  <c r="D1807" i="106" s="1"/>
  <c r="B3649" i="106"/>
  <c r="D3649" i="106" s="1"/>
  <c r="G367" i="29"/>
  <c r="K350" i="29"/>
  <c r="C342" i="29"/>
  <c r="B7216" i="106" s="1"/>
  <c r="D7216" i="106" s="1"/>
  <c r="H173" i="5"/>
  <c r="B1410" i="106"/>
  <c r="D1410" i="106" s="1"/>
  <c r="G4" i="4"/>
  <c r="B2603" i="106" s="1"/>
  <c r="D2603" i="106" s="1"/>
  <c r="K184" i="29"/>
  <c r="F13" i="4" s="1"/>
  <c r="B2596" i="106" s="1"/>
  <c r="D2596" i="106" s="1"/>
  <c r="G29" i="108"/>
  <c r="D7" i="7"/>
  <c r="B1763" i="106" s="1"/>
  <c r="D1763" i="106" s="1"/>
  <c r="B1329" i="106"/>
  <c r="D1329" i="106" s="1"/>
  <c r="F61" i="34"/>
  <c r="B1746" i="106"/>
  <c r="D1746" i="106" s="1"/>
  <c r="I129" i="29"/>
  <c r="B7037" i="106" s="1"/>
  <c r="D7037" i="106" s="1"/>
  <c r="D109" i="5"/>
  <c r="F52" i="34"/>
  <c r="C14" i="4"/>
  <c r="B2558" i="106" s="1"/>
  <c r="D2558" i="106" s="1"/>
  <c r="D36" i="108"/>
  <c r="F36" i="108"/>
  <c r="G35" i="108"/>
  <c r="E35" i="108"/>
  <c r="D31" i="108"/>
  <c r="G30" i="108"/>
  <c r="E30" i="108"/>
  <c r="E29" i="108"/>
  <c r="F27" i="108"/>
  <c r="F26" i="108"/>
  <c r="D26" i="108"/>
  <c r="B1126" i="106"/>
  <c r="D1126" i="106" s="1"/>
  <c r="F131" i="34"/>
  <c r="C172" i="5"/>
  <c r="B5214" i="106" s="1"/>
  <c r="D5214" i="106" s="1"/>
  <c r="C109" i="5"/>
  <c r="B5121" i="106" s="1"/>
  <c r="D5121" i="106" s="1"/>
  <c r="B3254" i="106"/>
  <c r="D3254" i="106" s="1"/>
  <c r="D54" i="36"/>
  <c r="D52" i="36"/>
  <c r="J41" i="3"/>
  <c r="B6216" i="106" s="1"/>
  <c r="D6216" i="106" s="1"/>
  <c r="B4268" i="106"/>
  <c r="D4268" i="106" s="1"/>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F275" i="5" l="1"/>
  <c r="H367" i="29"/>
  <c r="B3660" i="106" s="1"/>
  <c r="D3660" i="106" s="1"/>
  <c r="K26" i="12"/>
  <c r="B7743" i="106" s="1"/>
  <c r="D7743" i="106" s="1"/>
  <c r="F73" i="34"/>
  <c r="G15" i="4"/>
  <c r="B6032" i="106" s="1"/>
  <c r="D6032" i="106" s="1"/>
  <c r="B3621" i="106"/>
  <c r="D3621" i="106" s="1"/>
  <c r="C367" i="29"/>
  <c r="B3622" i="106" s="1"/>
  <c r="D3622" i="106" s="1"/>
  <c r="L16" i="11"/>
  <c r="B2061" i="106" s="1"/>
  <c r="D2061" i="106" s="1"/>
  <c r="D19" i="7"/>
  <c r="B1775" i="106" s="1"/>
  <c r="D1775" i="106" s="1"/>
  <c r="B3670" i="106"/>
  <c r="D3670" i="106" s="1"/>
  <c r="K352" i="29"/>
  <c r="K342" i="29"/>
  <c r="F13" i="34" s="1"/>
  <c r="B5906" i="106"/>
  <c r="D5906" i="106" s="1"/>
  <c r="H6" i="4"/>
  <c r="F6" i="4"/>
  <c r="B2593" i="106" s="1"/>
  <c r="D2593" i="106" s="1"/>
  <c r="B5356" i="106"/>
  <c r="D5356" i="106" s="1"/>
  <c r="D4" i="4"/>
  <c r="B2564" i="106" s="1"/>
  <c r="D2564" i="106" s="1"/>
  <c r="F41" i="108"/>
  <c r="G43" i="108" s="1"/>
  <c r="D41" i="108"/>
  <c r="E43" i="108" s="1"/>
  <c r="C114" i="29"/>
  <c r="B757" i="106" s="1"/>
  <c r="D757" i="106" s="1"/>
  <c r="C173" i="5"/>
  <c r="B5223" i="106" s="1"/>
  <c r="D5223" i="106" s="1"/>
  <c r="C4" i="4"/>
  <c r="B2551" i="106" s="1"/>
  <c r="D2551" i="106" s="1"/>
  <c r="D51" i="36"/>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K13" i="4" l="1"/>
  <c r="B3572" i="106" s="1"/>
  <c r="D3572" i="106" s="1"/>
  <c r="B3672" i="106"/>
  <c r="D3672" i="106" s="1"/>
  <c r="K367" i="29"/>
  <c r="J17" i="4"/>
  <c r="B6227" i="106" s="1"/>
  <c r="D6227" i="106" s="1"/>
  <c r="B2656" i="106"/>
  <c r="D2656" i="106" s="1"/>
  <c r="H8" i="4"/>
  <c r="F8" i="4"/>
  <c r="D8" i="14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B6230" i="106" s="1"/>
  <c r="D6230" i="106" s="1"/>
  <c r="B2658" i="106"/>
  <c r="D2658" i="106" s="1"/>
  <c r="H10" i="4"/>
  <c r="B4127" i="106" s="1"/>
  <c r="D4127"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<sst xmlns="http://schemas.openxmlformats.org/spreadsheetml/2006/main" count="6234" uniqueCount="2534">
  <si>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</si>
  <si>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</si>
  <si>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</si>
  <si>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</si>
  <si>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</si>
  <si>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</si>
  <si>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</si>
  <si>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</si>
  <si>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</si>
  <si>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</si>
  <si>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</si>
  <si>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</si>
  <si>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</si>
  <si>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</si>
  <si>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</si>
  <si>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</si>
  <si>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</si>
  <si>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</si>
  <si>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</si>
  <si>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</si>
  <si>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</si>
  <si>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</si>
  <si>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</si>
  <si>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</si>
  <si>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</si>
  <si>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</si>
  <si>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</si>
  <si>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</si>
  <si>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</si>
  <si>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</si>
  <si>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</si>
  <si>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</si>
  <si>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</si>
  <si>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</si>
  <si>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</si>
  <si>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</si>
  <si>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</si>
  <si>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</si>
  <si>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</si>
  <si>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</si>
  <si>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</si>
  <si>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</si>
  <si>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</si>
  <si>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</si>
  <si>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</si>
  <si>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</si>
  <si>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</si>
  <si>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</si>
  <si>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</si>
  <si>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</si>
  <si>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</si>
  <si>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</si>
  <si>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</si>
  <si>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</si>
  <si>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</si>
  <si>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</si>
  <si>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</si>
  <si>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</si>
  <si>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</si>
  <si>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</si>
  <si>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</si>
  <si>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</si>
  <si>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</si>
  <si>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</si>
  <si>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</si>
  <si>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</si>
  <si>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</si>
  <si>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</si>
  <si>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</si>
  <si>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</si>
  <si>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</si>
  <si>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</si>
  <si>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</si>
  <si>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</si>
  <si>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</si>
  <si>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</si>
  <si>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</si>
  <si>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</si>
  <si>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</si>
  <si>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</si>
  <si>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</si>
  <si>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</si>
  <si>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</si>
  <si>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</si>
  <si>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</si>
  <si>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</si>
  <si>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</si>
  <si>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</si>
  <si>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</si>
  <si>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</si>
  <si>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</si>
  <si>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</si>
  <si>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</si>
  <si>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</si>
  <si>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</si>
  <si>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</si>
  <si>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</si>
  <si>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</si>
  <si>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</si>
  <si>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</si>
  <si>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</si>
  <si>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</si>
  <si>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</si>
  <si>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</si>
  <si>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</si>
  <si>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</si>
  <si>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</si>
  <si>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</si>
  <si>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</si>
  <si>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</si>
  <si>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</si>
  <si>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</si>
  <si>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</si>
  <si>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</si>
  <si>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</si>
  <si>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</si>
  <si>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</si>
  <si>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</si>
  <si>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</si>
  <si>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</si>
  <si>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</si>
  <si>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</si>
  <si>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</si>
  <si>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</si>
  <si>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</si>
  <si>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</si>
  <si>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</si>
  <si>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</si>
  <si>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</si>
  <si>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</si>
  <si>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</si>
  <si>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</si>
  <si>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</si>
  <si>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</si>
  <si>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</si>
  <si>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</si>
  <si>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</si>
  <si>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</si>
  <si>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</si>
  <si>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</si>
  <si>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</si>
  <si>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</si>
  <si>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</si>
  <si>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</si>
  <si>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</si>
  <si>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</si>
  <si>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</si>
  <si>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</si>
  <si>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</si>
  <si>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</si>
  <si>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</si>
  <si>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</si>
  <si>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</si>
  <si>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</si>
  <si>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</si>
  <si>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</si>
  <si>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</si>
  <si>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</si>
  <si>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</si>
  <si>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</si>
  <si>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</si>
  <si>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</si>
  <si>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</si>
  <si>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</si>
  <si>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</si>
  <si>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</si>
  <si>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</si>
  <si>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</si>
  <si>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</si>
  <si>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</si>
  <si>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</si>
  <si>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</si>
  <si>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</si>
  <si>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</si>
  <si>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</si>
  <si>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</si>
  <si>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</si>
  <si>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</si>
  <si>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</si>
  <si>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</si>
  <si>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</si>
  <si>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</si>
  <si>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</si>
  <si>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</si>
  <si>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</si>
  <si>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</si>
  <si>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</si>
  <si>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</si>
  <si>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</si>
  <si>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</si>
  <si>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</si>
  <si>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</si>
  <si>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</si>
  <si>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</si>
  <si>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</si>
  <si>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</si>
  <si>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</si>
  <si>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</si>
  <si>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</si>
  <si>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</si>
  <si>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</si>
  <si>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</si>
  <si>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</si>
  <si>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</si>
  <si>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</si>
  <si>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</si>
  <si>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</si>
  <si>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</si>
  <si>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</si>
  <si>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</si>
  <si>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</si>
  <si>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</si>
  <si>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</si>
  <si>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</si>
  <si>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</si>
  <si>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</si>
  <si>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</si>
  <si>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</si>
  <si>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</si>
  <si>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</si>
  <si>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</si>
  <si>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</si>
  <si>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</si>
  <si>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</si>
  <si>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</si>
  <si>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</si>
  <si>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</si>
  <si>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</si>
  <si>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</si>
  <si>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</si>
  <si>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</si>
  <si>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</si>
  <si>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</si>
  <si>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</si>
  <si>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</si>
  <si>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</si>
  <si>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</si>
  <si>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</si>
  <si>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</si>
  <si>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</si>
  <si>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</si>
  <si>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</si>
  <si>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</si>
  <si>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</si>
  <si>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</si>
  <si>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</si>
  <si>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</si>
  <si>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</si>
  <si>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</si>
  <si>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</si>
  <si>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</si>
  <si>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</si>
  <si>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</si>
  <si>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</si>
  <si>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</si>
  <si>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</si>
  <si>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</si>
  <si>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</si>
  <si>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</si>
  <si>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</si>
  <si>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</si>
  <si>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</si>
  <si>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</si>
  <si>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</si>
  <si>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</si>
  <si>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</si>
  <si>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</si>
  <si>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</si>
  <si>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</si>
  <si>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</si>
  <si>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</si>
  <si>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</si>
  <si>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</si>
  <si>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</si>
  <si>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</si>
  <si>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</si>
  <si>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</si>
  <si>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</si>
  <si>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</si>
  <si>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</si>
  <si>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</si>
  <si>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</si>
  <si>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</si>
  <si>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</si>
  <si>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</si>
  <si>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</si>
  <si>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</si>
  <si>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</si>
  <si>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</si>
  <si>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</si>
  <si>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</si>
  <si>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</si>
  <si>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</si>
  <si>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</si>
  <si>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</si>
  <si>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</si>
  <si>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</si>
  <si>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</si>
  <si>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</si>
  <si>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</si>
  <si>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</si>
  <si>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</si>
  <si>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</si>
  <si>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</si>
  <si>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</si>
  <si>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</si>
  <si>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</si>
  <si>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</si>
  <si>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</si>
  <si>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</si>
  <si>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</si>
  <si>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</si>
  <si>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</si>
  <si>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</si>
  <si>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</si>
  <si>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</si>
  <si>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</si>
  <si>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</si>
  <si>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</si>
  <si>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</si>
  <si>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</si>
  <si>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</si>
  <si>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</si>
  <si>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</si>
  <si>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</si>
  <si>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</si>
  <si>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</si>
  <si>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</si>
  <si>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</si>
  <si>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</si>
  <si>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</si>
  <si>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</si>
  <si>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</si>
  <si>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</si>
  <si>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</si>
  <si>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</si>
  <si>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</si>
  <si>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</si>
  <si>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</si>
  <si>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</si>
  <si>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</si>
  <si>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</si>
  <si>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</si>
  <si>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</si>
  <si>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</si>
  <si>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</si>
  <si>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</si>
  <si>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</si>
  <si>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</si>
  <si>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</si>
  <si>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</si>
  <si>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</si>
  <si>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</si>
  <si>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</si>
  <si>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</si>
  <si>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</si>
  <si>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</si>
  <si>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</si>
  <si>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</si>
  <si>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</si>
  <si>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</si>
  <si>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</si>
  <si>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</si>
  <si>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</si>
  <si>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</si>
  <si>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</si>
  <si>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</si>
  <si>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</si>
  <si>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</si>
  <si>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</si>
  <si>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</si>
  <si>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</si>
  <si>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</si>
  <si>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</si>
  <si>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</si>
  <si>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</si>
  <si>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</si>
  <si>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</si>
  <si>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</si>
  <si>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</si>
  <si>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</si>
  <si>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</si>
  <si>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</si>
  <si>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</si>
  <si>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</si>
  <si>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</si>
  <si>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</si>
  <si>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</si>
  <si>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</si>
  <si>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</si>
  <si>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</si>
  <si>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</si>
  <si>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</si>
  <si>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</si>
  <si>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</si>
  <si>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</si>
  <si>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</si>
  <si>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</si>
  <si>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</si>
  <si>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</si>
  <si>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</si>
  <si>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</si>
  <si>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</si>
  <si>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</si>
  <si>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</si>
  <si>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</si>
  <si>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</si>
  <si>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</si>
  <si>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</si>
  <si>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</si>
  <si>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</si>
  <si>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</si>
  <si>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</si>
  <si>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</si>
  <si>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</si>
  <si>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</si>
  <si>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</si>
  <si>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</si>
  <si>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</si>
  <si>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</si>
  <si>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</si>
  <si>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</si>
  <si>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</si>
  <si>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</si>
  <si>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</si>
  <si>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</si>
  <si>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</si>
  <si>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</si>
  <si>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</si>
  <si>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</si>
  <si>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</si>
  <si>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</si>
  <si>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</si>
  <si>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</si>
  <si>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</si>
  <si>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</si>
  <si>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</si>
  <si>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</si>
  <si>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</si>
  <si>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</si>
  <si>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</si>
  <si>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</si>
  <si>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</si>
  <si>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</si>
  <si>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</si>
  <si>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</si>
  <si>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</si>
  <si>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</si>
  <si>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</si>
  <si>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</si>
  <si>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</si>
  <si>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</si>
  <si>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</si>
  <si>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</si>
  <si>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</si>
  <si>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</si>
  <si>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</si>
  <si>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</si>
  <si>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</si>
  <si>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</si>
  <si>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</si>
  <si>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</si>
  <si>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</si>
  <si>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</si>
  <si>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</si>
  <si>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</si>
  <si>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</si>
  <si>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</si>
  <si>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</si>
  <si>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</si>
  <si>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</si>
  <si>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</si>
  <si>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</si>
  <si>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</si>
  <si>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</si>
  <si>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</si>
  <si>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</si>
  <si>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</si>
  <si>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</si>
  <si>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</si>
  <si>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</si>
  <si>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</si>
  <si>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</si>
  <si>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</si>
  <si>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</si>
  <si>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</si>
  <si>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</si>
  <si>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</si>
  <si>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</si>
  <si>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</si>
  <si>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</si>
  <si>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</si>
  <si>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</si>
  <si>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</si>
  <si>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</si>
  <si>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</si>
  <si>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</si>
  <si>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</si>
  <si>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</si>
  <si>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</si>
  <si>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</si>
  <si>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</si>
  <si>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</si>
  <si>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</si>
  <si>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</si>
  <si>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</si>
  <si>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</si>
  <si>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</si>
  <si>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</si>
  <si>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</si>
  <si>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</si>
  <si>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</si>
  <si>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</si>
  <si>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</si>
  <si>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</si>
  <si>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</si>
  <si>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</si>
  <si>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</si>
  <si>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</si>
  <si>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</si>
  <si>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</si>
  <si>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</si>
  <si>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</si>
  <si>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</si>
  <si>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</si>
  <si>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</si>
  <si>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</si>
  <si>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</si>
  <si>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</si>
  <si>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</si>
  <si>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</si>
  <si>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</si>
  <si>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</si>
  <si>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</si>
  <si>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</si>
  <si>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</si>
  <si>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</si>
  <si>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</si>
  <si>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</si>
  <si>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</si>
  <si>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</si>
  <si>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</si>
  <si>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</si>
  <si>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</si>
  <si>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</si>
  <si>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</si>
  <si>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</si>
  <si>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</si>
  <si>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</si>
  <si>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</si>
  <si>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</si>
  <si>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</si>
  <si>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</si>
  <si>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</si>
  <si>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</si>
  <si>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</si>
  <si>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</si>
  <si>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</si>
  <si>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</si>
  <si>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</si>
  <si>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</si>
  <si>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</si>
  <si>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</si>
  <si>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</si>
  <si>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</si>
  <si>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</si>
  <si>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</si>
  <si>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</si>
  <si>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</si>
  <si>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</si>
  <si>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</si>
  <si>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</si>
  <si>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</si>
  <si>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</si>
  <si>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</si>
  <si>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</si>
  <si>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</si>
  <si>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</si>
  <si>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</si>
  <si>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</si>
  <si>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</si>
  <si>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</si>
  <si>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</si>
  <si>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</si>
  <si>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</si>
  <si>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</si>
  <si>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</si>
  <si>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</si>
  <si>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</si>
  <si>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</si>
  <si>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</si>
  <si>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</si>
  <si>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</si>
  <si>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</si>
  <si>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</si>
  <si>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</si>
  <si>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</si>
  <si>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</si>
  <si>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</si>
  <si>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</si>
  <si>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</si>
  <si>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</si>
  <si>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</si>
  <si>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</si>
  <si>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</si>
  <si>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</si>
  <si>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</si>
  <si>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</si>
  <si>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</si>
  <si>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</si>
  <si>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</si>
  <si>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</si>
  <si>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</si>
  <si>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</si>
  <si>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</si>
  <si>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</si>
  <si>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</si>
  <si>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</si>
  <si>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</si>
  <si>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</si>
  <si>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</si>
  <si>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</si>
  <si>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</si>
  <si>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</si>
  <si>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</si>
  <si>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</si>
  <si>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</si>
  <si>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</si>
  <si>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</si>
  <si>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</si>
  <si>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</si>
  <si>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</si>
  <si>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</si>
  <si>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</si>
  <si>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</si>
  <si>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</si>
  <si>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</si>
  <si>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</si>
  <si>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</si>
  <si>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</si>
  <si>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</si>
  <si>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</si>
  <si>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</si>
  <si>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</si>
  <si>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</si>
  <si>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</si>
  <si>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</si>
  <si>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</si>
  <si>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</si>
  <si>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</si>
  <si>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</si>
  <si>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</si>
  <si>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</si>
  <si>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</si>
  <si>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</si>
  <si>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</si>
  <si>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</si>
  <si>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</si>
  <si>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</si>
  <si>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</si>
  <si>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</si>
  <si>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</si>
  <si>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</si>
  <si>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</si>
  <si>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</si>
  <si>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</si>
  <si>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</si>
  <si>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</si>
  <si>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</si>
  <si>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</si>
  <si>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</si>
  <si>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</si>
  <si>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</si>
  <si>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</si>
  <si>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</si>
  <si>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</si>
  <si>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</si>
  <si>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</si>
  <si>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</si>
  <si>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</si>
  <si>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</si>
  <si>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</si>
  <si>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</si>
  <si>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</si>
  <si>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</si>
  <si>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</si>
  <si>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</si>
  <si>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</si>
  <si>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</si>
  <si>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</si>
  <si>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</si>
  <si>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</si>
  <si>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</si>
  <si>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</si>
  <si>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</si>
  <si>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</si>
  <si>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</si>
  <si>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</si>
  <si>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</si>
  <si>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</si>
  <si>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</si>
  <si>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</si>
  <si>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</si>
  <si>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</si>
  <si>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</si>
  <si>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</si>
  <si>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</si>
  <si>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</si>
  <si>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</si>
  <si>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</si>
  <si>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</si>
  <si>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</si>
  <si>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</si>
  <si>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</si>
  <si>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</si>
  <si>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</si>
  <si>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</si>
  <si>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</si>
  <si>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</si>
  <si>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</si>
  <si>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</si>
  <si>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</si>
  <si>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</si>
  <si>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</si>
  <si>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</si>
  <si>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</si>
  <si>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</si>
  <si>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</si>
  <si>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</si>
  <si>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</si>
  <si>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</si>
  <si>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</si>
  <si>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</si>
  <si>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</si>
  <si>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</si>
  <si>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</si>
  <si>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</si>
  <si>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</si>
  <si>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</si>
  <si>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</si>
  <si>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</si>
  <si>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</si>
  <si>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</si>
  <si>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</si>
  <si>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</si>
  <si>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</si>
  <si>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</si>
  <si>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</si>
  <si>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</si>
  <si>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</si>
  <si>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</si>
  <si>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</si>
  <si>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</si>
  <si>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</si>
  <si>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</si>
  <si>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</si>
  <si>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</si>
  <si>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</si>
  <si>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</si>
  <si>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</si>
  <si>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</si>
  <si>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</si>
  <si>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</si>
  <si>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</si>
  <si>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</si>
  <si>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</si>
  <si>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</si>
  <si>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</si>
  <si>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</si>
  <si>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</si>
  <si>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</si>
  <si>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</si>
  <si>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</si>
  <si>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</si>
  <si>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</si>
  <si>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</si>
  <si>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</si>
  <si>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</si>
  <si>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</si>
  <si>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</si>
  <si>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</si>
  <si>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</si>
  <si>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</si>
  <si>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</si>
  <si>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</si>
  <si>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</si>
  <si>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</si>
  <si>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</si>
  <si>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</si>
  <si>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</si>
  <si>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</si>
  <si>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</si>
  <si>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</si>
  <si>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</si>
  <si>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</si>
  <si>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</si>
  <si>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</si>
  <si>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</si>
  <si>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</si>
  <si>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</si>
  <si>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</si>
  <si>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</si>
  <si>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</si>
  <si>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</si>
  <si>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</si>
  <si>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</si>
  <si>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</si>
  <si>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</si>
  <si>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</si>
  <si>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</si>
  <si>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</si>
  <si>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</si>
  <si>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</si>
  <si>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</si>
  <si>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</si>
  <si>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</si>
  <si>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</si>
  <si>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</si>
  <si>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</si>
  <si>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</si>
  <si>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</si>
  <si>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</si>
  <si>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</si>
  <si>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</si>
  <si>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</si>
  <si>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</si>
  <si>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</si>
  <si>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</si>
  <si>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</si>
  <si>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</si>
  <si>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</si>
  <si>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</si>
  <si>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</si>
  <si>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</si>
  <si>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</si>
  <si>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</si>
  <si>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</si>
  <si>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</si>
  <si>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</si>
  <si>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</si>
  <si>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</si>
  <si>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</si>
  <si>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</si>
  <si>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</si>
  <si>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</si>
  <si>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</si>
  <si>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</si>
  <si>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</si>
  <si>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</si>
  <si>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</si>
  <si>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</si>
  <si>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</si>
  <si>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</si>
  <si>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</si>
  <si>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</si>
  <si>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</si>
  <si>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</si>
  <si>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</si>
  <si>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</si>
  <si>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</si>
  <si>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</si>
  <si>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</si>
  <si>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</si>
  <si>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</si>
  <si>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</si>
  <si>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</si>
  <si>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</si>
  <si>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</si>
  <si>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</si>
  <si>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</si>
  <si>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</si>
  <si>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</si>
  <si>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</si>
  <si>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</si>
  <si>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</si>
  <si>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</si>
  <si>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</si>
  <si>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</si>
  <si>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</si>
  <si>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</si>
  <si>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</si>
  <si>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</si>
  <si>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</si>
  <si>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</si>
  <si>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</si>
  <si>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</si>
  <si>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</si>
  <si>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</si>
  <si>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</si>
  <si>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</si>
  <si>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</si>
  <si>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</si>
  <si>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</si>
  <si>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</si>
  <si>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</si>
  <si>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</si>
  <si>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</si>
  <si>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</si>
  <si>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</si>
  <si>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</si>
  <si>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</si>
  <si>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</si>
  <si>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</si>
  <si>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</si>
  <si>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</si>
  <si>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</si>
  <si>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</si>
  <si>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</si>
  <si>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</si>
  <si>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</si>
  <si>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</si>
  <si>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</si>
  <si>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</si>
  <si>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</si>
  <si>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</si>
  <si>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</si>
  <si>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</si>
  <si>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</si>
  <si>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</si>
  <si>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</si>
  <si>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</si>
  <si>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</si>
  <si>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</si>
  <si>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</si>
  <si>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</si>
  <si>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</si>
  <si>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</si>
  <si>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</si>
  <si>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</si>
  <si>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</si>
  <si>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</si>
  <si>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</si>
  <si>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</si>
  <si>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</si>
  <si>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</si>
  <si>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</si>
  <si>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</si>
  <si>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</si>
  <si>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</si>
  <si>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</si>
  <si>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</si>
  <si>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</si>
  <si>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</si>
  <si>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</si>
  <si>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</si>
  <si>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</si>
  <si>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</si>
  <si>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</si>
  <si>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</si>
  <si>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</si>
  <si>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</si>
  <si>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</si>
  <si>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</si>
  <si>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</si>
  <si>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</si>
  <si>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</si>
  <si>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</si>
  <si>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</si>
  <si>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</si>
  <si>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</si>
  <si>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</si>
  <si>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</si>
  <si>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</si>
  <si>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</si>
  <si>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</si>
  <si>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</si>
  <si>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</si>
  <si>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</si>
  <si>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</si>
  <si>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</si>
  <si>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</si>
  <si>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</si>
  <si>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</si>
  <si>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</si>
  <si>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</si>
  <si>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</si>
  <si>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</si>
  <si>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</si>
  <si>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</si>
  <si>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</si>
  <si>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</si>
  <si>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</si>
  <si>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</si>
  <si>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</si>
  <si>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</si>
  <si>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</si>
  <si>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</si>
  <si>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</si>
  <si>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</si>
  <si>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</si>
  <si>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</si>
  <si>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</si>
  <si>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</si>
  <si>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</si>
  <si>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</si>
  <si>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</si>
  <si>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</si>
  <si>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</si>
  <si>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</si>
  <si>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</si>
  <si>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</si>
  <si>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</si>
  <si>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</si>
  <si>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</si>
  <si>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</si>
  <si>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</si>
  <si>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</si>
  <si>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</si>
  <si>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</si>
  <si>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</si>
  <si>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</si>
  <si>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</si>
  <si>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</si>
  <si>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</si>
  <si>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</si>
  <si>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</si>
  <si>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</si>
  <si>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</si>
  <si>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</si>
  <si>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</si>
  <si>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</si>
  <si>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</si>
  <si>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</si>
  <si>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</si>
  <si>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</si>
  <si>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</si>
  <si>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</si>
  <si>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</si>
  <si>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</si>
  <si>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</si>
  <si>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</si>
  <si>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</si>
  <si>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</si>
  <si>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</si>
  <si>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</si>
  <si>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</si>
  <si>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</si>
  <si>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</si>
  <si>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</si>
  <si>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</si>
  <si>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</si>
  <si>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</si>
  <si>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</si>
  <si>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</si>
  <si>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</si>
  <si>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</si>
  <si>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</si>
  <si>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</si>
  <si>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</si>
  <si>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</si>
  <si>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</si>
  <si>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</si>
  <si>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</si>
  <si>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</si>
  <si>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</si>
  <si>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</si>
  <si>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</si>
  <si>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</si>
  <si>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</si>
  <si>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</si>
  <si>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</si>
  <si>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</si>
  <si>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</si>
  <si>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</si>
  <si>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</si>
  <si>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</si>
  <si>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</si>
  <si>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</si>
  <si>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</si>
  <si>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</si>
  <si>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</si>
  <si>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</si>
  <si>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</si>
  <si>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</si>
  <si>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</si>
  <si>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</si>
  <si>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</si>
  <si>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</si>
  <si>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</si>
  <si>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</si>
  <si>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</si>
  <si>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</si>
  <si>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</si>
  <si>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</si>
  <si>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</si>
  <si>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</si>
  <si>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</si>
  <si>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</si>
  <si>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</si>
  <si>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</si>
  <si>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</si>
  <si>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</si>
  <si>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</si>
  <si>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</si>
  <si>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</si>
  <si>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</si>
  <si>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</si>
  <si>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</si>
  <si>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</si>
  <si>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</si>
  <si>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</si>
  <si>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</si>
  <si>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</si>
  <si>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</si>
  <si>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</si>
  <si>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</si>
  <si>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</si>
  <si>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</si>
  <si>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</si>
  <si>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</si>
  <si>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</si>
  <si>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</si>
  <si>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</si>
  <si>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</si>
  <si>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</si>
  <si>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</si>
  <si>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</si>
  <si>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</si>
  <si>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</si>
  <si>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</si>
  <si>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</si>
  <si>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</si>
  <si>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</si>
  <si>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</si>
  <si>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</si>
  <si>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</si>
  <si>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</si>
  <si>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</si>
  <si>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</si>
  <si>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</si>
  <si>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</si>
  <si>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</si>
  <si>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</si>
  <si>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</si>
  <si>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</si>
  <si>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</si>
  <si>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</si>
  <si>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</si>
  <si>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</si>
  <si>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</si>
  <si>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</si>
  <si>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</si>
  <si>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</si>
  <si>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</si>
  <si>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</si>
  <si>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</si>
  <si>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</si>
  <si>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</si>
  <si>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</si>
  <si>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</si>
  <si>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</si>
  <si>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</si>
  <si>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</si>
  <si>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</si>
  <si>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</si>
  <si>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</si>
  <si>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</si>
  <si>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</si>
  <si>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</si>
  <si>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</si>
  <si>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</si>
  <si>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</si>
  <si>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</si>
  <si>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</si>
  <si>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</si>
  <si>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</si>
  <si>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</si>
  <si>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</si>
  <si>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</si>
  <si>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</si>
  <si>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</si>
  <si>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</si>
  <si>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</si>
  <si>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</si>
  <si>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</si>
  <si>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</si>
  <si>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</si>
  <si>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</si>
  <si>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</si>
  <si>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</si>
  <si>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</si>
  <si>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</si>
  <si>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</si>
  <si>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</si>
  <si>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</si>
  <si>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</si>
  <si>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</si>
  <si>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</si>
  <si>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</si>
  <si>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</si>
  <si>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</si>
  <si>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</si>
  <si>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</si>
  <si>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</si>
  <si>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</si>
  <si>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</si>
  <si>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</si>
  <si>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</si>
  <si>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</si>
  <si>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</si>
  <si>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</si>
  <si>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</si>
  <si>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</si>
  <si>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</si>
  <si>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</si>
  <si>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</si>
  <si>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</si>
  <si>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</si>
  <si>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</si>
  <si>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</si>
  <si>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</si>
  <si>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</si>
  <si>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</si>
  <si>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</si>
  <si>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</si>
  <si>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</si>
  <si>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</si>
  <si>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</si>
  <si>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</si>
  <si>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</si>
  <si>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</si>
  <si>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</si>
  <si>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</si>
  <si>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</si>
  <si>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</si>
  <si>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</si>
  <si>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</si>
  <si>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</si>
  <si>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</si>
  <si>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</si>
  <si>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</si>
  <si>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</si>
  <si>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</si>
  <si>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</si>
  <si>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</si>
  <si>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</si>
  <si>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</si>
  <si>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</si>
  <si>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</si>
  <si>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</si>
  <si>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</si>
  <si>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</si>
  <si>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</si>
  <si>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</si>
  <si>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</si>
  <si>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</si>
  <si>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</si>
  <si>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</si>
  <si>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</si>
  <si>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</si>
  <si>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</si>
  <si>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</si>
  <si>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</si>
  <si>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</si>
  <si>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</si>
  <si>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</si>
  <si>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</si>
  <si>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</si>
  <si>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</si>
  <si>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</si>
  <si>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</si>
  <si>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</si>
  <si>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</si>
  <si>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</si>
  <si>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</si>
  <si>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</si>
  <si>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</si>
  <si>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</si>
  <si>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</si>
  <si>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</si>
  <si>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</si>
  <si>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</si>
  <si>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</si>
  <si>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</si>
  <si>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</si>
  <si>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</si>
  <si>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</si>
  <si>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</si>
  <si>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</si>
  <si>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</si>
  <si>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</si>
  <si>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</si>
  <si>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</si>
  <si>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</si>
  <si>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</si>
  <si>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</si>
  <si>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</si>
  <si>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</si>
  <si>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</si>
  <si>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</si>
  <si>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</si>
  <si>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</si>
  <si>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</si>
  <si>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</si>
  <si>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</si>
  <si>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</si>
  <si>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</si>
  <si>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</si>
  <si>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</si>
  <si>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</si>
  <si>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</si>
  <si>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</si>
  <si>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</si>
  <si>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</si>
  <si>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</si>
  <si>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</si>
  <si>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</si>
  <si>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</si>
  <si>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</si>
  <si>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</si>
  <si>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</si>
  <si>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</si>
  <si>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</si>
  <si>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</si>
  <si>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</si>
  <si>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</si>
  <si>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</si>
  <si>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</si>
  <si>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</si>
  <si>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</si>
  <si>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</si>
  <si>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</si>
  <si>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</si>
  <si>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</si>
  <si>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</si>
  <si>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</si>
  <si>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</si>
  <si>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</si>
  <si>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</si>
  <si>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</si>
  <si>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</si>
  <si>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</si>
  <si>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</si>
  <si>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</si>
  <si>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</si>
  <si>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</si>
  <si>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</si>
  <si>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</si>
  <si>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</si>
  <si>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</si>
  <si>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</si>
  <si>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</si>
  <si>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</si>
  <si>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</si>
  <si>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</si>
  <si>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</si>
  <si>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</si>
  <si>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</si>
  <si>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</si>
  <si>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</si>
  <si>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</si>
  <si>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</si>
  <si>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</si>
  <si>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</si>
  <si>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</si>
  <si>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</si>
  <si>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</si>
  <si>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</si>
  <si>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</si>
  <si>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</si>
  <si>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</si>
  <si>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</si>
  <si>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</si>
  <si>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</si>
  <si>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</si>
  <si>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</si>
  <si>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</si>
  <si>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</si>
  <si>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</si>
  <si>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</si>
  <si>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</si>
  <si>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</si>
  <si>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</si>
  <si>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</si>
  <si>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</si>
  <si>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</si>
  <si>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</si>
  <si>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</si>
  <si>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</si>
  <si>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</si>
  <si>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</si>
  <si>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</si>
  <si>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</si>
  <si>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</si>
  <si>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</si>
  <si>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</si>
  <si>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</si>
  <si>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</si>
  <si>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</si>
  <si>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</si>
  <si>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</si>
  <si>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</si>
  <si>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</si>
  <si>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</si>
  <si>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</si>
  <si>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</si>
  <si>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</si>
  <si>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</si>
  <si>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</si>
  <si>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</si>
  <si>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</si>
  <si>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</si>
  <si>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</si>
  <si>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</si>
  <si>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</si>
  <si>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</si>
  <si>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</si>
  <si>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</si>
  <si>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</si>
  <si>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</si>
  <si>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</si>
  <si>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</si>
  <si>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</si>
  <si>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</si>
  <si>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</si>
  <si>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</si>
  <si>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</si>
  <si>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</si>
  <si>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</si>
  <si>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</si>
  <si>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</si>
  <si>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</si>
  <si>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</si>
  <si>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</si>
  <si>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</si>
  <si>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</si>
  <si>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</si>
  <si>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</si>
  <si>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</si>
  <si>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</si>
  <si>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</si>
  <si>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</si>
  <si>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</si>
  <si>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</si>
  <si>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</si>
  <si>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</si>
  <si>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</si>
  <si>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</si>
  <si>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</si>
  <si>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</si>
  <si>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</si>
  <si>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</si>
  <si>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</si>
  <si>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</si>
  <si>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</si>
  <si>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</si>
  <si>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</si>
  <si>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</si>
  <si>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</si>
  <si>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</si>
  <si>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</si>
  <si>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</si>
  <si>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</si>
  <si>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</si>
  <si>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</si>
  <si>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</si>
  <si>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</si>
  <si>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</si>
  <si>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</si>
  <si>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</si>
  <si>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</si>
  <si>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</si>
  <si>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</si>
  <si>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</si>
  <si>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</si>
  <si>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</si>
  <si>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</si>
  <si>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</si>
  <si>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</si>
  <si>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</si>
  <si>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</si>
  <si>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</si>
  <si>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</si>
  <si>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</si>
  <si>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</si>
  <si>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</si>
  <si>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</si>
  <si>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</si>
  <si>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</si>
  <si>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</si>
  <si>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</si>
  <si>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</si>
  <si>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</si>
  <si>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</si>
  <si>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</si>
  <si>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</si>
  <si>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</si>
  <si>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</si>
  <si>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</si>
  <si>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</si>
  <si>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</si>
  <si>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</si>
  <si>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</si>
  <si>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</si>
  <si>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</si>
  <si>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</si>
  <si>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</si>
  <si>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</si>
  <si>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</si>
  <si>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</si>
  <si>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</si>
  <si>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</si>
  <si>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</si>
  <si>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</si>
  <si>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</si>
  <si>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</si>
  <si>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</si>
  <si>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</si>
  <si>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</si>
  <si>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</si>
  <si>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</si>
  <si>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</si>
  <si>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</si>
  <si>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</si>
  <si>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</si>
  <si>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</si>
  <si>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</si>
  <si>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</si>
  <si>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</si>
  <si>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</si>
  <si>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</si>
  <si>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</si>
  <si>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</si>
  <si>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</si>
  <si>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</si>
  <si>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</si>
  <si>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</si>
  <si>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</si>
  <si>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</si>
  <si>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</si>
  <si>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</si>
  <si>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</si>
  <si>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</si>
  <si>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</si>
  <si>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</si>
  <si>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</si>
  <si>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</si>
  <si>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</si>
  <si>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</si>
  <si>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</si>
  <si>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</si>
  <si>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</si>
  <si>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</si>
  <si>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</si>
  <si>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</si>
  <si>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</si>
  <si>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</si>
  <si>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</si>
  <si>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</si>
  <si>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</si>
  <si>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</si>
  <si>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</si>
  <si>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</si>
  <si>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</si>
  <si>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</si>
  <si>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</si>
  <si>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</si>
  <si>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</si>
  <si>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</si>
  <si>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</si>
  <si>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</si>
  <si>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</si>
  <si>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</si>
  <si>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</si>
  <si>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</si>
  <si>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</si>
  <si>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</si>
  <si>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</si>
  <si>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</si>
  <si>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</si>
  <si>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</si>
  <si>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</si>
  <si>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</si>
  <si>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</si>
  <si>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</si>
  <si>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</si>
  <si>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</si>
  <si>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</si>
  <si>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</si>
  <si>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</si>
  <si>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</si>
  <si>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</si>
  <si>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</si>
  <si>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</si>
  <si>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</si>
  <si>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</si>
  <si>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</si>
  <si>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</si>
  <si>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</si>
  <si>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</si>
  <si>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</si>
  <si>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</si>
  <si>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</si>
  <si>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</si>
  <si>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</si>
  <si>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</si>
  <si>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</si>
  <si>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</si>
  <si>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</si>
  <si>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</si>
  <si>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</si>
  <si>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</si>
  <si>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</si>
  <si>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</si>
  <si>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</si>
  <si>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</si>
  <si>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</si>
  <si>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</si>
  <si>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</si>
  <si>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</si>
  <si>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</si>
  <si>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</si>
  <si>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</si>
  <si>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</si>
  <si>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</si>
  <si>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</si>
  <si>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</si>
  <si>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</si>
  <si>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</si>
  <si>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</si>
  <si>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</si>
  <si>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</si>
  <si>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</si>
  <si>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</si>
  <si>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</si>
  <si>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</si>
  <si>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</si>
  <si>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</si>
  <si>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</si>
  <si>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</si>
  <si>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</si>
  <si>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</si>
  <si>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</si>
  <si>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</si>
  <si>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</si>
  <si>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</si>
  <si>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</si>
  <si>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</si>
  <si>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</si>
  <si>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</si>
  <si>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</si>
  <si>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</si>
  <si>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</si>
  <si>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</si>
  <si>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</si>
  <si>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</si>
  <si>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</si>
  <si>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</si>
  <si>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</si>
  <si>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</si>
  <si>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</si>
  <si>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</si>
  <si>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</si>
  <si>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</si>
  <si>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</si>
  <si>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</si>
  <si>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</si>
  <si>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</si>
  <si>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</si>
  <si>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</si>
  <si>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</si>
  <si>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</si>
  <si>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</si>
  <si>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</si>
  <si>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</si>
  <si>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</si>
  <si>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</si>
  <si>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</si>
  <si>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</si>
  <si>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</si>
  <si>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</si>
  <si>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</si>
  <si>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</si>
  <si>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</si>
  <si>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</si>
  <si>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</si>
  <si>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</si>
  <si>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</si>
  <si>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</si>
  <si>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</si>
  <si>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</si>
  <si>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</si>
  <si>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</si>
  <si>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</si>
  <si>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</si>
  <si>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</si>
  <si>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</si>
  <si>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</si>
  <si>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</si>
  <si>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</si>
  <si>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</si>
  <si>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</si>
  <si>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</si>
  <si>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</si>
  <si>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</si>
  <si>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</si>
  <si>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</si>
  <si>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</si>
  <si>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</si>
  <si>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</si>
  <si>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</si>
  <si>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</si>
  <si>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</si>
  <si>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</si>
  <si>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</si>
  <si>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</si>
  <si>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</si>
  <si>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</si>
  <si>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</si>
  <si>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</si>
  <si>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</si>
  <si>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</si>
  <si>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</si>
  <si>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</si>
  <si>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</si>
  <si>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</si>
  <si>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</si>
  <si>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</si>
  <si>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</si>
  <si>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</si>
  <si>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</si>
  <si>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</si>
  <si>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</si>
  <si>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</si>
  <si>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</si>
  <si>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</si>
  <si>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</si>
  <si>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</si>
  <si>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</si>
  <si>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</si>
  <si>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</si>
  <si>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</si>
  <si>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</si>
  <si>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</si>
  <si>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</si>
  <si>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</si>
  <si>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</si>
  <si>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</si>
  <si>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</si>
  <si>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</si>
  <si>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</si>
  <si>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</si>
  <si>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</si>
  <si>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</si>
  <si>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</si>
  <si>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</si>
  <si>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</si>
  <si>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</si>
  <si>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</si>
  <si>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</si>
  <si>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</si>
  <si>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</si>
  <si>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</si>
  <si>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</si>
  <si>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</si>
  <si>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</si>
  <si>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</si>
  <si>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</si>
  <si>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</si>
  <si>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</si>
  <si>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</si>
  <si>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</si>
  <si>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</si>
  <si>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</si>
  <si>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</si>
  <si>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</si>
  <si>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</si>
  <si>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</si>
  <si>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</si>
  <si>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</si>
  <si>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</si>
  <si>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</si>
  <si>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</si>
  <si>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</si>
  <si>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</si>
  <si>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</si>
  <si>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</si>
  <si>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</si>
  <si>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</si>
  <si>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</si>
  <si>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</si>
  <si>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</si>
  <si>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</si>
  <si>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</si>
  <si>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</si>
  <si>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</si>
  <si>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</si>
  <si>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</si>
  <si>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</si>
  <si>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</si>
  <si>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</si>
  <si>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</si>
  <si>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</si>
  <si>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</si>
  <si>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</si>
  <si>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</si>
  <si>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</si>
  <si>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</si>
  <si>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</si>
  <si>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</si>
  <si>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</si>
  <si>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</si>
  <si>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</si>
  <si>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</si>
  <si>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</si>
  <si>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</si>
  <si>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</si>
  <si>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</si>
  <si>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</si>
  <si>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</si>
  <si>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</si>
  <si>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</si>
  <si>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</si>
  <si>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</si>
  <si>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</si>
  <si>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</si>
  <si>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</si>
  <si>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</si>
  <si>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</si>
  <si>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</si>
  <si>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</si>
  <si>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</si>
  <si>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</si>
  <si>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</si>
  <si>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</si>
  <si>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</si>
  <si>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</si>
  <si>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</si>
  <si>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</si>
  <si>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</si>
  <si>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</si>
  <si>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</si>
  <si>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</si>
  <si>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</si>
  <si>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</si>
  <si>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</si>
  <si>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</si>
  <si>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</si>
  <si>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</si>
  <si>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</si>
  <si>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</si>
  <si>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</si>
  <si>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</si>
  <si>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</si>
  <si>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</si>
  <si>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</si>
  <si>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</si>
  <si>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</si>
  <si>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</si>
  <si>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</si>
  <si>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</si>
  <si>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</si>
  <si>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</si>
  <si>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</si>
  <si>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</si>
  <si>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</si>
  <si>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</si>
  <si>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</si>
  <si>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</si>
  <si>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</si>
  <si>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</si>
  <si>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</si>
  <si>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</si>
  <si>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</si>
  <si>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</si>
  <si>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</si>
  <si>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</si>
  <si>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</si>
  <si>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</si>
  <si>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</si>
  <si>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</si>
  <si>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</si>
  <si>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</si>
  <si>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</si>
  <si>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</si>
  <si>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</si>
  <si>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</si>
  <si>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</si>
  <si>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</si>
  <si>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</si>
  <si>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</si>
  <si>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</si>
  <si>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</si>
  <si>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</si>
  <si>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</si>
  <si>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</si>
  <si>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</si>
  <si>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</si>
  <si>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</si>
  <si>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</si>
  <si>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</si>
  <si>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</si>
  <si>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</si>
  <si>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</si>
  <si>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</si>
  <si>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</si>
  <si>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</si>
  <si>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</si>
  <si>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</si>
  <si>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</si>
  <si>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</si>
  <si>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</si>
  <si>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</si>
  <si>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</si>
  <si>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</si>
  <si>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</si>
  <si>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</si>
  <si>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</si>
  <si>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</si>
  <si>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</si>
  <si>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</si>
  <si>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</si>
  <si>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</si>
  <si>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</si>
  <si>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</si>
  <si>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</si>
  <si>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</si>
  <si>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</si>
  <si>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</si>
  <si>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</si>
  <si>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</si>
  <si>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</si>
  <si>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</si>
  <si>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</si>
  <si>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</si>
  <si>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</si>
  <si>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</si>
  <si>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</si>
  <si>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</si>
  <si>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</si>
  <si>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</si>
  <si>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</si>
  <si>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</si>
  <si>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</si>
  <si>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</si>
  <si>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</si>
  <si>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</si>
  <si>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</si>
  <si>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</si>
  <si>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</si>
  <si>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</si>
  <si>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</si>
  <si>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</si>
  <si>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</si>
  <si>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</si>
  <si>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</si>
  <si>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</si>
  <si>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</si>
  <si>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</si>
  <si>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</si>
  <si>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</si>
  <si>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</si>
  <si>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</si>
  <si>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</si>
  <si>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</si>
  <si>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</si>
  <si>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</si>
  <si>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</si>
  <si>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</si>
  <si>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</si>
  <si>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</si>
  <si>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</si>
  <si>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</si>
  <si>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</si>
  <si>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</si>
  <si>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</si>
  <si>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</si>
  <si>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</si>
  <si>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</si>
  <si>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</si>
  <si>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</si>
  <si>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</si>
  <si>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</si>
  <si>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</si>
  <si>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</si>
  <si>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</si>
  <si>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</si>
  <si>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</si>
  <si>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</si>
  <si>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</si>
  <si>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</si>
  <si>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</si>
  <si>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</si>
  <si>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</si>
  <si>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</si>
  <si>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</si>
  <si>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</si>
  <si>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</si>
  <si>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</si>
  <si>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</si>
  <si>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</si>
  <si>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</si>
  <si>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</si>
  <si>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</si>
  <si>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</si>
  <si>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</si>
  <si>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</si>
  <si>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</si>
  <si>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</si>
  <si>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</si>
  <si>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</si>
  <si>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</si>
  <si>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</si>
  <si>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</si>
  <si>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</si>
  <si>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</si>
  <si>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</si>
  <si>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</si>
  <si>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</si>
  <si>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</si>
  <si>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</si>
  <si>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</si>
  <si>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</si>
  <si>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</si>
  <si>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</si>
  <si>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</si>
  <si>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</si>
  <si>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</si>
  <si>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</si>
  <si>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</si>
  <si>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</si>
  <si>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</si>
  <si>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</si>
  <si>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</si>
  <si>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</si>
  <si>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</si>
  <si>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</si>
  <si>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</si>
  <si>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</si>
  <si>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</si>
  <si>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</si>
  <si>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</si>
  <si>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</si>
  <si>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</si>
  <si>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</si>
  <si>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</si>
  <si>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</si>
  <si>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</si>
  <si>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</si>
  <si>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</si>
  <si>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</si>
  <si>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</si>
  <si>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</si>
  <si>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</si>
  <si>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</si>
  <si>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</si>
  <si>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</si>
  <si>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</si>
  <si>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</si>
  <si>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</si>
  <si>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</si>
  <si>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</si>
  <si>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</si>
  <si>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</si>
  <si>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</si>
  <si>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</si>
  <si>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</si>
  <si>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</si>
  <si>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</si>
  <si>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</si>
  <si>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</si>
  <si>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</si>
  <si>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</si>
  <si>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</si>
  <si>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</si>
  <si>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</si>
  <si>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</si>
  <si>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</si>
  <si>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</si>
  <si>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</si>
  <si>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</si>
  <si>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</si>
  <si>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</si>
  <si>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</si>
  <si>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</si>
  <si>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</si>
  <si>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1201 NORTH SHERIDAN ROAD</t>
  </si>
  <si>
    <t>WAUKEGAN</t>
  </si>
  <si>
    <t>GPOLK@WPS60.ORG</t>
  </si>
  <si>
    <t>EVANS, MARSHALL &amp; PEASE, P.C.</t>
  </si>
  <si>
    <t>JEFFERY M. ROLLEFSON, CPA</t>
  </si>
  <si>
    <t>1875 HICKS ROAD</t>
  </si>
  <si>
    <t>ROLLING MEADOWS</t>
  </si>
  <si>
    <t>IL</t>
  </si>
  <si>
    <t>847-221-5700</t>
  </si>
  <si>
    <t>847-221-5701</t>
  </si>
  <si>
    <t>060-003973</t>
  </si>
  <si>
    <t>JEFF@EMPCPA.COM</t>
  </si>
  <si>
    <t>1999B BUILDING BONDS - CAB</t>
  </si>
  <si>
    <t>2001A WORKING CASH REFUNDING BONDS - CAB</t>
  </si>
  <si>
    <t>2010A GENERAL OBLIGATION BONDS - CAB</t>
  </si>
  <si>
    <t>2010B GENERAL OBLIGATION REFUNDING BONDS</t>
  </si>
  <si>
    <t>2015A GENERAL OBLIGATION BONDS</t>
  </si>
  <si>
    <t>2015B GENERAL OBLIGATION BONDS</t>
  </si>
  <si>
    <t>2016 GENERAL OBLIGATION BONDS</t>
  </si>
  <si>
    <t>2017 GENERAL OBLIGATION REFUNDING SCHOOL BONDS</t>
  </si>
  <si>
    <t>2017 GENERAL OBLIGATION LIMITED SCHOOL BONDS</t>
  </si>
  <si>
    <t>CAPITAL LEASES</t>
  </si>
  <si>
    <t>VARIOUS</t>
  </si>
  <si>
    <t>ALTERNATIVE REVENUE</t>
  </si>
  <si>
    <t>IL UTILITIES PURCHASING COOPERATIVE</t>
  </si>
  <si>
    <t>ARAMARK CORPORATION</t>
  </si>
  <si>
    <t>SUBURBAN SCHOOL CO-OP INSURANCE PROGRAM</t>
  </si>
  <si>
    <t>IL CENTRAL SCHOOL BUS</t>
  </si>
  <si>
    <r>
      <t>The accompanying Schedule of Expenditures of Federal Awards includes the federal grant activity of Waukegan Community Unit School District No. 60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</si>
  <si>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x</t>
  </si>
  <si>
    <t>none</t>
  </si>
  <si>
    <r>
      <t>The following amounts were expended in the form of non-cash assistance by Waukegan Community Unit School District No. 60 and are</t>
    </r>
    <r>
      <rPr>
        <sz val="9"/>
        <rFont val="Calibri"/>
        <family val="2"/>
        <scheme val="minor"/>
      </rPr>
      <t xml:space="preserve"> included in the Schedule of Expenditures of Federal Awards:</t>
    </r>
  </si>
  <si>
    <t>no</t>
  </si>
  <si>
    <t>US DEPARTMENT OF EDUCATION</t>
  </si>
  <si>
    <t>ARTS AND TECHNOLOGY</t>
  </si>
  <si>
    <t>84.351C</t>
  </si>
  <si>
    <t>17-4999-00</t>
  </si>
  <si>
    <t>18-4999-00</t>
  </si>
  <si>
    <t>N/A</t>
  </si>
  <si>
    <t>TITLE I - LOW INCOME (M)</t>
  </si>
  <si>
    <t>17-4300-00</t>
  </si>
  <si>
    <t>18-4300-00</t>
  </si>
  <si>
    <t>PROJ END 8/31</t>
  </si>
  <si>
    <t>TITLE II - TEACHER QUALITY</t>
  </si>
  <si>
    <t>17-4932-00</t>
  </si>
  <si>
    <t>18-4932-00</t>
  </si>
  <si>
    <t>TITLE III - LANG INST PROG (LIPLEP)</t>
  </si>
  <si>
    <t>17-4909-00</t>
  </si>
  <si>
    <t>18-4909-00</t>
  </si>
  <si>
    <t>TITLE III - IMMIGRANT EDUCATION PROGRAM (IEP)</t>
  </si>
  <si>
    <t>17-4905-00</t>
  </si>
  <si>
    <t>18-4905-00</t>
  </si>
  <si>
    <t>PASSED THROUGH THE ILLINOIS STATE BOARD OF EDUCATION</t>
  </si>
  <si>
    <t>TITLE IVA - STUDENT SUPPORT AND ACADEMIC ENRICHMENT</t>
  </si>
  <si>
    <t>18-4400-00</t>
  </si>
  <si>
    <t>IDEA ROOM AND BOARD</t>
  </si>
  <si>
    <t>17-4625-00</t>
  </si>
  <si>
    <t>IDEA FLOW THROUGH</t>
  </si>
  <si>
    <t>17-4600-00</t>
  </si>
  <si>
    <t>18-4600-00</t>
  </si>
  <si>
    <t>IDEA PRESCHOOL</t>
  </si>
  <si>
    <t>US DEPARTMENT OF EDUCATION (CONT'D)</t>
  </si>
  <si>
    <t>PASSED THROUGH THE ILLINOIS STATE BOARD OF EDUCATION (CONT'D)</t>
  </si>
  <si>
    <t>17-4620-00</t>
  </si>
  <si>
    <t>18-4620-00</t>
  </si>
  <si>
    <t>PASEED THROUGH THE LAKE COUNTY AREA VOCATIONAL SYSTEM</t>
  </si>
  <si>
    <t>V E PERKINS IIC (VOCATIONAL EDUCATION)</t>
  </si>
  <si>
    <t>17-4745-00</t>
  </si>
  <si>
    <t>18-4745-00</t>
  </si>
  <si>
    <t xml:space="preserve">     TOTAL US DEPARTMENT OF EDUCATION</t>
  </si>
  <si>
    <t>PASSED THROUGH THE ILLINOIS DEPARTMENT OF HEALTHCARE AND FAMILY SERVICES</t>
  </si>
  <si>
    <t>MEDICAID MATCHING - ADMIN OUTREACH</t>
  </si>
  <si>
    <t>17-4991-00</t>
  </si>
  <si>
    <t>18-4991-00</t>
  </si>
  <si>
    <t xml:space="preserve">     TOTAL US DEPARTMENT OF HEALTH AND HUMAN SERVICES</t>
  </si>
  <si>
    <t>US DEPARTMENT OF HEALTH AND HUMAN SERVICES</t>
  </si>
  <si>
    <t>US DEPARTMENT OF DEFENSE</t>
  </si>
  <si>
    <t>RESERVE OFFICERS TRAINING CORPS (ROTC)</t>
  </si>
  <si>
    <t xml:space="preserve">     TOTAL US DEPARTMENT OF DEFENSE</t>
  </si>
  <si>
    <t>US DEPARTMENT OF AGRICULTURE</t>
  </si>
  <si>
    <t>NATIONAL SCHOOL LUNCH PROGRAM</t>
  </si>
  <si>
    <t>17-4210-00</t>
  </si>
  <si>
    <t>18-4210-00</t>
  </si>
  <si>
    <t>PROJ END 9/30</t>
  </si>
  <si>
    <t>NATIONAL SCHOOL BREAKFAST</t>
  </si>
  <si>
    <t>17-4220-00</t>
  </si>
  <si>
    <t>18-4220-00</t>
  </si>
  <si>
    <t>COMMODITIES - NON-CASH</t>
  </si>
  <si>
    <t>DoD FRESH FRUITS AND VEGETABLES - NON CASH</t>
  </si>
  <si>
    <t>FY2018</t>
  </si>
  <si>
    <t>17-4240-00</t>
  </si>
  <si>
    <t>18-4240-00</t>
  </si>
  <si>
    <t>FUEL UP TO PL AY 60</t>
  </si>
  <si>
    <t>18-4920-00</t>
  </si>
  <si>
    <t>US DEPARTMENT OF AGRICULTURE (CONT'D)</t>
  </si>
  <si>
    <t xml:space="preserve">     TOTAL US DEPARTMENT OF AGRICULTURE</t>
  </si>
  <si>
    <t>FRESH FRUITS AND VEGETABLES - CASH</t>
  </si>
  <si>
    <t>PASEED THROUGH THE LAKE COUNTY REGIONAL OFFICE OF EDUCATION</t>
  </si>
  <si>
    <t>MCKINNEY EDUCATION FOR HOMELESS CHILDREN</t>
  </si>
  <si>
    <t>US DEPARTMENT OF LABOR</t>
  </si>
  <si>
    <t>WIA YOUTH ACTIVITIES - PHARMACY</t>
  </si>
  <si>
    <t>WIA - LEADERSHIP</t>
  </si>
  <si>
    <t>10016R</t>
  </si>
  <si>
    <t xml:space="preserve">      TOTAL US DEPARTMENT OF LABOR</t>
  </si>
  <si>
    <t xml:space="preserve">          TOTAL FEDERAL AWARDS</t>
  </si>
  <si>
    <t>Unmodified</t>
  </si>
  <si>
    <t>Title I - low income</t>
  </si>
  <si>
    <t>ED-FOOD SERVICE-SERVICES</t>
  </si>
  <si>
    <t>PREFERRED MEALS</t>
  </si>
  <si>
    <t>ED-INTERSCHOLASTIC PROGRAMS- PROF. &amp; TECHNICAL SERVICE</t>
  </si>
  <si>
    <t>ATI HOLDINGS</t>
  </si>
  <si>
    <t>TORT-WORKERS COMP PAYMENTS-WORKERS COMP</t>
  </si>
  <si>
    <t>EMPLOYER'S CLAIM SERVICE</t>
  </si>
  <si>
    <t xml:space="preserve">ED-MIDDLE SCHOOL INSTRUCTION-GENERAL SUPPLIES/COMPUTER SUPPLIES </t>
  </si>
  <si>
    <t>HERO K12</t>
  </si>
  <si>
    <t xml:space="preserve">GRANT-IMPROVEMENT OF INSTRUCTIONAL SERVICES-PURCHASED SERVICES </t>
  </si>
  <si>
    <t>STEVE GERING / GERING CONSULTING</t>
  </si>
  <si>
    <t>ED-CRISIS INTERVENTION/SAFETY-PURCHASED SERVICES</t>
  </si>
  <si>
    <t>ALICE TRAINING INSTITUTE</t>
  </si>
  <si>
    <t>ED-SPECIAL EDUCATION-ADMINISTRATION CERTIFICATED-TUITION PRIVATE</t>
  </si>
  <si>
    <t>MENTA ACADEMY NORTH</t>
  </si>
  <si>
    <t>TRANSPORTATION-OTHER PUPIL TRANSPORTATION SERVICES-PUPIL TRANSPORTATION</t>
  </si>
  <si>
    <t>ED-ELEMENTARY INSTRUCTION-GENERAL SUPPLIES</t>
  </si>
  <si>
    <t>CAROLINA BIOLOGICAL SUPPLY CO.</t>
  </si>
  <si>
    <t>TORT-WORKERS COMP PAYMENTS-UNEMPLOYMENT</t>
  </si>
  <si>
    <t>WEST'S INSURANCE AGENCY</t>
  </si>
  <si>
    <t>TORT-LOSS PREVENTION SERVICES-WORKERS COMP</t>
  </si>
  <si>
    <t>GRANT-PSYCHOLOGICAL COUNSELING SERVICES-OTHER PROF &amp; TECH SERVICE</t>
  </si>
  <si>
    <t>ALLENDALE ASSOCIATION</t>
  </si>
  <si>
    <t>ED-SPECIAL EDUCATION SERVICES-TUITION PRIVATE</t>
  </si>
  <si>
    <t>TORT-JUDGEMENT &amp; SETTLEMENTS-JUDGEMENTS</t>
  </si>
  <si>
    <t>LAKE COUNTY FEDERATION</t>
  </si>
  <si>
    <t>QSCB 2016 BOND PROJECTS-BUILDING ACQUISITION CONSTRUCTION IMPROVEMENT-REPAIR &amp; MAINTENANCE SVC</t>
  </si>
  <si>
    <t>AMBER MECHANICAL</t>
  </si>
  <si>
    <t>SAFEWAY TRANSP SERVICE CORP</t>
  </si>
  <si>
    <t>ED-SPECIAL EDUCATION - ADMINISTRATION CERTIFICATED ST- TUITION PRIVATE</t>
  </si>
  <si>
    <t>JOSEPH ACADEMY</t>
  </si>
  <si>
    <t>TORT-INSURANCE (LIABILITY) PAYMENTS- LIABILITY</t>
  </si>
  <si>
    <t>SUBURBAN SCHOOL COOP</t>
  </si>
  <si>
    <t>GRANT-SPECIAL EDUCATION SERVICES -OTHER PROF &amp; TECH SERVICE</t>
  </si>
  <si>
    <t>CONNECTION'S ACADEMY EAST</t>
  </si>
  <si>
    <t>PACE SUBURBAN BUS DIVISION</t>
  </si>
  <si>
    <t>GRETCHEN COURTNEY &amp; ASSOC</t>
  </si>
  <si>
    <t>ED-HIGH SCHOOL INSTRUCTION- PROPERTY SERVICES</t>
  </si>
  <si>
    <t>LAKE COUNTY SCHOOLS</t>
  </si>
  <si>
    <t>CAMELOT CARE CENTERS INC</t>
  </si>
  <si>
    <t>ED-NURSE SERVICES-CONT PUPIL SERVICE</t>
  </si>
  <si>
    <t>MAXIM HEALTH SERVICES</t>
  </si>
  <si>
    <t>ED-SPECIAL EDUCATION - ADMINISTRATION CERTIFICATED ST-TUITION PRIVATE</t>
  </si>
  <si>
    <t>SPECTRUM CENTER, INC.</t>
  </si>
  <si>
    <t xml:space="preserve"> ED-INFORMATION TECHNOLOGY SERVICES-PURCHASED SERVICES</t>
  </si>
  <si>
    <t>PROVEN BUSINESS SYSTEMS</t>
  </si>
  <si>
    <t xml:space="preserve">ED-OTHER FOOD SERVICES-SANITATION SERVICES </t>
  </si>
  <si>
    <t>ADVANCED DISPOSAL</t>
  </si>
  <si>
    <t>ED-ALTERNATIVE PROGRAMS-CONT PUPIL SERVICE</t>
  </si>
  <si>
    <t>OMBUDSMAN EDUCATIONAL SERVICES</t>
  </si>
  <si>
    <t>ED-SPECIAL EDUCATION PRIVATE PLACEMENTS -TUITION PRIVATE</t>
  </si>
  <si>
    <t>FIRE PREVENTION/LIFE SAFETY-BUILDING  ACQUISITION CONSTRUCTION IMPROVEMENT-REPAIR &amp; MAINTENANCE SVC</t>
  </si>
  <si>
    <t>BOLLER CONSTRUCTION COMPANY</t>
  </si>
  <si>
    <t>OPERATIONS AND MAINTENANCE-CARE &amp; UPKEEP OF BUILDING- NATURAL GAS</t>
  </si>
  <si>
    <t>JOHNSON CONTROLS</t>
  </si>
  <si>
    <t>MARYVILLE ACADEMY</t>
  </si>
  <si>
    <t xml:space="preserve">GRANT-SPEECH PATHOLOGY SERVICES- PURCHASED SERVICES  </t>
  </si>
  <si>
    <t>INVO HEALTHCARE ASSOCIATES</t>
  </si>
  <si>
    <t>NEW HORIZON CENTER</t>
  </si>
  <si>
    <t>ED-INFORMATION TECHNOLOGY SERVICES- PURCHASED SERVICES</t>
  </si>
  <si>
    <t>SUNESYS</t>
  </si>
  <si>
    <t>GRANT-COMMUNITY SERVICES- PURCHASED SERVICES</t>
  </si>
  <si>
    <t xml:space="preserve">ED-SPEECH PATHOLOGY SERVICES- PURCHASED SERVICES  </t>
  </si>
  <si>
    <t>ED-INFORMATION TECHNOLOGY SERVICES- DPS-KIRTLEY</t>
  </si>
  <si>
    <t>KIRTLEY TECHNOLOGY CORPORATION</t>
  </si>
  <si>
    <t>OPERATIONS AND MAINTENANCE-OTHER FISCAL SERVICE-OTHER PROPERTY SERVICES</t>
  </si>
  <si>
    <t>OPERATIONS AND MAINTENANCE-CARE &amp; UPKEEP OF EQUIPMENT-GENERAL SUPPLIES</t>
  </si>
  <si>
    <t xml:space="preserve">TORT-LEGAL SERVICES-LEGAL SERVICES </t>
  </si>
  <si>
    <t>HINSHAW AND CULBERTSON</t>
  </si>
  <si>
    <t>ED-HIGH SCHOOL INSTRUCTION- PROF SVC TEMP AGENCY</t>
  </si>
  <si>
    <t>EXPRESS SERVICES INC</t>
  </si>
  <si>
    <t xml:space="preserve">ED-ELEMENTARY INSTRUCTION-PROF SVC TEMP AGENCY </t>
  </si>
  <si>
    <t>ED-MIDDLE SCHOOL INSTRUCTION-PROF SVC TEMP AGENCY</t>
  </si>
  <si>
    <t>ED-HUMAN RESOURCES- PROF SVC TEMP AGENCY</t>
  </si>
  <si>
    <t xml:space="preserve">ED-HEAR OF HEARING HH-PURCHASED SERVICES </t>
  </si>
  <si>
    <t>SOLLIANT HEALTH, INC.</t>
  </si>
  <si>
    <t xml:space="preserve">ED-SOCIAL WORK SERVICES- PURCHASED SERVICES </t>
  </si>
  <si>
    <t>ED-PSYCHOLOGICAL COUNSELING SERVICES-PURCHASED SERVICES</t>
  </si>
  <si>
    <t>OFFICE PLUS OF LAKE COUNTY</t>
  </si>
  <si>
    <t>ED-INFORMATION TECHNOLOGY SERVICES-PURCHASED SERVICES</t>
  </si>
  <si>
    <t>ED-INFORMATION TECHNOLOGY SERVICES-PRINTING AND DUPLICATING</t>
  </si>
  <si>
    <t xml:space="preserve">ED-INFORMATION TECHNOLOGY SERVICES-SOFTWARE </t>
  </si>
  <si>
    <t xml:space="preserve">ED-BUDGETING SERVICES-SUPPLIES AND MATERIALS </t>
  </si>
  <si>
    <t>OPERATIONS &amp; MAINTENANCE-CARE &amp; UPKEEP OF EQUIPMENT-REPAIR AND MAINTENANCE SVC</t>
  </si>
  <si>
    <t>OPERATIONS &amp; MAINTENANCE-CARE &amp; UPKEEP OF BUILDING-GENERAL SUPPLIES</t>
  </si>
  <si>
    <t xml:space="preserve">OPERATIONS AND MAINTENANCE-OTHER OPERATIONS/MAINTENANCE OF PLANT-PURCHASED SERVICES </t>
  </si>
  <si>
    <t>AMS MECHANICAL SYSTEMS</t>
  </si>
  <si>
    <t xml:space="preserve">ED-HUMAN RESOURCES-PURCHASED SERVICES </t>
  </si>
  <si>
    <t>TYLER TECHNOLOGIES INC.</t>
  </si>
  <si>
    <t>ED-DEPUTY SUPERINTENDENT STRATEGY&amp; ACCOUNTABILITY-TRAVEL</t>
  </si>
  <si>
    <t xml:space="preserve">ED-INFORMATION TECHNOLOGY SERVICES -PURCHASED SERVICES </t>
  </si>
  <si>
    <t>CALL ONE</t>
  </si>
  <si>
    <t xml:space="preserve">ED-INFORMATION TECHNOLOGY SERVICES- TELEPHONE </t>
  </si>
  <si>
    <t>OPERATIONS &amp; MAINTENANCE- CARE AND UPKEEP OF BUILDING-GENERAL SUPPLIES</t>
  </si>
  <si>
    <t>CAR-MIN CONSTRUCTION CO</t>
  </si>
  <si>
    <t xml:space="preserve">OPERATIONS &amp; MAINTENANCE- CARE AND UPKEEP OF BUILDING- REPAIR AND MAINTENANCE SVC </t>
  </si>
  <si>
    <t>FIRE PREVENTION/LIFE SAFETY- BUILDING ACQUISITION CONSTRUCTION IMPROVEMENT-REPAIR AND MAINTENANCE SVC</t>
  </si>
  <si>
    <t>OPERATIONS &amp; MAINTENANCE- CARE AND UPKEEP OF BUILDING-NATURAL GAS</t>
  </si>
  <si>
    <t>CONSTELLATION</t>
  </si>
  <si>
    <t xml:space="preserve">OPERATIONS &amp; MAINTENANCE -CARE AND UPKEEP OF BUILDING- ELECTRICITY </t>
  </si>
  <si>
    <t>OPERATIONS &amp; MAINTENANCE-CARE AND UPKEEP OF BUILDING-GENERAL SUPPLIES</t>
  </si>
  <si>
    <t>ERNIE PETERSON PLUMBING INC</t>
  </si>
  <si>
    <t>OPERATIONS &amp; MAINTENANCE- CARE AND UPKEEP OF BUILDING -NATURAL GAS</t>
  </si>
  <si>
    <t xml:space="preserve">OPERATIONS &amp; MAINTENANCE- CARE &amp; UPKEEP OF EQUIPMENT-GENERAL SUPPLIES </t>
  </si>
  <si>
    <t>OPERATIONS &amp; MAINTENANCE-VEHICLE SERVICES &amp; MAINT SERVICES-REPAIR AND MAINTENANCE SVC</t>
  </si>
  <si>
    <t>FIRE PREVENTION/LIFE SAFETY-BUILDING ACQUISITION CONSTRUCTION IMPROVEMENT- REPAIR AND MAINTENANCE SVC</t>
  </si>
  <si>
    <t xml:space="preserve">ED-ELEMENTARY INSTRUCTION-GENERAL SUPPLIES </t>
  </si>
  <si>
    <t>ETA HAND2MIND</t>
  </si>
  <si>
    <t>GRANT-ENGLISH LANGUAGE LEARNERS-GENERAL SUPPLIES</t>
  </si>
  <si>
    <t>GRANT-CHAPTER 1- GENERAL SUPPLIES</t>
  </si>
  <si>
    <t xml:space="preserve">GRANT-NONPUBLIC SCHOOL PUBLIC SERVICES- SUPPLIES &amp; MATERIALS </t>
  </si>
  <si>
    <t>GRANT- CHAPTER 1- GENERAL SUPPLIES</t>
  </si>
  <si>
    <t xml:space="preserve">ED-INFORMATION TECHNOLOGY SERVICES - PURCHASED SERVICES </t>
  </si>
  <si>
    <t>SPECIAL T PRODUCTS</t>
  </si>
  <si>
    <t xml:space="preserve">OPERATIONS &amp; MAINTENANCE-UPKEEP &amp; CARE OF BUILDING- WATER/SEWER SERVICES </t>
  </si>
  <si>
    <t>CITY OF WAUKEGAN - WATER DEPT</t>
  </si>
  <si>
    <t>GRANT-ELEMENTARY INSTRUCTION-SUPPLIES AND MATERIALS</t>
  </si>
  <si>
    <t>BSN SPORTS, LLC</t>
  </si>
  <si>
    <t>ED-INTRAMURALS MIDDLE SCHOOL- GENERAL SUPPLIES</t>
  </si>
  <si>
    <t xml:space="preserve">ED- INSTRUCTION-SUPPLIES &amp; PE EQUIPMENT </t>
  </si>
  <si>
    <t xml:space="preserve">ED-MIDDLE SCHOOL INSTRUCTION- GENERAL SUPPLIES </t>
  </si>
  <si>
    <t>OPERATIONS AND MAINTENANCE-SUPPORT-PURCHASED SERVICES</t>
  </si>
  <si>
    <t>STR PARTNERS</t>
  </si>
  <si>
    <t>MARKLUND</t>
  </si>
  <si>
    <t>EBS HEALTHCARE</t>
  </si>
  <si>
    <t xml:space="preserve">GRANT- NONPUBLIC SCHOOL PUPIL SERVICES-PURCHASED SERVICES </t>
  </si>
  <si>
    <t xml:space="preserve">ED- INFORMATION TECHNOLOGY SERVICES- PURCHASED SERVICES </t>
  </si>
  <si>
    <t>ACCESS ONE</t>
  </si>
  <si>
    <t>GRANT- SPECIAL EDUCATION ADMINISTRATION CERTIFICATED ST-DATA PROC/STATISTICAL SVC</t>
  </si>
  <si>
    <t>FRONTLINE TECHNOLOGIES GROUP</t>
  </si>
  <si>
    <t xml:space="preserve">ED-ELEMENTARY INSTRUCTION-PURCHASED SERVICES </t>
  </si>
  <si>
    <t>ED- SPECIAL EDUCATION ADMINISTRATION CERTIFICATED ST- WIRING/ELECTRICAL</t>
  </si>
  <si>
    <t xml:space="preserve">GRANT-INFORMATION TECHNOLOGY- PURCHASED SERVICES </t>
  </si>
  <si>
    <t xml:space="preserve">GRANT-IMPROVEMENT OF INSTRUCTIONAL SERVICES- WIRING/ELECTRICAL </t>
  </si>
  <si>
    <t>ILLUMINATE EDUCATION INC.</t>
  </si>
  <si>
    <t xml:space="preserve">GRANT-ASSESSMENT AND TESTING-PURCHASED SERVICES  </t>
  </si>
  <si>
    <t xml:space="preserve">GRANT-SPECIAL EDUCATION PROGRAM-GENERAL SUPPLIES </t>
  </si>
  <si>
    <t xml:space="preserve">ED- SPECIAL EDUCATION ADMINISTRATION CERTIFICATED ST- TUITION PRIVATE </t>
  </si>
  <si>
    <t>KESHET</t>
  </si>
  <si>
    <t xml:space="preserve">ED-BUDGETING SERVICES-PURCHASED SERVICES </t>
  </si>
  <si>
    <t>EVANS MARSHALL &amp; PEASE PC</t>
  </si>
  <si>
    <t>SPECIAL EDUCATION SERVICES</t>
  </si>
  <si>
    <t>CONNECTIONS DAY SCHOOL</t>
  </si>
  <si>
    <t xml:space="preserve">CAPITAL PROJECTS-BUILDING  ACQUISITION CONSTRUCTION IMPROVEMENT- REPAIR AND MAINTENANCE SVC </t>
  </si>
  <si>
    <t>HAPP BUILDERS, INC.</t>
  </si>
  <si>
    <t xml:space="preserve">OPERATIONS &amp; MAINTENANCE- CARE &amp; UPKEEP OF BUILDING-GENERAL SUPPLIES </t>
  </si>
  <si>
    <t>LAKELAND/LARSEN ELEVATOR CORP</t>
  </si>
  <si>
    <t xml:space="preserve">OPERATIONS AND MAINTENANCE- CARE AND UPKEEP OF BUILDING-NATURAL GAS </t>
  </si>
  <si>
    <t>OPERATIONS OF MAINTENANCE- CARE AND UPKEEP OF EQUIPMENT-REPAIR AND MAINTENANCE SVC</t>
  </si>
  <si>
    <t>ALEXANDER LEIGH CENTER FOR AUTISM</t>
  </si>
  <si>
    <t>ED- INFORMATION TECHNOLOGY SERVICES-POSTAGE</t>
  </si>
  <si>
    <t>PITNEY BOWES INC.</t>
  </si>
  <si>
    <t xml:space="preserve">GRANT-IMPROVEMENT OF INSTRUCTIONAL SERVICES -WIRING/ELECTRICAL </t>
  </si>
  <si>
    <t>EDULEAD</t>
  </si>
  <si>
    <t xml:space="preserve">ED-GUIDANCE SERVICES- PURCHASED SERVICES </t>
  </si>
  <si>
    <t xml:space="preserve">ED-CRISIS INTERVENTION/SAFETY-REPAIR AND MAINTENANCE SVC </t>
  </si>
  <si>
    <t>COMPUTER POWER SYSTEMS</t>
  </si>
  <si>
    <t xml:space="preserve">ED-CRISIS INTERVENTION/SAFETY-PURCHASED SERVICES </t>
  </si>
  <si>
    <t xml:space="preserve">ED- INFORMATION TECHNOLOGY SERVICES -CALL PHONES DISTRICT </t>
  </si>
  <si>
    <t>VERIZON WIRELESS</t>
  </si>
  <si>
    <t>ED- INFORMATION TECHNOLOGY SERVICES-TELEPHONE</t>
  </si>
  <si>
    <t>MO BUTI/AIEPA</t>
  </si>
  <si>
    <t xml:space="preserve">ED-BUDGETING SERVICES- DUES AND FEES </t>
  </si>
  <si>
    <t>EMERALD RESTAURANT SERVICES</t>
  </si>
  <si>
    <t xml:space="preserve">ED-OTHER FOOD SERVICES-PURCHASED SERVICES/REPAIR AND MAINTENANCE SVC </t>
  </si>
  <si>
    <t>OPERATIONS AND MAINTENANCE-VEHICLE SERVICES &amp; MAINT SERVICES-GASOLINE/REPAIR AND MAINTENANCE SVC</t>
  </si>
  <si>
    <t xml:space="preserve">ED-IMPROVEMENT OF INSTRUCTION SERVICES-TEXTBOOKS </t>
  </si>
  <si>
    <t>COLLEGE OF LAKE COUNTY</t>
  </si>
  <si>
    <t>GRANT-CHAPTER 1-GENERAL SUPPLIES</t>
  </si>
  <si>
    <t xml:space="preserve">GRANT-IMPROVEMENT OF INSTRUCTIONAL SERVICES-DUES AND FEES </t>
  </si>
  <si>
    <t>ED-CAMPUS RELATIONS-PROFESSIONAL DEVELOPMENT</t>
  </si>
  <si>
    <t>CPI</t>
  </si>
  <si>
    <t xml:space="preserve">ED-ELEMENTARY INSTRUCTION-COMPUTER SUPPLIES/GENERAL SUPPLIES </t>
  </si>
  <si>
    <t>APPLE COMPUTER INC.</t>
  </si>
  <si>
    <t>ED-MIDDLE SCHOOL INSTRUCTION-COMPUTER SUPPLIES</t>
  </si>
  <si>
    <t>ED-MIDDLE SCHOOL INSTRUCTION-OFFICE SUPPORT</t>
  </si>
  <si>
    <t xml:space="preserve">ED-MIDDLE SCHOOL INSTRUCTION-STANDARD SUPPLIES </t>
  </si>
  <si>
    <t xml:space="preserve">ED-ENGLISH LANGUAGE LEARNERS - STANDARD SUPPLIES </t>
  </si>
  <si>
    <t>ED-ELEMENTARY INSTRUCTION-SUPPLIES AND MATERIALS</t>
  </si>
  <si>
    <t xml:space="preserve">ED- ACADEMIC SUPPORT/PROGRAMS-GENERAL SUPPLIES </t>
  </si>
  <si>
    <t xml:space="preserve">GRANT- ENGLISH LANGUAGE LEARNERS-GENERAL SUPPLIES </t>
  </si>
  <si>
    <t xml:space="preserve">GRANT-EARLY CHILDHOOD EC-SUPPLIES &amp; MATERIALS </t>
  </si>
  <si>
    <t>GRANT-OCCUPATIONAL THERAPY / PHYSICAL THERAPY- GENERAL SUPPLIES</t>
  </si>
  <si>
    <t>LEGAT ARCHITECTS</t>
  </si>
  <si>
    <t>PAVEMENT SOLUTIONS, LLC</t>
  </si>
  <si>
    <t>ONE HOPE UNITED</t>
  </si>
  <si>
    <t>OPERATIONS &amp; MAINTENANCE- OTHER OPERATIONS/MAINTENANCE OF PLANT- PURCHASED SERVICES</t>
  </si>
  <si>
    <t>NELSON INSULATION COMPANY</t>
  </si>
  <si>
    <t xml:space="preserve">FIRE PREVENTION/LIFE SAFETY-BUILDING  ACQUISITION CONSTRUCTION IMPROVEMENT- REPAIR AND MAINTENANCE SVC </t>
  </si>
  <si>
    <t>QSCB 2016 BOND PROJECTS-CARE &amp; UPKEEP OF BUILDING-REPAIR AND MAINTENANCE SVC</t>
  </si>
  <si>
    <t>NORTH AMERICAN CORPORATION OF ILLINOIS</t>
  </si>
  <si>
    <t xml:space="preserve">ED- SOCIAL WORK SERVICE-PURCHASED SERVICES </t>
  </si>
  <si>
    <t>SUNBELT STAFFING</t>
  </si>
  <si>
    <t xml:space="preserve">ED-SPEECH PATHOLOGY SERVICES -PURCHASED SERVICES </t>
  </si>
  <si>
    <t>COLLEEN MARIE MICHELS</t>
  </si>
  <si>
    <t>NASCO</t>
  </si>
  <si>
    <t>ED-MIDDLE SCHOOL INSTRUCTION –GENERAL SUPPLIES</t>
  </si>
  <si>
    <t xml:space="preserve">ED-IMPROVEMENT OF INSTRUCTION SERVICES-SUPPLIES AND MATERIALS </t>
  </si>
  <si>
    <t xml:space="preserve">ED-INSTRUCTION- ART SUPPLIES </t>
  </si>
  <si>
    <t xml:space="preserve">ED- INSTRUCTION- INSTRCUTION:TCHR SUPPLIES </t>
  </si>
  <si>
    <t xml:space="preserve">ED-ELEMENTARY INSTRUCTION-ART SUPPLIES/GENERAL SUPPLIES </t>
  </si>
  <si>
    <t xml:space="preserve">GRANT- NONPUBLIC SCHOOL PUPIL SERVICES-SUPPLIES AND MATERIALS </t>
  </si>
  <si>
    <t xml:space="preserve">GRANT-REGULAR PROGRAMS-SUPPLIES &amp; MATERIALS </t>
  </si>
  <si>
    <t>COMPUTER INFORMATION CONCEPTS</t>
  </si>
  <si>
    <t>ED- INFORMATION TECHNOLOGY SERVICES-REPAIR AND MAINTENANCE SVC</t>
  </si>
  <si>
    <t>GOODMAN ELECTRIC SUPPLY</t>
  </si>
  <si>
    <t>OPERATIONS AND MAINTENANCE-CARE &amp; UPKEEP OF BUILDING-CLINICAL</t>
  </si>
  <si>
    <t>CONTECH-MSI CO</t>
  </si>
  <si>
    <t>OPERATIONS AND MAINTENANCE-VEHICLE SERVICES &amp; MAINT SERVICES-GASOLINE</t>
  </si>
  <si>
    <t>NORTH SHORE SIGN</t>
  </si>
  <si>
    <t xml:space="preserve">ED- OTHER FOOD SERVICES-GENERAL SUPPLIES </t>
  </si>
  <si>
    <t>HEARTLAND SCHOOL SOLUTIONS</t>
  </si>
  <si>
    <t xml:space="preserve">ED- OTHER FOOD SERVICES-GASOLINE </t>
  </si>
  <si>
    <t xml:space="preserve">ED- OTHER FOOD SERVICES-SOFTWARE </t>
  </si>
  <si>
    <t>THE COVE SCHOOL</t>
  </si>
  <si>
    <t>CENTER FOR APPLIED LINGUISTICS</t>
  </si>
  <si>
    <t>ANIXTER CENTER</t>
  </si>
  <si>
    <t>ADVANCED PLANNING TECHNOLOGY</t>
  </si>
  <si>
    <t xml:space="preserve">GRANT-SPECIAL EDUCATION PROGRAM- PURCHASED SERVICES </t>
  </si>
  <si>
    <t>VERA KAY GUERIN</t>
  </si>
  <si>
    <t>ILLINOIS CENTRAL SCHOOL BUS</t>
  </si>
  <si>
    <t xml:space="preserve">ED-ELEMENTARY INSTRUCTION-COCURRICULAR SUPPLIES </t>
  </si>
  <si>
    <t xml:space="preserve">ED- IMPROVEMENT OF INSTRUCTION SERVICES- WIRING/ELECTRICAL </t>
  </si>
  <si>
    <t xml:space="preserve">ED-ACADEMIC SUPPORT/PROGRAMS-PURCHASED SERVICES </t>
  </si>
  <si>
    <t>ED-HIGH SCHOOL INSTRUCTION -PROF SVC INSTRUCTIONAL</t>
  </si>
  <si>
    <t xml:space="preserve">ED- HIGH SCHOOL INSTRUCTION- EXPEDITIONARY LEARNING TRAVEL </t>
  </si>
  <si>
    <t xml:space="preserve">GRANT-REGULAR PRESCHOOL-PURCHASED SERVICES </t>
  </si>
  <si>
    <t>GRANT-PUPIL TRANSPORTATION SERVICES-PUPIL TRANSPORTATION</t>
  </si>
  <si>
    <t>GRANT-COMMUNITY SERVICES - PURCHASED SERVICES</t>
  </si>
  <si>
    <t xml:space="preserve">GRANT-COMMUNITY SERVICES-GENERAL SUPPLIES  </t>
  </si>
  <si>
    <t>GRANT- PUPIL TRANSPORTATION SERVICES-PURCHASED SERVICES</t>
  </si>
  <si>
    <t>GRANT-SUPPORT SERVICES GEN ADMINISTRATION-TRAVEL</t>
  </si>
  <si>
    <t xml:space="preserve">TRANSPORTATION-OTHER PUPIL TRANSPORTATION SERVICES- PUPIL TRANSPORTATION </t>
  </si>
  <si>
    <t xml:space="preserve">GRANT- CHAPTER I- PURCHASED SERVICES </t>
  </si>
  <si>
    <t>AMPLIFY EDUCATION INC.</t>
  </si>
  <si>
    <t xml:space="preserve">ED- INFORMATION TECHNOLOGY SERVICES- SOFTWARE </t>
  </si>
  <si>
    <t>OFFICE EQUIPMENT FINANCE</t>
  </si>
  <si>
    <t>SUSMAN LINOLEUM &amp; RUG CO</t>
  </si>
  <si>
    <t xml:space="preserve">OPERATIONS AND MAINTENANCE- CARE AND UPKEEP OF BUILDING-ELECTRICITY </t>
  </si>
  <si>
    <t>ALLIANCE ILLINOIS</t>
  </si>
  <si>
    <t>LAKE COOK DISTRIBUTORS</t>
  </si>
  <si>
    <t>GRANT-REGULAR PROGRAMS-NON CAPITALIZED EQUIPMENT</t>
  </si>
  <si>
    <t>ED-MIDDLE SCHOOL INSTRUCTION- GENERAL SUPPLIES</t>
  </si>
  <si>
    <t>ED-EDUCATIONALLY DEPRIVED/REMEDIAL PROGRAM-CONT PUPIL SERVICE</t>
  </si>
  <si>
    <t xml:space="preserve">OPERATIONS AND MAINTENANCE- CARE AND UPKEEP OF GROUNDS-GENERAL SUPPLIES </t>
  </si>
  <si>
    <t>AZTEC FENCE COMPANY</t>
  </si>
  <si>
    <t>GAGGLE.NET, INC.</t>
  </si>
  <si>
    <t>REINDERS</t>
  </si>
  <si>
    <t>OPERATIONS AND MAINTENANCE- CARE AND UPKEEP OF GROUNDS-REPAIR AND MAINTENANCE SVC</t>
  </si>
  <si>
    <t xml:space="preserve">OPERATIONS OF MAINTENANCE- VEHICLE SERVICES &amp; MAINT SERVICES- GENERAL SUPPLIES </t>
  </si>
  <si>
    <t>IDENTISYS</t>
  </si>
  <si>
    <t>ED-IMPROVEMENT OF INSTRUCTIONAL SERVICES-PURCHASED SERVICES</t>
  </si>
  <si>
    <t xml:space="preserve">ED-CRISIS INTERVENTION/SAFETY-PRINTING AND DUPLICATING </t>
  </si>
  <si>
    <t>KENDON ELECTRIC INC</t>
  </si>
  <si>
    <t>ED-LEGAL SERVICES-LEGAL SERVICES</t>
  </si>
  <si>
    <t>KLEIN, THORPE &amp; JENKINS, LTD.</t>
  </si>
  <si>
    <t>TORT FUND-LEGAL SERVICES-LEGAL SERVICES</t>
  </si>
  <si>
    <t>WAUKEGAN ROOFING CO INC.</t>
  </si>
  <si>
    <t>APEX LEARNING</t>
  </si>
  <si>
    <t xml:space="preserve">GRANT-SUPPORT SERVICES GEN ADMINISTRATION-SUPPLIES AND MATERIALS </t>
  </si>
  <si>
    <t>LAKESHORE LEARNING MATERIALS</t>
  </si>
  <si>
    <t xml:space="preserve">GRANT-REGULAR PROGRAMS- GENERAL SUPPLIES </t>
  </si>
  <si>
    <t>GRANT-REGULAR PROGRAMS-SUPPLIES AND MATERIALS</t>
  </si>
  <si>
    <t xml:space="preserve">ED- INFORMATION TECHNOLOGY SERVICES-PURCHASED SERVICES </t>
  </si>
  <si>
    <t>LEARNING A-Z</t>
  </si>
  <si>
    <t xml:space="preserve">TORT FUND-WORKERS COMP PAYMENTS-UNEMPLOYMENT </t>
  </si>
  <si>
    <t xml:space="preserve">IDES </t>
  </si>
  <si>
    <t>RAINBOW BOOK COMPANY</t>
  </si>
  <si>
    <t>GRANT-LIBRARY-LIBRARY BOOKS</t>
  </si>
  <si>
    <t>COGENT COMMUNICATIONS</t>
  </si>
  <si>
    <t>ED-PAYMENTS FOR SPECIAL EDUCATION PROGRAM-MISCELLANEOUS OBJECTS</t>
  </si>
  <si>
    <t>ILLINOIS STATE BOARD OF ED _ 39088</t>
  </si>
  <si>
    <t>SPECIAL EDUCATION SYSTEMS, INC.</t>
  </si>
  <si>
    <t>ASSETGENIE, INC.</t>
  </si>
  <si>
    <t xml:space="preserve">GRANT- CHAPTER I- GENERAL SUPPLIES </t>
  </si>
  <si>
    <t>LAKELAND COMMUNICATIONS</t>
  </si>
  <si>
    <t>POWER ENERGY SOLUTIONS</t>
  </si>
  <si>
    <t xml:space="preserve">ED-PSYCHOLOGICAL COUNSELING SERVICES-PURCHASED SERVICES </t>
  </si>
  <si>
    <t>CENTER FOR PSYCHOLOGICAL SVS</t>
  </si>
  <si>
    <t xml:space="preserve">OPERATIONS OF MAINTENANCE- CARE AND UPKEEP OF EQUIPMENT-GENERAL SUPPLIES </t>
  </si>
  <si>
    <t>ILLCO INC</t>
  </si>
  <si>
    <t xml:space="preserve">GRANT-REGULAR PROGRAMS-PURCHASED SERVICES </t>
  </si>
  <si>
    <t>AMERICA BAILA-FOLKDANCE</t>
  </si>
  <si>
    <t>TC INTERIORS</t>
  </si>
  <si>
    <t>THE FINEST IN DECORATING</t>
  </si>
  <si>
    <t>STATE CHEMICAL</t>
  </si>
  <si>
    <t>BR BLEACHERS</t>
  </si>
  <si>
    <t xml:space="preserve">ED-IMPROVEMENT OF INSTRUCTIONAL SERVICES-PROFESSIONAL DEVELOPMENT </t>
  </si>
  <si>
    <t>EL EDUCATION</t>
  </si>
  <si>
    <t>STUCKEY CONSTRUCTION CO</t>
  </si>
  <si>
    <t xml:space="preserve">ED-REGULAR PROGRAMS-PURCHASED SERVICES </t>
  </si>
  <si>
    <t>NAVIANCE</t>
  </si>
  <si>
    <t>ED-SPECIAL EDUCATION ADMINISTRATION CERTIFICATED ST- TUITION PRIVATE</t>
  </si>
  <si>
    <t>LAKE COUNTY REGIONAL</t>
  </si>
  <si>
    <t xml:space="preserve">ED-HUMAN RESOURCES- GENERAL SUPPLIES </t>
  </si>
  <si>
    <t>LEARN IT SYSTEMS</t>
  </si>
  <si>
    <t xml:space="preserve">GRANT-SPEECH PATHOLOGY SERVICES- PURCHASED SERVICES </t>
  </si>
  <si>
    <t>BUSHUE HUMAN RESOURCES</t>
  </si>
  <si>
    <t>ED-HIGH SCHOOL INSTRUCTION-GRADUATION SUPPLIES</t>
  </si>
  <si>
    <t>SASC, LLC</t>
  </si>
  <si>
    <t>NORTHERN SUBURBAN SPECIAL EDUCATION</t>
  </si>
  <si>
    <t>BENCHMARK EDUCATION COMPANY</t>
  </si>
  <si>
    <t>CURT SCHWAAR</t>
  </si>
  <si>
    <t>AG PARTS</t>
  </si>
  <si>
    <t>MAILFINANCE</t>
  </si>
  <si>
    <t>COMMONWEALTH EDISON</t>
  </si>
  <si>
    <t>AT&amp;T</t>
  </si>
  <si>
    <t>OLSON OIL COMPANY</t>
  </si>
  <si>
    <t xml:space="preserve">ED-PAYROLL SERVICES-PURCHASED SERVICES </t>
  </si>
  <si>
    <t xml:space="preserve">ED-CAMPUS RELATIONS-GENERAL SUPPLIES </t>
  </si>
  <si>
    <t>TRANSPORTATION-VEHICLE OPERATION SERVICE-SOFTWARE</t>
  </si>
  <si>
    <t>10-1000-400</t>
  </si>
  <si>
    <t>10-2560-300</t>
  </si>
  <si>
    <t>10-2900-300</t>
  </si>
  <si>
    <t>40-2550-300</t>
  </si>
  <si>
    <t>10-1000-300</t>
  </si>
  <si>
    <t>80-2300-300</t>
  </si>
  <si>
    <t>10-2200-300</t>
  </si>
  <si>
    <t>10-2100-300</t>
  </si>
  <si>
    <t>80-2300-600</t>
  </si>
  <si>
    <t>20-2530-300</t>
  </si>
  <si>
    <t>10-2660-300</t>
  </si>
  <si>
    <t>20-2540-400</t>
  </si>
  <si>
    <t>90-2530-300</t>
  </si>
  <si>
    <t>10-3000-300</t>
  </si>
  <si>
    <t>20-2520-300</t>
  </si>
  <si>
    <t>10-2640-300</t>
  </si>
  <si>
    <t>10-2660-400</t>
  </si>
  <si>
    <t>10-2520-400</t>
  </si>
  <si>
    <t>20-2540-300</t>
  </si>
  <si>
    <t>10-2520-300</t>
  </si>
  <si>
    <t>10-3000-400</t>
  </si>
  <si>
    <t>60-2530-300</t>
  </si>
  <si>
    <t>10-2520-600</t>
  </si>
  <si>
    <t>10-2200-400</t>
  </si>
  <si>
    <t>10-2200-600</t>
  </si>
  <si>
    <t>10-2130-400</t>
  </si>
  <si>
    <t>10-2100-400</t>
  </si>
  <si>
    <t>20-2540-600</t>
  </si>
  <si>
    <t>10-2560-400</t>
  </si>
  <si>
    <t>10-2550-300</t>
  </si>
  <si>
    <t>10-2300-300</t>
  </si>
  <si>
    <t>10-2300-400</t>
  </si>
  <si>
    <t>10-4120-600</t>
  </si>
  <si>
    <t>10-2900-400</t>
  </si>
  <si>
    <t>40-2550-400</t>
  </si>
  <si>
    <t>BLUE CROSS BLUE SHIELD</t>
  </si>
  <si>
    <t>OMBUDSMAN, CAMELOT, KESHET, MENTA ACADEMY, MARYVILLE ACADEMY, ALLENDALE,</t>
  </si>
  <si>
    <t>THE COVE SCHOOL, CONNECTIONS ACADEMY EAST AND DAY SCHOOL, JOSEPH ACADEMY</t>
  </si>
  <si>
    <t>EBS AND INVO HEALTHCARE, MAXIM, SOLIANT HEALTH, SUNBELT STAFFING, EXPRESS SVCS</t>
  </si>
  <si>
    <t>LAKE COUNTY AREA VOCATIONAL CENTER</t>
  </si>
  <si>
    <t>Waukegan CUSD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</si>
</sst>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rgb="FF00000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1" tint="0.34998626667073579"/>
      </left>
      <right style="thin">
        <color theme="1" tint="0.34998626667073579"/>
      </right>
      <top style="thin">
        <color theme="1" tint="0.34998626667073579"/>
      </top>
      <bottom/>
      <diagonal/>
    </border>
  </borders>
  <cellStyleXfs count="4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8" xfId="0" applyFont="1" applyBorder="1" applyAlignment="1">
      <alignment horizontal="centerContinuous" vertical="center"/>
    </xf>
    <xf numFmtId="0" fontId="53" fillId="0" borderId="159" xfId="0" applyFont="1" applyBorder="1" applyAlignment="1">
      <alignment horizontal="centerContinuous" vertical="center"/>
    </xf>
    <xf numFmtId="0" fontId="55" fillId="0" borderId="159"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0"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1"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3"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8" xfId="18" applyFont="1" applyBorder="1" applyAlignment="1">
      <alignment horizontal="left" vertical="center" wrapText="1"/>
    </xf>
    <xf numFmtId="0" fontId="102" fillId="0" borderId="159"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2"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3" fontId="85" fillId="0" borderId="22" xfId="3" applyNumberFormat="1" applyFont="1" applyBorder="1" applyAlignment="1" applyProtection="1">
      <alignment horizontal="left" vertical="center" wrapText="1"/>
      <protection locked="0"/>
    </xf>
    <xf numFmtId="3" fontId="85" fillId="0" borderId="22" xfId="3" applyNumberFormat="1" applyFont="1" applyBorder="1" applyAlignment="1" applyProtection="1">
      <alignment horizontal="center"/>
      <protection locked="0"/>
    </xf>
    <xf numFmtId="0" fontId="125" fillId="21" borderId="164" xfId="17" applyFont="1" applyFill="1" applyBorder="1" applyAlignment="1" applyProtection="1">
      <alignment horizontal="left" vertical="top" wrapText="1"/>
    </xf>
    <xf numFmtId="49" fontId="125" fillId="21" borderId="164" xfId="17" applyNumberFormat="1" applyFont="1" applyFill="1" applyBorder="1" applyAlignment="1" applyProtection="1">
      <alignment horizontal="center" vertical="top"/>
    </xf>
    <xf numFmtId="0" fontId="125" fillId="21" borderId="164" xfId="17" applyFont="1" applyFill="1" applyBorder="1" applyAlignment="1" applyProtection="1">
      <alignment vertical="top"/>
    </xf>
    <xf numFmtId="38" fontId="125" fillId="21" borderId="164" xfId="17" applyNumberFormat="1" applyFont="1" applyFill="1" applyBorder="1" applyAlignment="1" applyProtection="1">
      <alignment horizontal="right" vertical="top"/>
    </xf>
    <xf numFmtId="38" fontId="125" fillId="21" borderId="164" xfId="17" applyNumberFormat="1" applyFont="1" applyFill="1" applyBorder="1" applyAlignment="1" applyProtection="1">
      <alignment vertical="top"/>
    </xf>
    <xf numFmtId="0" fontId="2" fillId="0" borderId="77" xfId="38" applyFont="1" applyBorder="1" applyAlignment="1" applyProtection="1">
      <alignment horizontal="left" vertical="top" wrapText="1"/>
      <protection locked="0"/>
    </xf>
    <xf numFmtId="49" fontId="2" fillId="0" borderId="77" xfId="38" applyNumberFormat="1" applyFont="1" applyBorder="1" applyAlignment="1" applyProtection="1">
      <alignment horizontal="center" vertical="top"/>
      <protection locked="0"/>
    </xf>
    <xf numFmtId="38" fontId="2" fillId="0" borderId="77" xfId="38" applyNumberFormat="1" applyBorder="1" applyAlignment="1" applyProtection="1">
      <alignment horizontal="right" vertical="top"/>
      <protection locked="0"/>
    </xf>
    <xf numFmtId="38" fontId="5" fillId="23" borderId="77" xfId="17" applyNumberFormat="1" applyFill="1" applyBorder="1" applyAlignment="1">
      <alignment horizontal="right" vertical="top"/>
    </xf>
    <xf numFmtId="38" fontId="5" fillId="17" borderId="77" xfId="17" applyNumberFormat="1" applyFill="1" applyBorder="1" applyAlignment="1" applyProtection="1">
      <alignment horizontal="right" vertical="top"/>
    </xf>
    <xf numFmtId="38" fontId="5" fillId="17" borderId="77" xfId="17" applyNumberFormat="1" applyFill="1" applyBorder="1" applyAlignment="1" applyProtection="1">
      <alignment vertical="top"/>
    </xf>
    <xf numFmtId="49" fontId="2" fillId="0" borderId="77" xfId="38" applyNumberFormat="1" applyFont="1" applyBorder="1" applyAlignment="1" applyProtection="1">
      <alignment horizontal="center" vertical="center"/>
      <protection locked="0"/>
    </xf>
    <xf numFmtId="38" fontId="2" fillId="0" borderId="77" xfId="38" applyNumberFormat="1" applyFont="1" applyBorder="1" applyAlignment="1" applyProtection="1">
      <alignment horizontal="right" vertical="top"/>
      <protection locked="0"/>
    </xf>
    <xf numFmtId="0" fontId="2" fillId="0" borderId="77" xfId="17" applyFont="1" applyBorder="1" applyAlignment="1" applyProtection="1">
      <alignment horizontal="left" vertical="top" wrapText="1"/>
      <protection locked="0"/>
    </xf>
    <xf numFmtId="49" fontId="2" fillId="0" borderId="77" xfId="17" applyNumberFormat="1" applyFont="1" applyBorder="1" applyAlignment="1" applyProtection="1">
      <alignment horizontal="center" vertical="center"/>
      <protection locked="0"/>
    </xf>
    <xf numFmtId="38" fontId="5" fillId="0" borderId="77" xfId="17" applyNumberFormat="1" applyBorder="1" applyAlignment="1" applyProtection="1">
      <alignment horizontal="right" vertical="top"/>
      <protection locked="0"/>
    </xf>
    <xf numFmtId="0" fontId="136" fillId="0" borderId="77" xfId="36" applyFont="1" applyBorder="1" applyAlignment="1">
      <alignment vertical="center" wrapText="1"/>
    </xf>
    <xf numFmtId="0" fontId="136" fillId="0" borderId="77" xfId="36" applyFont="1" applyBorder="1" applyAlignment="1">
      <alignment horizontal="center" vertical="center"/>
    </xf>
    <xf numFmtId="3" fontId="136" fillId="0" borderId="77" xfId="36" applyNumberFormat="1" applyFont="1" applyBorder="1" applyAlignment="1">
      <alignment horizontal="right" vertical="center"/>
    </xf>
    <xf numFmtId="0" fontId="136" fillId="0" borderId="77" xfId="36" applyFont="1" applyBorder="1" applyAlignment="1">
      <alignment horizontal="right" vertical="center"/>
    </xf>
    <xf numFmtId="0" fontId="136" fillId="0" borderId="77" xfId="44" applyFont="1" applyBorder="1" applyAlignment="1">
      <alignment vertical="center" wrapText="1"/>
    </xf>
    <xf numFmtId="0" fontId="136" fillId="0" borderId="77" xfId="44" applyFont="1" applyBorder="1" applyAlignment="1">
      <alignment horizontal="center" vertical="center"/>
    </xf>
    <xf numFmtId="3" fontId="136" fillId="0" borderId="77" xfId="44" applyNumberFormat="1" applyFont="1" applyBorder="1" applyAlignment="1">
      <alignment horizontal="right" vertical="center"/>
    </xf>
    <xf numFmtId="0" fontId="5" fillId="17" borderId="77" xfId="17" applyFill="1" applyBorder="1" applyAlignment="1" applyProtection="1">
      <alignment horizontal="left" vertical="top" wrapText="1"/>
    </xf>
    <xf numFmtId="49" fontId="5" fillId="17" borderId="77" xfId="17" applyNumberFormat="1" applyFill="1" applyBorder="1" applyAlignment="1" applyProtection="1">
      <alignment vertical="top"/>
    </xf>
    <xf numFmtId="0" fontId="5" fillId="17" borderId="77" xfId="17" applyFill="1" applyBorder="1" applyAlignment="1" applyProtection="1">
      <alignment vertical="top"/>
    </xf>
    <xf numFmtId="0" fontId="2" fillId="0" borderId="77" xfId="38" applyFont="1" applyBorder="1" applyAlignment="1" applyProtection="1">
      <alignment vertical="top" wrapText="1"/>
      <protection locked="0"/>
    </xf>
    <xf numFmtId="0" fontId="2" fillId="0" borderId="77" xfId="17" applyFont="1" applyBorder="1" applyAlignment="1" applyProtection="1">
      <alignmen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45">
    <cellStyle name="Comma" xfId="1" builtinId="3"/>
    <cellStyle name="Hyperlink" xfId="2" builtinId="8"/>
    <cellStyle name="Hyperlink 2" xfId="15"/>
    <cellStyle name="Normal" xfId="0" builtinId="0"/>
    <cellStyle name="Normal 10" xfId="19"/>
    <cellStyle name="Normal 10 2" xfId="44"/>
    <cellStyle name="Normal 2" xfId="3"/>
    <cellStyle name="Normal 3" xfId="4"/>
    <cellStyle name="Normal 3 2" xfId="14"/>
    <cellStyle name="Normal 3 2 2" xfId="18"/>
    <cellStyle name="Normal 3 2 2 2" xfId="36"/>
    <cellStyle name="Normal 3 2 2 3" xfId="41"/>
    <cellStyle name="Normal 3 2 2 4" xfId="27"/>
    <cellStyle name="Normal 3 2 2 5" xfId="20"/>
    <cellStyle name="Normal 3 2 3" xfId="35"/>
    <cellStyle name="Normal 3 2 4" xfId="30"/>
    <cellStyle name="Normal 3 2 5" xfId="26"/>
    <cellStyle name="Normal 3 2 6" xfId="43"/>
    <cellStyle name="Normal 3 3" xfId="34"/>
    <cellStyle name="Normal 3 4" xfId="40"/>
    <cellStyle name="Normal 3 5" xfId="25"/>
    <cellStyle name="Normal 3 6" xfId="42"/>
    <cellStyle name="Normal 4" xfId="16"/>
    <cellStyle name="Normal 4 2" xfId="37"/>
    <cellStyle name="Normal 4 3" xfId="31"/>
    <cellStyle name="Normal 4 4" xfId="28"/>
    <cellStyle name="Normal 4 5" xfId="21"/>
    <cellStyle name="Normal 5" xfId="17"/>
    <cellStyle name="Normal 5 2" xfId="38"/>
    <cellStyle name="Normal 5 3" xfId="39"/>
    <cellStyle name="Normal 5 4" xfId="29"/>
    <cellStyle name="Normal 5 5" xfId="22"/>
    <cellStyle name="Normal 6" xfId="24"/>
    <cellStyle name="Normal 7" xfId="33"/>
    <cellStyle name="Normal 8" xfId="32"/>
    <cellStyle name="Normal 9"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5</xdr:col>
          <xdr:colOff>304800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0" t="s">
        <v>424</v>
      </c>
      <c r="J1" s="2041"/>
      <c r="K1" s="2041"/>
      <c r="L1" s="2041"/>
      <c r="M1" s="2041"/>
      <c r="N1" s="2041"/>
      <c r="O1" s="2041"/>
      <c r="P1" s="2041"/>
      <c r="Q1" s="2041"/>
      <c r="R1" s="2041"/>
      <c r="S1" s="2041"/>
    </row>
    <row r="2" spans="1:28" ht="12" customHeight="1" x14ac:dyDescent="0.2">
      <c r="A2" s="47" t="s">
        <v>1683</v>
      </c>
      <c r="D2" s="48"/>
      <c r="I2" s="2042" t="s">
        <v>1035</v>
      </c>
      <c r="J2" s="2041"/>
      <c r="K2" s="2041"/>
      <c r="L2" s="2041"/>
      <c r="M2" s="2041"/>
      <c r="N2" s="2041"/>
      <c r="O2" s="2041"/>
      <c r="P2" s="2041"/>
      <c r="Q2" s="2041"/>
      <c r="R2" s="2041"/>
      <c r="S2" s="2041"/>
    </row>
    <row r="3" spans="1:28" ht="12" customHeight="1" x14ac:dyDescent="0.2">
      <c r="A3" s="155" t="s">
        <v>1684</v>
      </c>
      <c r="B3" s="156"/>
      <c r="C3" s="156"/>
      <c r="D3" s="157"/>
      <c r="I3" s="2042" t="s">
        <v>54</v>
      </c>
      <c r="J3" s="2041"/>
      <c r="K3" s="2041"/>
      <c r="L3" s="2041"/>
      <c r="M3" s="2041"/>
      <c r="N3" s="2041"/>
      <c r="O3" s="2041"/>
      <c r="P3" s="2041"/>
      <c r="Q3" s="2041"/>
      <c r="R3" s="2041"/>
      <c r="S3" s="2041"/>
    </row>
    <row r="4" spans="1:28" ht="12" customHeight="1" x14ac:dyDescent="0.2">
      <c r="A4" s="37"/>
      <c r="I4" s="2042" t="s">
        <v>544</v>
      </c>
      <c r="J4" s="2041"/>
      <c r="K4" s="2041"/>
      <c r="L4" s="2041"/>
      <c r="M4" s="2041"/>
      <c r="N4" s="2041"/>
      <c r="O4" s="2041"/>
      <c r="P4" s="2041"/>
      <c r="Q4" s="2041"/>
      <c r="R4" s="2041"/>
      <c r="S4" s="2041"/>
    </row>
    <row r="5" spans="1:28" ht="14.1" customHeight="1" x14ac:dyDescent="0.2">
      <c r="B5" s="104" t="s">
        <v>2074</v>
      </c>
      <c r="C5" s="26" t="s">
        <v>965</v>
      </c>
      <c r="D5" s="84"/>
      <c r="E5" s="84"/>
      <c r="H5" s="38"/>
      <c r="I5" s="2049" t="s">
        <v>700</v>
      </c>
      <c r="J5" s="1994"/>
      <c r="K5" s="1994"/>
      <c r="L5" s="1994"/>
      <c r="M5" s="1994"/>
      <c r="N5" s="1994"/>
      <c r="O5" s="1994"/>
      <c r="P5" s="1994"/>
      <c r="Q5" s="1994"/>
      <c r="R5" s="1994"/>
      <c r="S5" s="1994"/>
    </row>
    <row r="6" spans="1:28" ht="14.1" customHeight="1" x14ac:dyDescent="0.2">
      <c r="B6" s="104"/>
      <c r="C6" s="26" t="s">
        <v>966</v>
      </c>
      <c r="D6" s="84"/>
      <c r="E6" s="84"/>
      <c r="I6" s="2048" t="s">
        <v>937</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694</v>
      </c>
      <c r="J9" s="2046"/>
      <c r="K9" s="2046"/>
      <c r="L9" s="2046"/>
      <c r="M9" s="2046"/>
      <c r="N9" s="2046"/>
      <c r="O9" s="2046"/>
      <c r="P9" s="2046"/>
      <c r="Q9" s="2046"/>
      <c r="R9" s="2046"/>
      <c r="S9" s="2047"/>
      <c r="T9" s="1990" t="s">
        <v>553</v>
      </c>
      <c r="U9" s="1991"/>
      <c r="V9" s="1991"/>
      <c r="W9" s="1991"/>
      <c r="X9" s="1991"/>
      <c r="Y9" s="1991"/>
      <c r="Z9" s="1991"/>
      <c r="AA9" s="1992"/>
    </row>
    <row r="10" spans="1:28" ht="13.5" customHeight="1" x14ac:dyDescent="0.2">
      <c r="A10" s="1999" t="s">
        <v>695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1011</v>
      </c>
      <c r="B11" s="2003"/>
      <c r="C11" s="2003"/>
      <c r="D11" s="2003"/>
      <c r="E11" s="2003"/>
      <c r="F11" s="2003"/>
      <c r="G11" s="2003"/>
      <c r="H11" s="2004"/>
      <c r="I11" s="27"/>
      <c r="J11" s="74"/>
      <c r="K11" s="27"/>
      <c r="O11" s="148" t="s">
        <v>2074</v>
      </c>
      <c r="P11" s="100" t="s">
        <v>210</v>
      </c>
      <c r="Q11" s="30"/>
      <c r="R11" s="28"/>
      <c r="S11" s="27"/>
      <c r="T11" s="1996"/>
      <c r="U11" s="1997"/>
      <c r="V11" s="1997"/>
      <c r="W11" s="1997"/>
      <c r="X11" s="1997"/>
      <c r="Y11" s="1997"/>
      <c r="Z11" s="1997"/>
      <c r="AA11" s="199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0">
        <v>34049060026</v>
      </c>
      <c r="B13" s="2011"/>
      <c r="C13" s="2011"/>
      <c r="D13" s="2011"/>
      <c r="E13" s="2011"/>
      <c r="F13" s="2011"/>
      <c r="G13" s="2011"/>
      <c r="H13" s="2012"/>
      <c r="I13" s="31"/>
      <c r="J13" s="30"/>
      <c r="K13" s="28"/>
      <c r="L13" s="30"/>
      <c r="M13" s="30"/>
      <c r="N13" s="30"/>
      <c r="O13" s="30"/>
      <c r="P13" s="30"/>
      <c r="Q13" s="30"/>
      <c r="R13" s="30"/>
      <c r="S13" s="30"/>
      <c r="T13" s="2015" t="s">
        <v>2079</v>
      </c>
      <c r="U13" s="2016"/>
      <c r="V13" s="2016"/>
      <c r="W13" s="2016"/>
      <c r="X13" s="2016"/>
      <c r="Y13" s="2017"/>
      <c r="Z13" s="2017"/>
      <c r="AA13" s="201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8" t="s">
        <v>2075</v>
      </c>
      <c r="B15" s="2013"/>
      <c r="C15" s="2013"/>
      <c r="D15" s="2013"/>
      <c r="E15" s="2013"/>
      <c r="F15" s="2013"/>
      <c r="G15" s="2013"/>
      <c r="H15" s="2014"/>
      <c r="T15" s="1976" t="s">
        <v>2080</v>
      </c>
      <c r="U15" s="1977"/>
      <c r="V15" s="1977"/>
      <c r="W15" s="1977"/>
      <c r="X15" s="1977"/>
      <c r="Y15" s="2019"/>
      <c r="Z15" s="2019"/>
      <c r="AA15" s="202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8" t="s">
        <v>2533</v>
      </c>
      <c r="B17" s="2038"/>
      <c r="C17" s="2038"/>
      <c r="D17" s="2038"/>
      <c r="E17" s="2038"/>
      <c r="F17" s="2038"/>
      <c r="G17" s="2038"/>
      <c r="H17" s="2039"/>
      <c r="T17" s="2025" t="s">
        <v>2081</v>
      </c>
      <c r="U17" s="2026"/>
      <c r="V17" s="2026"/>
      <c r="W17" s="2026"/>
      <c r="X17" s="2026"/>
      <c r="Y17" s="2026"/>
      <c r="Z17" s="2026"/>
      <c r="AA17" s="2027"/>
    </row>
    <row r="18" spans="1:27" ht="13.5" customHeight="1" x14ac:dyDescent="0.2">
      <c r="A18" s="85" t="s">
        <v>550</v>
      </c>
      <c r="B18" s="76"/>
      <c r="C18" s="72"/>
      <c r="D18" s="76"/>
      <c r="E18" s="76"/>
      <c r="F18" s="76"/>
      <c r="G18" s="76"/>
      <c r="H18" s="56"/>
      <c r="I18" s="2035" t="s">
        <v>696</v>
      </c>
      <c r="J18" s="2036"/>
      <c r="K18" s="2036"/>
      <c r="L18" s="2036"/>
      <c r="M18" s="2036"/>
      <c r="N18" s="2036"/>
      <c r="O18" s="2036"/>
      <c r="P18" s="2036"/>
      <c r="Q18" s="2036"/>
      <c r="R18" s="2036"/>
      <c r="S18" s="2037"/>
      <c r="T18" s="85" t="s">
        <v>734</v>
      </c>
      <c r="U18" s="51"/>
      <c r="V18" s="72"/>
      <c r="W18" s="50"/>
      <c r="X18" s="85" t="s">
        <v>283</v>
      </c>
      <c r="Y18" s="81"/>
      <c r="Z18" s="159" t="s">
        <v>697</v>
      </c>
      <c r="AA18" s="46"/>
    </row>
    <row r="19" spans="1:27" ht="13.5" customHeight="1" x14ac:dyDescent="0.2">
      <c r="A19" s="2008" t="s">
        <v>2076</v>
      </c>
      <c r="B19" s="2009"/>
      <c r="C19" s="2009"/>
      <c r="D19" s="2009"/>
      <c r="E19" s="2009"/>
      <c r="F19" s="2009"/>
      <c r="G19" s="2009"/>
      <c r="H19" s="2007"/>
      <c r="I19" s="30"/>
      <c r="J19" s="99"/>
      <c r="K19" s="40"/>
      <c r="L19" s="38"/>
      <c r="M19" s="112" t="s">
        <v>332</v>
      </c>
      <c r="P19" s="27"/>
      <c r="Q19" s="27"/>
      <c r="R19" s="27"/>
      <c r="S19" s="31"/>
      <c r="T19" s="2008" t="s">
        <v>2082</v>
      </c>
      <c r="U19" s="2006"/>
      <c r="V19" s="2006"/>
      <c r="W19" s="2007"/>
      <c r="X19" s="2023" t="s">
        <v>2083</v>
      </c>
      <c r="Y19" s="2024"/>
      <c r="Z19" s="2021">
        <v>60008</v>
      </c>
      <c r="AA19" s="202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5" t="s">
        <v>2077</v>
      </c>
      <c r="B21" s="2006"/>
      <c r="C21" s="2006"/>
      <c r="D21" s="2006"/>
      <c r="E21" s="2006"/>
      <c r="F21" s="2006"/>
      <c r="G21" s="2006"/>
      <c r="H21" s="2007"/>
      <c r="I21" s="2031" t="s">
        <v>698</v>
      </c>
      <c r="J21" s="1994"/>
      <c r="K21" s="1994"/>
      <c r="L21" s="1994"/>
      <c r="M21" s="1994"/>
      <c r="N21" s="1994"/>
      <c r="O21" s="1994"/>
      <c r="P21" s="1994"/>
      <c r="Q21" s="1994"/>
      <c r="R21" s="1994"/>
      <c r="S21" s="1995"/>
      <c r="T21" s="1973" t="s">
        <v>2084</v>
      </c>
      <c r="U21" s="1974"/>
      <c r="V21" s="1974"/>
      <c r="W21" s="1974"/>
      <c r="X21" s="1987" t="s">
        <v>2085</v>
      </c>
      <c r="Y21" s="1988"/>
      <c r="Z21" s="1988"/>
      <c r="AA21" s="1989"/>
    </row>
    <row r="22" spans="1:27" ht="13.5" customHeight="1" x14ac:dyDescent="0.2">
      <c r="A22" s="87" t="s">
        <v>551</v>
      </c>
      <c r="B22" s="59"/>
      <c r="C22" s="59"/>
      <c r="D22" s="59"/>
      <c r="E22" s="59"/>
      <c r="F22" s="59"/>
      <c r="G22" s="59"/>
      <c r="H22" s="60"/>
      <c r="I22" s="2032" t="s">
        <v>1503</v>
      </c>
      <c r="J22" s="2033"/>
      <c r="K22" s="2033"/>
      <c r="L22" s="2033"/>
      <c r="M22" s="2033"/>
      <c r="N22" s="2033"/>
      <c r="O22" s="2033"/>
      <c r="P22" s="2033"/>
      <c r="Q22" s="2033"/>
      <c r="R22" s="2033"/>
      <c r="S22" s="2034"/>
      <c r="T22" s="85" t="s">
        <v>1595</v>
      </c>
      <c r="U22" s="51"/>
      <c r="V22" s="72"/>
      <c r="W22" s="51"/>
      <c r="X22" s="160" t="s">
        <v>1384</v>
      </c>
      <c r="Z22" s="45"/>
      <c r="AA22" s="46"/>
    </row>
    <row r="23" spans="1:27" ht="13.5" customHeight="1" x14ac:dyDescent="0.2">
      <c r="A23" s="2028" t="s">
        <v>2078</v>
      </c>
      <c r="B23" s="2029"/>
      <c r="C23" s="2029"/>
      <c r="D23" s="2029"/>
      <c r="E23" s="2029"/>
      <c r="F23" s="2029"/>
      <c r="G23" s="2029"/>
      <c r="H23" s="2030"/>
      <c r="T23" s="1968" t="s">
        <v>2086</v>
      </c>
      <c r="U23" s="1969"/>
      <c r="V23" s="1969"/>
      <c r="W23" s="1969"/>
      <c r="X23" s="1984">
        <v>43466</v>
      </c>
      <c r="Y23" s="1985"/>
      <c r="Z23" s="1985"/>
      <c r="AA23" s="1986"/>
    </row>
    <row r="24" spans="1:27" ht="14.1" customHeight="1" x14ac:dyDescent="0.2">
      <c r="A24" s="88" t="s">
        <v>697</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551</v>
      </c>
      <c r="U24" s="106"/>
      <c r="V24" s="106"/>
      <c r="W24" s="106"/>
      <c r="X24" s="107"/>
      <c r="Y24" s="107"/>
      <c r="Z24" s="107"/>
      <c r="AA24" s="108"/>
    </row>
    <row r="25" spans="1:27" ht="14.1" customHeight="1" x14ac:dyDescent="0.2">
      <c r="A25" s="2005">
        <v>60085</v>
      </c>
      <c r="B25" s="2006"/>
      <c r="C25" s="2006"/>
      <c r="D25" s="2006"/>
      <c r="E25" s="2006"/>
      <c r="F25" s="2006"/>
      <c r="G25" s="2006"/>
      <c r="H25" s="2007"/>
      <c r="I25" s="113"/>
      <c r="J25" s="2072"/>
      <c r="K25" s="2072"/>
      <c r="L25" s="2072"/>
      <c r="M25" s="2072"/>
      <c r="N25" s="2072"/>
      <c r="O25" s="2072"/>
      <c r="P25" s="2072"/>
      <c r="Q25" s="2072"/>
      <c r="R25" s="2072"/>
      <c r="S25" s="2073"/>
      <c r="T25" s="1965" t="s">
        <v>2087</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3" t="s">
        <v>1590</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2074</v>
      </c>
      <c r="F29" s="141" t="s">
        <v>1382</v>
      </c>
      <c r="G29" s="114"/>
      <c r="I29" s="54"/>
      <c r="J29" s="148"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8"/>
      <c r="B38" s="2038"/>
      <c r="C38" s="2038"/>
      <c r="D38" s="2038"/>
      <c r="E38" s="2038"/>
      <c r="F38" s="2006"/>
      <c r="G38" s="2006"/>
      <c r="H38" s="2007"/>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x14ac:dyDescent="0.2">
      <c r="A39" s="2061" t="s">
        <v>551</v>
      </c>
      <c r="B39" s="2062"/>
      <c r="C39" s="72"/>
      <c r="D39" s="69"/>
      <c r="E39" s="69"/>
      <c r="F39" s="79"/>
      <c r="G39" s="69"/>
      <c r="H39" s="56"/>
      <c r="I39" s="2061" t="s">
        <v>551</v>
      </c>
      <c r="J39" s="2062"/>
      <c r="K39" s="2062"/>
      <c r="L39" s="2062"/>
      <c r="M39" s="2062"/>
      <c r="N39" s="67"/>
      <c r="O39" s="72"/>
      <c r="P39" s="72"/>
      <c r="Q39" s="78"/>
      <c r="R39" s="72"/>
      <c r="S39" s="56"/>
      <c r="T39" s="72" t="s">
        <v>551</v>
      </c>
      <c r="U39" s="51"/>
      <c r="V39" s="72"/>
      <c r="W39" s="50"/>
      <c r="X39" s="78"/>
      <c r="Y39" s="45"/>
      <c r="Z39" s="45"/>
      <c r="AA39" s="46"/>
    </row>
    <row r="40" spans="1:27" ht="13.5" customHeight="1" x14ac:dyDescent="0.2">
      <c r="A40" s="2064"/>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4"/>
      <c r="B42" s="2055"/>
      <c r="C42" s="2056"/>
      <c r="D42" s="2069"/>
      <c r="E42" s="2055"/>
      <c r="F42" s="2055"/>
      <c r="G42" s="2055"/>
      <c r="H42" s="2056"/>
      <c r="I42" s="1975"/>
      <c r="J42" s="1971"/>
      <c r="K42" s="1971"/>
      <c r="L42" s="1971"/>
      <c r="M42" s="1971"/>
      <c r="N42" s="1971"/>
      <c r="O42" s="1972"/>
      <c r="P42" s="1970"/>
      <c r="Q42" s="1971"/>
      <c r="R42" s="1971"/>
      <c r="S42" s="1972"/>
      <c r="T42" s="1975"/>
      <c r="U42" s="1971"/>
      <c r="V42" s="1971"/>
      <c r="W42" s="1972"/>
      <c r="X42" s="1970"/>
      <c r="Y42" s="1971"/>
      <c r="Z42" s="1971"/>
      <c r="AA42" s="197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47" sqref="I4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4" t="s">
        <v>106</v>
      </c>
    </row>
    <row r="2" spans="1:6" ht="39.75" customHeight="1" x14ac:dyDescent="0.2">
      <c r="A2" s="2207" t="s">
        <v>1902</v>
      </c>
      <c r="B2" s="1550" t="s">
        <v>2032</v>
      </c>
      <c r="C2" s="715" t="s">
        <v>1907</v>
      </c>
      <c r="D2" s="715" t="s">
        <v>1908</v>
      </c>
      <c r="E2" s="715" t="s">
        <v>1909</v>
      </c>
      <c r="F2" s="715" t="s">
        <v>1910</v>
      </c>
    </row>
    <row r="3" spans="1:6" ht="12" customHeight="1" x14ac:dyDescent="0.2">
      <c r="A3" s="2208"/>
      <c r="B3" s="1547"/>
      <c r="C3" s="1548"/>
      <c r="D3" s="1549" t="s">
        <v>274</v>
      </c>
      <c r="E3" s="1548"/>
      <c r="F3" s="1549" t="s">
        <v>275</v>
      </c>
    </row>
    <row r="4" spans="1:6" ht="13.7" customHeight="1" x14ac:dyDescent="0.2">
      <c r="A4" s="716" t="s">
        <v>1216</v>
      </c>
      <c r="B4" s="1758">
        <f>'Revenues 9-14'!C5</f>
        <v>24862584</v>
      </c>
      <c r="C4" s="1546">
        <v>12877441</v>
      </c>
      <c r="D4" s="1761">
        <f>B4-C4</f>
        <v>11985143</v>
      </c>
      <c r="E4" s="1546">
        <v>25052781</v>
      </c>
      <c r="F4" s="1761">
        <f>E4-C4</f>
        <v>12175340</v>
      </c>
    </row>
    <row r="5" spans="1:6" ht="13.7" customHeight="1" x14ac:dyDescent="0.2">
      <c r="A5" s="716" t="s">
        <v>924</v>
      </c>
      <c r="B5" s="1759">
        <f>'Revenues 9-14'!D5</f>
        <v>5024230</v>
      </c>
      <c r="C5" s="585">
        <v>2695822</v>
      </c>
      <c r="D5" s="1762">
        <f t="shared" ref="D5:D18" si="0">B5-C5</f>
        <v>2328408</v>
      </c>
      <c r="E5" s="585">
        <v>5244663</v>
      </c>
      <c r="F5" s="1762">
        <f>E5-C5</f>
        <v>2548841</v>
      </c>
    </row>
    <row r="6" spans="1:6" ht="13.7" customHeight="1" x14ac:dyDescent="0.2">
      <c r="A6" s="716" t="s">
        <v>430</v>
      </c>
      <c r="B6" s="1759">
        <f>'Revenues 9-14'!E5</f>
        <v>9784613</v>
      </c>
      <c r="C6" s="585">
        <v>5076172</v>
      </c>
      <c r="D6" s="1762">
        <f t="shared" si="0"/>
        <v>4708441</v>
      </c>
      <c r="E6" s="585">
        <v>9875581</v>
      </c>
      <c r="F6" s="1762">
        <f t="shared" ref="F6:F18" si="1">E6-C6</f>
        <v>4799409</v>
      </c>
    </row>
    <row r="7" spans="1:6" ht="13.7" customHeight="1" x14ac:dyDescent="0.2">
      <c r="A7" s="716" t="s">
        <v>157</v>
      </c>
      <c r="B7" s="1759">
        <f>'Revenues 9-14'!F5</f>
        <v>6127535</v>
      </c>
      <c r="C7" s="585">
        <v>2890182</v>
      </c>
      <c r="D7" s="1762">
        <f t="shared" si="0"/>
        <v>3237353</v>
      </c>
      <c r="E7" s="585">
        <v>5622785</v>
      </c>
      <c r="F7" s="1762">
        <f t="shared" si="1"/>
        <v>2732603</v>
      </c>
    </row>
    <row r="8" spans="1:6" ht="13.7" customHeight="1" x14ac:dyDescent="0.2">
      <c r="A8" s="716" t="s">
        <v>1240</v>
      </c>
      <c r="B8" s="1759">
        <f>'Revenues 9-14'!G5</f>
        <v>3462864</v>
      </c>
      <c r="C8" s="585">
        <v>1834863</v>
      </c>
      <c r="D8" s="1762">
        <f t="shared" si="0"/>
        <v>1628001</v>
      </c>
      <c r="E8" s="585">
        <v>3569687</v>
      </c>
      <c r="F8" s="1762">
        <f t="shared" si="1"/>
        <v>1734824</v>
      </c>
    </row>
    <row r="9" spans="1:6" ht="13.7" customHeight="1" x14ac:dyDescent="0.2">
      <c r="A9" s="716" t="s">
        <v>427</v>
      </c>
      <c r="B9" s="1759">
        <f>'Revenues 9-14'!H5</f>
        <v>0</v>
      </c>
      <c r="C9" s="585"/>
      <c r="D9" s="1762">
        <f t="shared" si="0"/>
        <v>0</v>
      </c>
      <c r="E9" s="585"/>
      <c r="F9" s="1762">
        <f t="shared" si="1"/>
        <v>0</v>
      </c>
    </row>
    <row r="10" spans="1:6" ht="13.7" customHeight="1" x14ac:dyDescent="0.2">
      <c r="A10" s="716" t="s">
        <v>426</v>
      </c>
      <c r="B10" s="1759">
        <f>'Revenues 9-14'!I5</f>
        <v>132083</v>
      </c>
      <c r="C10" s="585">
        <v>69992</v>
      </c>
      <c r="D10" s="1762">
        <f t="shared" si="0"/>
        <v>62091</v>
      </c>
      <c r="E10" s="585">
        <v>136168</v>
      </c>
      <c r="F10" s="1762">
        <f t="shared" si="1"/>
        <v>66176</v>
      </c>
    </row>
    <row r="11" spans="1:6" x14ac:dyDescent="0.2">
      <c r="A11" s="716" t="s">
        <v>428</v>
      </c>
      <c r="B11" s="1759">
        <f>'Revenues 9-14'!J5</f>
        <v>1793601</v>
      </c>
      <c r="C11" s="585">
        <v>949066</v>
      </c>
      <c r="D11" s="1762">
        <f t="shared" si="0"/>
        <v>844535</v>
      </c>
      <c r="E11" s="585">
        <v>1846387</v>
      </c>
      <c r="F11" s="1762">
        <f t="shared" si="1"/>
        <v>897321</v>
      </c>
    </row>
    <row r="12" spans="1:6" ht="13.7" customHeight="1" x14ac:dyDescent="0.2">
      <c r="A12" s="716" t="s">
        <v>159</v>
      </c>
      <c r="B12" s="1759">
        <f>'Revenues 9-14'!K5</f>
        <v>652334</v>
      </c>
      <c r="C12" s="585">
        <v>341879</v>
      </c>
      <c r="D12" s="1762">
        <f t="shared" si="0"/>
        <v>310455</v>
      </c>
      <c r="E12" s="585">
        <v>665118</v>
      </c>
      <c r="F12" s="1762">
        <f t="shared" si="1"/>
        <v>323239</v>
      </c>
    </row>
    <row r="13" spans="1:6" ht="13.7" customHeight="1" x14ac:dyDescent="0.2">
      <c r="A13" s="716" t="s">
        <v>992</v>
      </c>
      <c r="B13" s="1759">
        <f>SUM('Revenues 9-14'!C6:D6)</f>
        <v>0</v>
      </c>
      <c r="C13" s="585"/>
      <c r="D13" s="1762">
        <f t="shared" si="0"/>
        <v>0</v>
      </c>
      <c r="E13" s="585"/>
      <c r="F13" s="1762">
        <f t="shared" si="1"/>
        <v>0</v>
      </c>
    </row>
    <row r="14" spans="1:6" ht="13.7" customHeight="1" x14ac:dyDescent="0.2">
      <c r="A14" s="716" t="s">
        <v>429</v>
      </c>
      <c r="B14" s="1759">
        <f>SUM('Revenues 9-14'!C7:D7,'Revenues 9-14'!F7:H7)</f>
        <v>5359180</v>
      </c>
      <c r="C14" s="585">
        <v>2875544</v>
      </c>
      <c r="D14" s="1762">
        <f t="shared" si="0"/>
        <v>2483636</v>
      </c>
      <c r="E14" s="585">
        <v>5594308</v>
      </c>
      <c r="F14" s="1762">
        <f t="shared" si="1"/>
        <v>2718764</v>
      </c>
    </row>
    <row r="15" spans="1:6" ht="13.7" customHeight="1" x14ac:dyDescent="0.2">
      <c r="A15" s="716" t="s">
        <v>1219</v>
      </c>
      <c r="B15" s="1759">
        <f>'Revenues 9-14'!E9</f>
        <v>0</v>
      </c>
      <c r="C15" s="585"/>
      <c r="D15" s="1762">
        <f t="shared" si="0"/>
        <v>0</v>
      </c>
      <c r="E15" s="585"/>
      <c r="F15" s="1762">
        <f t="shared" si="1"/>
        <v>0</v>
      </c>
    </row>
    <row r="16" spans="1:6" ht="13.7" customHeight="1" x14ac:dyDescent="0.2">
      <c r="A16" s="716" t="s">
        <v>1220</v>
      </c>
      <c r="B16" s="1759">
        <f>'Revenues 9-14'!G8</f>
        <v>3462864</v>
      </c>
      <c r="C16" s="585">
        <v>1834863</v>
      </c>
      <c r="D16" s="1762">
        <f t="shared" si="0"/>
        <v>1628001</v>
      </c>
      <c r="E16" s="585">
        <v>3569687</v>
      </c>
      <c r="F16" s="1762">
        <f t="shared" si="1"/>
        <v>1734824</v>
      </c>
    </row>
    <row r="17" spans="1:6" ht="13.7" customHeight="1" x14ac:dyDescent="0.2">
      <c r="A17" s="716" t="s">
        <v>1221</v>
      </c>
      <c r="B17" s="1759">
        <f>'Revenues 9-14'!C10</f>
        <v>0</v>
      </c>
      <c r="C17" s="585"/>
      <c r="D17" s="1762">
        <f t="shared" si="0"/>
        <v>0</v>
      </c>
      <c r="E17" s="585"/>
      <c r="F17" s="1762">
        <f t="shared" si="1"/>
        <v>0</v>
      </c>
    </row>
    <row r="18" spans="1:6" ht="13.7" customHeight="1" x14ac:dyDescent="0.2">
      <c r="A18" s="716" t="s">
        <v>785</v>
      </c>
      <c r="B18" s="1759">
        <f>SUM('Revenues 9-14'!C11:K11)</f>
        <v>0</v>
      </c>
      <c r="C18" s="585"/>
      <c r="D18" s="1762">
        <f t="shared" si="0"/>
        <v>0</v>
      </c>
      <c r="E18" s="585"/>
      <c r="F18" s="1762">
        <f t="shared" si="1"/>
        <v>0</v>
      </c>
    </row>
    <row r="19" spans="1:6" ht="13.7" customHeight="1" thickBot="1" x14ac:dyDescent="0.25">
      <c r="A19" s="1763" t="s">
        <v>1222</v>
      </c>
      <c r="B19" s="1760">
        <f>SUM(B4:B18)</f>
        <v>60661888</v>
      </c>
      <c r="C19" s="1760">
        <f>SUM(C4:C18)</f>
        <v>31445824</v>
      </c>
      <c r="D19" s="1760">
        <f>SUM(D4:D18)</f>
        <v>29216064</v>
      </c>
      <c r="E19" s="1760">
        <f>SUM(E4:E18)</f>
        <v>61177165</v>
      </c>
      <c r="F19" s="1760">
        <f>SUM(F4:F18)</f>
        <v>29731341</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I47" sqref="I4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649</v>
      </c>
      <c r="B1" s="2214"/>
      <c r="C1" s="722"/>
    </row>
    <row r="2" spans="1:7" ht="33.75" x14ac:dyDescent="0.2">
      <c r="A2" s="2222" t="s">
        <v>1902</v>
      </c>
      <c r="B2" s="2223"/>
      <c r="C2" s="1885" t="s">
        <v>2033</v>
      </c>
      <c r="D2" s="724" t="s">
        <v>2040</v>
      </c>
      <c r="E2" s="724" t="s">
        <v>2041</v>
      </c>
      <c r="F2" s="1885" t="s">
        <v>2034</v>
      </c>
    </row>
    <row r="3" spans="1:7" ht="15.75" customHeight="1" x14ac:dyDescent="0.2">
      <c r="A3" s="2226" t="s">
        <v>1175</v>
      </c>
      <c r="B3" s="2227"/>
      <c r="C3" s="2215"/>
      <c r="D3" s="2216"/>
      <c r="E3" s="2216"/>
      <c r="F3" s="2217"/>
    </row>
    <row r="4" spans="1:7" ht="12.75" customHeight="1" thickBot="1" x14ac:dyDescent="0.25">
      <c r="A4" s="2224" t="s">
        <v>650</v>
      </c>
      <c r="B4" s="2225"/>
      <c r="C4" s="581"/>
      <c r="D4" s="581"/>
      <c r="E4" s="581"/>
      <c r="F4" s="1764">
        <f>SUM(C4+D4)-E4</f>
        <v>0</v>
      </c>
    </row>
    <row r="5" spans="1:7" ht="15.75" customHeight="1" thickTop="1" x14ac:dyDescent="0.2">
      <c r="A5" s="2209" t="s">
        <v>1171</v>
      </c>
      <c r="B5" s="2210"/>
      <c r="C5" s="2218"/>
      <c r="D5" s="2219"/>
      <c r="E5" s="2219"/>
      <c r="F5" s="2220"/>
    </row>
    <row r="6" spans="1:7" ht="12.75" customHeight="1" thickBot="1" x14ac:dyDescent="0.25">
      <c r="A6" s="725" t="s">
        <v>66</v>
      </c>
      <c r="B6" s="726"/>
      <c r="C6" s="727"/>
      <c r="D6" s="585"/>
      <c r="E6" s="727"/>
      <c r="F6" s="1764">
        <f t="shared" ref="F6:F14" si="0">SUM(C6+D6)-E6</f>
        <v>0</v>
      </c>
    </row>
    <row r="7" spans="1:7" ht="12.75" customHeight="1" thickTop="1" thickBot="1" x14ac:dyDescent="0.25">
      <c r="A7" s="725" t="s">
        <v>6</v>
      </c>
      <c r="B7" s="726"/>
      <c r="C7" s="727"/>
      <c r="D7" s="585"/>
      <c r="E7" s="727"/>
      <c r="F7" s="1764">
        <f t="shared" si="0"/>
        <v>0</v>
      </c>
    </row>
    <row r="8" spans="1:7" ht="12.75" customHeight="1" thickTop="1" thickBot="1" x14ac:dyDescent="0.25">
      <c r="A8" s="725" t="s">
        <v>528</v>
      </c>
      <c r="B8" s="726"/>
      <c r="C8" s="727"/>
      <c r="D8" s="585"/>
      <c r="E8" s="727"/>
      <c r="F8" s="1764">
        <f t="shared" si="0"/>
        <v>0</v>
      </c>
    </row>
    <row r="9" spans="1:7" ht="12.75" customHeight="1" thickTop="1" thickBot="1" x14ac:dyDescent="0.25">
      <c r="A9" s="725" t="s">
        <v>529</v>
      </c>
      <c r="B9" s="726"/>
      <c r="C9" s="727"/>
      <c r="D9" s="585"/>
      <c r="E9" s="727"/>
      <c r="F9" s="1764">
        <f t="shared" si="0"/>
        <v>0</v>
      </c>
    </row>
    <row r="10" spans="1:7" ht="12.75" customHeight="1" thickTop="1" thickBot="1" x14ac:dyDescent="0.25">
      <c r="A10" s="725" t="s">
        <v>530</v>
      </c>
      <c r="B10" s="726"/>
      <c r="C10" s="727"/>
      <c r="D10" s="585"/>
      <c r="E10" s="727"/>
      <c r="F10" s="1764">
        <f t="shared" si="0"/>
        <v>0</v>
      </c>
    </row>
    <row r="11" spans="1:7" ht="12.75" customHeight="1" thickTop="1" thickBot="1" x14ac:dyDescent="0.25">
      <c r="A11" s="725" t="s">
        <v>358</v>
      </c>
      <c r="B11" s="726"/>
      <c r="C11" s="727"/>
      <c r="D11" s="585"/>
      <c r="E11" s="727"/>
      <c r="F11" s="1764">
        <f t="shared" si="0"/>
        <v>0</v>
      </c>
    </row>
    <row r="12" spans="1:7" ht="12.75" customHeight="1" thickTop="1" thickBot="1" x14ac:dyDescent="0.25">
      <c r="A12" s="725" t="s">
        <v>1218</v>
      </c>
      <c r="B12" s="726"/>
      <c r="C12" s="727"/>
      <c r="D12" s="585"/>
      <c r="E12" s="727"/>
      <c r="F12" s="1764">
        <f t="shared" si="0"/>
        <v>0</v>
      </c>
    </row>
    <row r="13" spans="1:7" ht="12.75" customHeight="1" thickTop="1" thickBot="1" x14ac:dyDescent="0.25">
      <c r="A13" s="725" t="s">
        <v>405</v>
      </c>
      <c r="B13" s="726"/>
      <c r="C13" s="727"/>
      <c r="D13" s="585"/>
      <c r="E13" s="727"/>
      <c r="F13" s="1764">
        <f t="shared" si="0"/>
        <v>0</v>
      </c>
    </row>
    <row r="14" spans="1:7" ht="12.75" customHeight="1" thickTop="1" thickBot="1" x14ac:dyDescent="0.25">
      <c r="A14" s="725" t="s">
        <v>467</v>
      </c>
      <c r="B14" s="726"/>
      <c r="C14" s="727"/>
      <c r="D14" s="585"/>
      <c r="E14" s="727"/>
      <c r="F14" s="1764">
        <f t="shared" si="0"/>
        <v>0</v>
      </c>
    </row>
    <row r="15" spans="1:7" ht="14.25" thickTop="1" thickBot="1" x14ac:dyDescent="0.25">
      <c r="A15" s="2211" t="s">
        <v>651</v>
      </c>
      <c r="B15" s="2212"/>
      <c r="C15" s="1764">
        <f>SUM(C6:C14)</f>
        <v>0</v>
      </c>
      <c r="D15" s="1764">
        <f>SUM(D6:D14)</f>
        <v>0</v>
      </c>
      <c r="E15" s="1764">
        <f>SUM(E6:E14)</f>
        <v>0</v>
      </c>
      <c r="F15" s="1764">
        <f>SUM(F6:F14)</f>
        <v>0</v>
      </c>
      <c r="G15" s="552"/>
    </row>
    <row r="16" spans="1:7" s="202" customFormat="1" ht="15.75" customHeight="1" thickTop="1" x14ac:dyDescent="0.2">
      <c r="A16" s="2221" t="s">
        <v>1172</v>
      </c>
      <c r="B16" s="2210"/>
      <c r="C16" s="2218"/>
      <c r="D16" s="2219"/>
      <c r="E16" s="2219"/>
      <c r="F16" s="2220"/>
    </row>
    <row r="17" spans="1:11" ht="12.75" customHeight="1" thickBot="1" x14ac:dyDescent="0.25">
      <c r="A17" s="2234" t="s">
        <v>66</v>
      </c>
      <c r="B17" s="2235"/>
      <c r="C17" s="727"/>
      <c r="D17" s="585"/>
      <c r="E17" s="727"/>
      <c r="F17" s="1764">
        <f>SUM(C17+D17)-E17</f>
        <v>0</v>
      </c>
    </row>
    <row r="18" spans="1:11" ht="12.75" customHeight="1" thickTop="1" thickBot="1" x14ac:dyDescent="0.25">
      <c r="A18" s="2234" t="s">
        <v>6</v>
      </c>
      <c r="B18" s="2235"/>
      <c r="C18" s="727"/>
      <c r="D18" s="585"/>
      <c r="E18" s="727"/>
      <c r="F18" s="1764">
        <f>SUM(C18+D18)-E18</f>
        <v>0</v>
      </c>
    </row>
    <row r="19" spans="1:11" ht="12.75" customHeight="1" thickTop="1" thickBot="1" x14ac:dyDescent="0.25">
      <c r="A19" s="2234" t="s">
        <v>405</v>
      </c>
      <c r="B19" s="2235"/>
      <c r="C19" s="727"/>
      <c r="D19" s="585"/>
      <c r="E19" s="727"/>
      <c r="F19" s="1764">
        <f>SUM(C19+D19)-E19</f>
        <v>0</v>
      </c>
    </row>
    <row r="20" spans="1:11" ht="12.75" customHeight="1" thickTop="1" thickBot="1" x14ac:dyDescent="0.25">
      <c r="A20" s="2234" t="s">
        <v>467</v>
      </c>
      <c r="B20" s="2235"/>
      <c r="C20" s="727"/>
      <c r="D20" s="585"/>
      <c r="E20" s="727"/>
      <c r="F20" s="1764">
        <f>SUM(C20+D20)-E20</f>
        <v>0</v>
      </c>
    </row>
    <row r="21" spans="1:11" ht="14.25" thickTop="1" thickBot="1" x14ac:dyDescent="0.25">
      <c r="A21" s="2211" t="s">
        <v>652</v>
      </c>
      <c r="B21" s="2212"/>
      <c r="C21" s="1764">
        <f>SUM(C17:C20)</f>
        <v>0</v>
      </c>
      <c r="D21" s="1764">
        <f>SUM(D17:D20)</f>
        <v>0</v>
      </c>
      <c r="E21" s="1764">
        <f>SUM(E17:E20)</f>
        <v>0</v>
      </c>
      <c r="F21" s="1764">
        <f>SUM(F17:F20)</f>
        <v>0</v>
      </c>
      <c r="G21" s="552"/>
    </row>
    <row r="22" spans="1:11" ht="15.75" customHeight="1" thickTop="1" x14ac:dyDescent="0.2">
      <c r="A22" s="2236" t="s">
        <v>1173</v>
      </c>
      <c r="B22" s="2210"/>
      <c r="C22" s="2218"/>
      <c r="D22" s="2219"/>
      <c r="E22" s="2219"/>
      <c r="F22" s="2220"/>
    </row>
    <row r="23" spans="1:11" ht="13.5" thickBot="1" x14ac:dyDescent="0.25">
      <c r="A23" s="2224" t="s">
        <v>653</v>
      </c>
      <c r="B23" s="2225"/>
      <c r="C23" s="581"/>
      <c r="D23" s="581"/>
      <c r="E23" s="581"/>
      <c r="F23" s="1764">
        <f>SUM(C23+D23)-E23</f>
        <v>0</v>
      </c>
      <c r="G23" s="552"/>
    </row>
    <row r="24" spans="1:11" ht="15.75" customHeight="1" thickTop="1" x14ac:dyDescent="0.2">
      <c r="A24" s="2236" t="s">
        <v>1174</v>
      </c>
      <c r="B24" s="2210"/>
      <c r="C24" s="2218"/>
      <c r="D24" s="2219"/>
      <c r="E24" s="2219"/>
      <c r="F24" s="2220"/>
    </row>
    <row r="25" spans="1:11" ht="13.5" thickBot="1" x14ac:dyDescent="0.25">
      <c r="A25" s="2224" t="s">
        <v>654</v>
      </c>
      <c r="B25" s="2225"/>
      <c r="C25" s="581"/>
      <c r="D25" s="581"/>
      <c r="E25" s="581"/>
      <c r="F25" s="1764">
        <f>SUM(C25+D25)-E25</f>
        <v>0</v>
      </c>
      <c r="G25" s="552"/>
    </row>
    <row r="26" spans="1:11" ht="15.75" customHeight="1" thickTop="1" x14ac:dyDescent="0.2">
      <c r="A26" s="2209" t="s">
        <v>677</v>
      </c>
      <c r="B26" s="2210"/>
      <c r="C26" s="728"/>
      <c r="D26" s="728"/>
      <c r="E26" s="728"/>
      <c r="F26" s="729"/>
    </row>
    <row r="27" spans="1:11" ht="13.5" thickBot="1" x14ac:dyDescent="0.25">
      <c r="A27" s="2211" t="s">
        <v>1129</v>
      </c>
      <c r="B27" s="2212"/>
      <c r="C27" s="585"/>
      <c r="D27" s="585"/>
      <c r="E27" s="585"/>
      <c r="F27" s="1764">
        <f>SUM(C27+D27)-E27</f>
        <v>0</v>
      </c>
      <c r="G27" s="552"/>
    </row>
    <row r="28" spans="1:11" ht="7.5" customHeight="1" thickTop="1" x14ac:dyDescent="0.2">
      <c r="A28" s="594"/>
    </row>
    <row r="29" spans="1:11" ht="23.25" customHeight="1" x14ac:dyDescent="0.2">
      <c r="A29" s="2237" t="s">
        <v>602</v>
      </c>
      <c r="B29" s="2214"/>
      <c r="C29" s="730"/>
      <c r="D29" s="730"/>
      <c r="E29" s="730"/>
      <c r="F29" s="730"/>
      <c r="G29" s="730"/>
      <c r="H29" s="730"/>
      <c r="I29" s="730"/>
      <c r="J29" s="730"/>
    </row>
    <row r="30" spans="1:11" ht="33.75" x14ac:dyDescent="0.2">
      <c r="A30" s="1551" t="s">
        <v>1130</v>
      </c>
      <c r="B30" s="731" t="s">
        <v>1185</v>
      </c>
      <c r="C30" s="1886" t="s">
        <v>603</v>
      </c>
      <c r="D30" s="1886" t="s">
        <v>1771</v>
      </c>
      <c r="E30" s="1886" t="s">
        <v>2035</v>
      </c>
      <c r="F30" s="1886" t="s">
        <v>2036</v>
      </c>
      <c r="G30" s="1886" t="s">
        <v>2039</v>
      </c>
      <c r="H30" s="1886" t="s">
        <v>2037</v>
      </c>
      <c r="I30" s="1886" t="s">
        <v>2038</v>
      </c>
      <c r="J30" s="1887" t="s">
        <v>2</v>
      </c>
      <c r="K30" s="732"/>
    </row>
    <row r="31" spans="1:11" ht="12" customHeight="1" x14ac:dyDescent="0.2">
      <c r="A31" s="733" t="s">
        <v>2088</v>
      </c>
      <c r="B31" s="734">
        <v>36175</v>
      </c>
      <c r="C31" s="735">
        <v>10300316</v>
      </c>
      <c r="D31" s="736">
        <v>3</v>
      </c>
      <c r="E31" s="735">
        <v>3824670</v>
      </c>
      <c r="F31" s="735"/>
      <c r="G31" s="735"/>
      <c r="H31" s="735">
        <v>1939817</v>
      </c>
      <c r="I31" s="1765">
        <f>((E31+F31)-H31)+G31</f>
        <v>1884853</v>
      </c>
      <c r="J31" s="735">
        <v>1818323</v>
      </c>
      <c r="K31" s="737"/>
    </row>
    <row r="32" spans="1:11" ht="12" customHeight="1" x14ac:dyDescent="0.2">
      <c r="A32" s="733" t="s">
        <v>2089</v>
      </c>
      <c r="B32" s="734">
        <v>37196</v>
      </c>
      <c r="C32" s="735">
        <v>18329222</v>
      </c>
      <c r="D32" s="736">
        <v>3</v>
      </c>
      <c r="E32" s="735">
        <v>6725030</v>
      </c>
      <c r="F32" s="735"/>
      <c r="G32" s="735"/>
      <c r="H32" s="735">
        <v>1524414</v>
      </c>
      <c r="I32" s="1765">
        <f>((E32+F32)-H32)+G32</f>
        <v>5200616</v>
      </c>
      <c r="J32" s="735">
        <v>5017048</v>
      </c>
      <c r="K32" s="737"/>
    </row>
    <row r="33" spans="1:11" ht="12" customHeight="1" x14ac:dyDescent="0.2">
      <c r="A33" s="733" t="s">
        <v>2090</v>
      </c>
      <c r="B33" s="734">
        <v>40207</v>
      </c>
      <c r="C33" s="735">
        <v>4995268</v>
      </c>
      <c r="D33" s="736">
        <v>3</v>
      </c>
      <c r="E33" s="735">
        <v>4777061</v>
      </c>
      <c r="F33" s="735"/>
      <c r="G33" s="735"/>
      <c r="H33" s="735"/>
      <c r="I33" s="1765">
        <f t="shared" ref="I33:I48" si="1">((E33+F33)-H33)+G33</f>
        <v>4777061</v>
      </c>
      <c r="J33" s="735">
        <v>4608444</v>
      </c>
      <c r="K33" s="737"/>
    </row>
    <row r="34" spans="1:11" ht="12" customHeight="1" x14ac:dyDescent="0.2">
      <c r="A34" s="733" t="s">
        <v>2091</v>
      </c>
      <c r="B34" s="734">
        <v>40207</v>
      </c>
      <c r="C34" s="735">
        <v>13505000</v>
      </c>
      <c r="D34" s="736">
        <v>3</v>
      </c>
      <c r="E34" s="735">
        <v>13505000</v>
      </c>
      <c r="F34" s="735"/>
      <c r="G34" s="735"/>
      <c r="H34" s="735"/>
      <c r="I34" s="1765">
        <f t="shared" si="1"/>
        <v>13505000</v>
      </c>
      <c r="J34" s="735">
        <v>13028311</v>
      </c>
      <c r="K34" s="738"/>
    </row>
    <row r="35" spans="1:11" ht="12" customHeight="1" x14ac:dyDescent="0.2">
      <c r="A35" s="733" t="s">
        <v>2092</v>
      </c>
      <c r="B35" s="734">
        <v>42306</v>
      </c>
      <c r="C35" s="739">
        <v>8130000</v>
      </c>
      <c r="D35" s="736">
        <v>3</v>
      </c>
      <c r="E35" s="739">
        <v>7825000</v>
      </c>
      <c r="F35" s="739"/>
      <c r="G35" s="739"/>
      <c r="H35" s="739"/>
      <c r="I35" s="1765">
        <f t="shared" si="1"/>
        <v>7825000</v>
      </c>
      <c r="J35" s="739">
        <v>7548799</v>
      </c>
      <c r="K35" s="738"/>
    </row>
    <row r="36" spans="1:11" ht="12" customHeight="1" x14ac:dyDescent="0.2">
      <c r="A36" s="733" t="s">
        <v>2093</v>
      </c>
      <c r="B36" s="734">
        <v>42306</v>
      </c>
      <c r="C36" s="735">
        <v>1000000</v>
      </c>
      <c r="D36" s="736">
        <v>3</v>
      </c>
      <c r="E36" s="735">
        <v>1000000</v>
      </c>
      <c r="F36" s="735"/>
      <c r="G36" s="735"/>
      <c r="H36" s="735"/>
      <c r="I36" s="1765">
        <f t="shared" si="1"/>
        <v>1000000</v>
      </c>
      <c r="J36" s="735">
        <v>964703</v>
      </c>
      <c r="K36" s="740"/>
    </row>
    <row r="37" spans="1:11" ht="12" customHeight="1" x14ac:dyDescent="0.2">
      <c r="A37" s="733" t="s">
        <v>2094</v>
      </c>
      <c r="B37" s="734">
        <v>42523</v>
      </c>
      <c r="C37" s="467">
        <v>7000000</v>
      </c>
      <c r="D37" s="741">
        <v>7</v>
      </c>
      <c r="E37" s="467">
        <v>7000000</v>
      </c>
      <c r="F37" s="467"/>
      <c r="G37" s="467"/>
      <c r="H37" s="467"/>
      <c r="I37" s="1765">
        <f t="shared" si="1"/>
        <v>7000000</v>
      </c>
      <c r="J37" s="467">
        <v>6752919</v>
      </c>
      <c r="K37" s="738"/>
    </row>
    <row r="38" spans="1:11" ht="12" customHeight="1" x14ac:dyDescent="0.2">
      <c r="A38" s="733" t="s">
        <v>2095</v>
      </c>
      <c r="B38" s="734">
        <v>42914</v>
      </c>
      <c r="C38" s="735">
        <v>1225000</v>
      </c>
      <c r="D38" s="742">
        <v>3</v>
      </c>
      <c r="E38" s="743">
        <v>1225000</v>
      </c>
      <c r="F38" s="743"/>
      <c r="G38" s="743"/>
      <c r="H38" s="743"/>
      <c r="I38" s="1765">
        <f t="shared" si="1"/>
        <v>1225000</v>
      </c>
      <c r="J38" s="744">
        <v>1181761</v>
      </c>
      <c r="K38" s="745"/>
    </row>
    <row r="39" spans="1:11" ht="12" customHeight="1" x14ac:dyDescent="0.2">
      <c r="A39" s="733" t="s">
        <v>2096</v>
      </c>
      <c r="B39" s="734">
        <v>42914</v>
      </c>
      <c r="C39" s="735">
        <v>5740000</v>
      </c>
      <c r="D39" s="742">
        <v>3</v>
      </c>
      <c r="E39" s="743">
        <v>5740000</v>
      </c>
      <c r="F39" s="743"/>
      <c r="G39" s="743"/>
      <c r="H39" s="743"/>
      <c r="I39" s="1765">
        <f t="shared" si="1"/>
        <v>5740000</v>
      </c>
      <c r="J39" s="744">
        <v>5537394</v>
      </c>
      <c r="K39" s="745"/>
    </row>
    <row r="40" spans="1:11" ht="12" customHeight="1" x14ac:dyDescent="0.2">
      <c r="A40" s="733"/>
      <c r="B40" s="734"/>
      <c r="C40" s="735"/>
      <c r="D40" s="742"/>
      <c r="E40" s="743"/>
      <c r="F40" s="743"/>
      <c r="G40" s="743"/>
      <c r="H40" s="743"/>
      <c r="I40" s="1765">
        <f t="shared" si="1"/>
        <v>0</v>
      </c>
      <c r="J40" s="744"/>
      <c r="K40" s="745"/>
    </row>
    <row r="41" spans="1:11" ht="12" customHeight="1" x14ac:dyDescent="0.2">
      <c r="A41" s="733" t="s">
        <v>2097</v>
      </c>
      <c r="B41" s="734" t="s">
        <v>2098</v>
      </c>
      <c r="C41" s="735"/>
      <c r="D41" s="742">
        <v>8</v>
      </c>
      <c r="E41" s="743">
        <v>259964</v>
      </c>
      <c r="F41" s="743"/>
      <c r="G41" s="743"/>
      <c r="H41" s="743">
        <v>197913</v>
      </c>
      <c r="I41" s="1765">
        <f t="shared" si="1"/>
        <v>62051</v>
      </c>
      <c r="J41" s="744">
        <v>59861</v>
      </c>
      <c r="K41" s="745"/>
    </row>
    <row r="42" spans="1:11" ht="12" customHeight="1" x14ac:dyDescent="0.2">
      <c r="A42" s="733"/>
      <c r="B42" s="734"/>
      <c r="C42" s="735"/>
      <c r="D42" s="742"/>
      <c r="E42" s="743"/>
      <c r="F42" s="743"/>
      <c r="G42" s="743"/>
      <c r="H42" s="743"/>
      <c r="I42" s="1765">
        <f t="shared" si="1"/>
        <v>0</v>
      </c>
      <c r="J42" s="744"/>
      <c r="K42" s="745"/>
    </row>
    <row r="43" spans="1:11" ht="12" customHeight="1" x14ac:dyDescent="0.2">
      <c r="A43" s="733"/>
      <c r="B43" s="734"/>
      <c r="C43" s="735"/>
      <c r="D43" s="742"/>
      <c r="E43" s="743"/>
      <c r="F43" s="743"/>
      <c r="G43" s="743"/>
      <c r="H43" s="743"/>
      <c r="I43" s="1765">
        <f t="shared" si="1"/>
        <v>0</v>
      </c>
      <c r="J43" s="744"/>
      <c r="K43" s="745"/>
    </row>
    <row r="44" spans="1:11" ht="12" customHeight="1" x14ac:dyDescent="0.2">
      <c r="A44" s="733"/>
      <c r="B44" s="734"/>
      <c r="C44" s="735"/>
      <c r="D44" s="736"/>
      <c r="E44" s="735"/>
      <c r="F44" s="735"/>
      <c r="G44" s="735"/>
      <c r="H44" s="735"/>
      <c r="I44" s="1765">
        <f t="shared" si="1"/>
        <v>0</v>
      </c>
      <c r="J44" s="735"/>
      <c r="K44" s="738"/>
    </row>
    <row r="45" spans="1:11" ht="12" customHeight="1" x14ac:dyDescent="0.2">
      <c r="A45" s="733"/>
      <c r="B45" s="734"/>
      <c r="C45" s="735"/>
      <c r="D45" s="736"/>
      <c r="E45" s="735"/>
      <c r="F45" s="735"/>
      <c r="G45" s="735"/>
      <c r="H45" s="735"/>
      <c r="I45" s="1765">
        <f t="shared" si="1"/>
        <v>0</v>
      </c>
      <c r="J45" s="735"/>
      <c r="K45" s="738"/>
    </row>
    <row r="46" spans="1:11" ht="12" customHeight="1" x14ac:dyDescent="0.2">
      <c r="A46" s="733"/>
      <c r="B46" s="734"/>
      <c r="C46" s="735"/>
      <c r="D46" s="736"/>
      <c r="E46" s="735"/>
      <c r="F46" s="735"/>
      <c r="G46" s="735"/>
      <c r="H46" s="735"/>
      <c r="I46" s="1765">
        <f t="shared" si="1"/>
        <v>0</v>
      </c>
      <c r="J46" s="735"/>
      <c r="K46" s="738"/>
    </row>
    <row r="47" spans="1:11" ht="12" customHeight="1" x14ac:dyDescent="0.2">
      <c r="A47" s="733"/>
      <c r="B47" s="734"/>
      <c r="C47" s="739"/>
      <c r="D47" s="736"/>
      <c r="E47" s="739"/>
      <c r="F47" s="739"/>
      <c r="G47" s="739"/>
      <c r="H47" s="739"/>
      <c r="I47" s="1765">
        <f t="shared" si="1"/>
        <v>0</v>
      </c>
      <c r="J47" s="739"/>
      <c r="K47" s="738"/>
    </row>
    <row r="48" spans="1:11" ht="12" customHeight="1" x14ac:dyDescent="0.2">
      <c r="A48" s="733"/>
      <c r="B48" s="734"/>
      <c r="C48" s="735"/>
      <c r="D48" s="736"/>
      <c r="E48" s="735"/>
      <c r="F48" s="735"/>
      <c r="G48" s="735"/>
      <c r="H48" s="735"/>
      <c r="I48" s="1765">
        <f t="shared" si="1"/>
        <v>0</v>
      </c>
      <c r="J48" s="735"/>
      <c r="K48" s="738"/>
    </row>
    <row r="49" spans="1:11" ht="12" customHeight="1" x14ac:dyDescent="0.2">
      <c r="A49" s="733"/>
      <c r="B49" s="734"/>
      <c r="C49" s="1765">
        <f>SUM(C31:C48)</f>
        <v>70224806</v>
      </c>
      <c r="D49" s="746"/>
      <c r="E49" s="1765">
        <f t="shared" ref="E49:J49" si="2">SUM(E31:E48)</f>
        <v>51881725</v>
      </c>
      <c r="F49" s="1765">
        <f t="shared" si="2"/>
        <v>0</v>
      </c>
      <c r="G49" s="1765">
        <f t="shared" si="2"/>
        <v>0</v>
      </c>
      <c r="H49" s="1765">
        <f t="shared" si="2"/>
        <v>3662144</v>
      </c>
      <c r="I49" s="1765">
        <f t="shared" si="2"/>
        <v>48219581</v>
      </c>
      <c r="J49" s="1765">
        <f t="shared" si="2"/>
        <v>46517563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28" t="s">
        <v>604</v>
      </c>
      <c r="C52" s="2229"/>
      <c r="D52" s="2229"/>
      <c r="E52" s="750" t="s">
        <v>899</v>
      </c>
      <c r="F52" s="2230" t="s">
        <v>2099</v>
      </c>
      <c r="G52" s="2231"/>
      <c r="H52" s="737"/>
      <c r="I52" s="737"/>
      <c r="J52" s="747"/>
    </row>
    <row r="53" spans="1:11" ht="11.25" customHeight="1" x14ac:dyDescent="0.2">
      <c r="A53" s="751" t="s">
        <v>968</v>
      </c>
      <c r="B53" s="752" t="s">
        <v>1007</v>
      </c>
      <c r="C53" s="747"/>
      <c r="D53" s="738"/>
      <c r="E53" s="750" t="s">
        <v>517</v>
      </c>
      <c r="F53" s="2232" t="s">
        <v>2097</v>
      </c>
      <c r="G53" s="2233"/>
      <c r="H53" s="737"/>
      <c r="I53" s="737"/>
      <c r="J53" s="747"/>
    </row>
    <row r="54" spans="1:11" ht="11.25" customHeight="1" x14ac:dyDescent="0.2">
      <c r="A54" s="753" t="s">
        <v>969</v>
      </c>
      <c r="B54" s="748" t="s">
        <v>1008</v>
      </c>
      <c r="C54" s="747"/>
      <c r="D54" s="738"/>
      <c r="E54" s="750" t="s">
        <v>518</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47" sqref="I4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910</v>
      </c>
      <c r="B1" s="2263"/>
      <c r="C1" s="2263"/>
      <c r="D1" s="2263"/>
      <c r="E1" s="2263"/>
      <c r="F1" s="2263"/>
      <c r="G1" s="2264"/>
      <c r="H1" s="1552"/>
      <c r="I1" s="761"/>
      <c r="J1" s="433"/>
    </row>
    <row r="2" spans="1:11" ht="26.25" x14ac:dyDescent="0.2">
      <c r="A2" s="2241" t="s">
        <v>1775</v>
      </c>
      <c r="B2" s="2242"/>
      <c r="C2" s="2242"/>
      <c r="D2" s="2242"/>
      <c r="E2" s="2243"/>
      <c r="F2" s="762" t="s">
        <v>959</v>
      </c>
      <c r="G2" s="763" t="s">
        <v>1772</v>
      </c>
      <c r="H2" s="763" t="s">
        <v>429</v>
      </c>
      <c r="I2" s="763" t="s">
        <v>1219</v>
      </c>
      <c r="J2" s="763" t="s">
        <v>1916</v>
      </c>
      <c r="K2" s="763" t="s">
        <v>140</v>
      </c>
    </row>
    <row r="3" spans="1:11" x14ac:dyDescent="0.2">
      <c r="A3" s="2244" t="s">
        <v>1697</v>
      </c>
      <c r="B3" s="2245"/>
      <c r="C3" s="2245"/>
      <c r="D3" s="2245"/>
      <c r="E3" s="2246"/>
      <c r="F3" s="764"/>
      <c r="G3" s="765"/>
      <c r="H3" s="765"/>
      <c r="I3" s="765"/>
      <c r="J3" s="766"/>
      <c r="K3" s="766"/>
    </row>
    <row r="4" spans="1:11" x14ac:dyDescent="0.2">
      <c r="A4" s="2247" t="s">
        <v>386</v>
      </c>
      <c r="B4" s="2248"/>
      <c r="C4" s="2248"/>
      <c r="D4" s="2248"/>
      <c r="E4" s="2229"/>
      <c r="F4" s="767"/>
      <c r="G4" s="768"/>
      <c r="H4" s="769"/>
      <c r="I4" s="768"/>
      <c r="J4" s="770"/>
      <c r="K4" s="770"/>
    </row>
    <row r="5" spans="1:11" x14ac:dyDescent="0.2">
      <c r="A5" s="2265" t="s">
        <v>1128</v>
      </c>
      <c r="B5" s="2238"/>
      <c r="C5" s="2238"/>
      <c r="D5" s="2238"/>
      <c r="E5" s="2266"/>
      <c r="F5" s="771" t="s">
        <v>902</v>
      </c>
      <c r="G5" s="772"/>
      <c r="H5" s="765">
        <v>5359180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58970</v>
      </c>
    </row>
    <row r="10" spans="1:11" x14ac:dyDescent="0.2">
      <c r="A10" s="2265" t="s">
        <v>1917</v>
      </c>
      <c r="B10" s="2238"/>
      <c r="C10" s="2238"/>
      <c r="D10" s="2238"/>
      <c r="E10" s="2267"/>
      <c r="F10" s="784" t="s">
        <v>916</v>
      </c>
      <c r="G10" s="783"/>
      <c r="H10" s="785"/>
      <c r="I10" s="765"/>
      <c r="J10" s="766"/>
      <c r="K10" s="766"/>
    </row>
    <row r="11" spans="1:11" x14ac:dyDescent="0.2">
      <c r="A11" s="2265" t="s">
        <v>162</v>
      </c>
      <c r="B11" s="2238"/>
      <c r="C11" s="2238"/>
      <c r="D11" s="2238"/>
      <c r="E11" s="2266"/>
      <c r="F11" s="771" t="s">
        <v>906</v>
      </c>
      <c r="G11" s="772"/>
      <c r="H11" s="765"/>
      <c r="I11" s="765"/>
      <c r="J11" s="766"/>
      <c r="K11" s="774"/>
    </row>
    <row r="12" spans="1:11" ht="13.5" thickBot="1" x14ac:dyDescent="0.25">
      <c r="A12" s="2255" t="s">
        <v>960</v>
      </c>
      <c r="B12" s="2256"/>
      <c r="C12" s="2256"/>
      <c r="D12" s="2256"/>
      <c r="E12" s="2257"/>
      <c r="F12" s="1766"/>
      <c r="G12" s="1767">
        <f>SUM(G5:G11)</f>
        <v>0</v>
      </c>
      <c r="H12" s="1767">
        <f>SUM(H5:H11)</f>
        <v>5359180</v>
      </c>
      <c r="I12" s="1767">
        <f>SUM(I5:I11)</f>
        <v>0</v>
      </c>
      <c r="J12" s="1767">
        <f>SUM(J5:J11)</f>
        <v>0</v>
      </c>
      <c r="K12" s="1767">
        <f>SUM(K5:K11)</f>
        <v>58970</v>
      </c>
    </row>
    <row r="13" spans="1:11" ht="13.5" thickTop="1" x14ac:dyDescent="0.2">
      <c r="A13" s="2249" t="s">
        <v>387</v>
      </c>
      <c r="B13" s="2250"/>
      <c r="C13" s="2250"/>
      <c r="D13" s="2250"/>
      <c r="E13" s="2251"/>
      <c r="F13" s="786"/>
      <c r="G13" s="787"/>
      <c r="H13" s="788"/>
      <c r="I13" s="789"/>
      <c r="J13" s="789"/>
      <c r="K13" s="789"/>
    </row>
    <row r="14" spans="1:11" x14ac:dyDescent="0.2">
      <c r="A14" s="2271" t="s">
        <v>475</v>
      </c>
      <c r="B14" s="2271"/>
      <c r="C14" s="2271"/>
      <c r="D14" s="2271"/>
      <c r="E14" s="2272"/>
      <c r="F14" s="790" t="s">
        <v>908</v>
      </c>
      <c r="G14" s="783"/>
      <c r="H14" s="765"/>
      <c r="I14" s="772"/>
      <c r="J14" s="774"/>
      <c r="K14" s="766"/>
    </row>
    <row r="15" spans="1:11" x14ac:dyDescent="0.2">
      <c r="A15" s="2238" t="s">
        <v>4</v>
      </c>
      <c r="B15" s="2238"/>
      <c r="C15" s="2238"/>
      <c r="D15" s="2238"/>
      <c r="E15" s="2266"/>
      <c r="F15" s="790" t="s">
        <v>909</v>
      </c>
      <c r="G15" s="772"/>
      <c r="H15" s="765"/>
      <c r="I15" s="765"/>
      <c r="J15" s="766"/>
      <c r="K15" s="766"/>
    </row>
    <row r="16" spans="1:11" x14ac:dyDescent="0.2">
      <c r="A16" s="2238" t="s">
        <v>315</v>
      </c>
      <c r="B16" s="2238"/>
      <c r="C16" s="2238"/>
      <c r="D16" s="2238"/>
      <c r="E16" s="2266"/>
      <c r="F16" s="790" t="s">
        <v>979</v>
      </c>
      <c r="G16" s="773"/>
      <c r="H16" s="768"/>
      <c r="I16" s="768"/>
      <c r="J16" s="770"/>
      <c r="K16" s="770"/>
    </row>
    <row r="17" spans="1:11" x14ac:dyDescent="0.2">
      <c r="A17" s="2260" t="s">
        <v>991</v>
      </c>
      <c r="B17" s="2260"/>
      <c r="C17" s="2260"/>
      <c r="D17" s="2260"/>
      <c r="E17" s="2261"/>
      <c r="F17" s="791"/>
      <c r="G17" s="792"/>
      <c r="H17" s="793"/>
      <c r="I17" s="793"/>
      <c r="J17" s="794"/>
      <c r="K17" s="795"/>
    </row>
    <row r="18" spans="1:11" x14ac:dyDescent="0.2">
      <c r="A18" s="2252" t="s">
        <v>385</v>
      </c>
      <c r="B18" s="2253"/>
      <c r="C18" s="2253"/>
      <c r="D18" s="2253"/>
      <c r="E18" s="2254"/>
      <c r="F18" s="790" t="s">
        <v>988</v>
      </c>
      <c r="G18" s="783"/>
      <c r="H18" s="783"/>
      <c r="I18" s="783"/>
      <c r="J18" s="766"/>
      <c r="K18" s="796"/>
    </row>
    <row r="19" spans="1:11" ht="21.75" customHeight="1" x14ac:dyDescent="0.2">
      <c r="A19" s="2273" t="s">
        <v>1913</v>
      </c>
      <c r="B19" s="2273"/>
      <c r="C19" s="2273"/>
      <c r="D19" s="2273"/>
      <c r="E19" s="2274"/>
      <c r="F19" s="790" t="s">
        <v>989</v>
      </c>
      <c r="G19" s="783"/>
      <c r="H19" s="783"/>
      <c r="I19" s="783"/>
      <c r="J19" s="766"/>
      <c r="K19" s="796"/>
    </row>
    <row r="20" spans="1:11" x14ac:dyDescent="0.2">
      <c r="A20" s="2252" t="s">
        <v>1918</v>
      </c>
      <c r="B20" s="2253"/>
      <c r="C20" s="2253"/>
      <c r="D20" s="2253"/>
      <c r="E20" s="2254"/>
      <c r="F20" s="790" t="s">
        <v>990</v>
      </c>
      <c r="G20" s="783"/>
      <c r="H20" s="783"/>
      <c r="I20" s="783"/>
      <c r="J20" s="766"/>
      <c r="K20" s="796"/>
    </row>
    <row r="21" spans="1:11" ht="13.5" thickBot="1" x14ac:dyDescent="0.25">
      <c r="A21" s="2258" t="s">
        <v>658</v>
      </c>
      <c r="B21" s="2258"/>
      <c r="C21" s="2258"/>
      <c r="D21" s="2258"/>
      <c r="E21" s="2258"/>
      <c r="F21" s="1768"/>
      <c r="G21" s="793"/>
      <c r="H21" s="797"/>
      <c r="I21" s="797"/>
      <c r="J21" s="1769">
        <f>SUM(J18:J20)</f>
        <v>0</v>
      </c>
      <c r="K21" s="794"/>
    </row>
    <row r="22" spans="1:11" ht="13.5" thickTop="1" x14ac:dyDescent="0.2">
      <c r="A22" s="2238" t="s">
        <v>1919</v>
      </c>
      <c r="B22" s="2238"/>
      <c r="C22" s="2238"/>
      <c r="D22" s="2238"/>
      <c r="E22" s="2266"/>
      <c r="F22" s="790" t="s">
        <v>916</v>
      </c>
      <c r="G22" s="783"/>
      <c r="H22" s="765">
        <v>5359180</v>
      </c>
      <c r="I22" s="765"/>
      <c r="J22" s="798"/>
      <c r="K22" s="766">
        <v>58970</v>
      </c>
    </row>
    <row r="23" spans="1:11" ht="13.5" thickBot="1" x14ac:dyDescent="0.25">
      <c r="A23" s="2259" t="s">
        <v>961</v>
      </c>
      <c r="B23" s="2258"/>
      <c r="C23" s="2258"/>
      <c r="D23" s="2258"/>
      <c r="E23" s="2258"/>
      <c r="F23" s="1770"/>
      <c r="G23" s="1767">
        <f>SUM(G14:G16,G21,G22)</f>
        <v>0</v>
      </c>
      <c r="H23" s="1767">
        <f>SUM(H14:H16,H21,H22)</f>
        <v>5359180</v>
      </c>
      <c r="I23" s="1767">
        <f>SUM(I14:I16,I21,I22)</f>
        <v>0</v>
      </c>
      <c r="J23" s="1767">
        <f>SUM(J14:J16,J21,J22)</f>
        <v>0</v>
      </c>
      <c r="K23" s="1767">
        <f>SUM(K14:K16,K21,K22)</f>
        <v>58970</v>
      </c>
    </row>
    <row r="24" spans="1:11" ht="14.25" thickTop="1" thickBot="1" x14ac:dyDescent="0.25">
      <c r="A24" s="2259" t="s">
        <v>2021</v>
      </c>
      <c r="B24" s="2258"/>
      <c r="C24" s="2258"/>
      <c r="D24" s="2258"/>
      <c r="E24" s="2258"/>
      <c r="F24" s="1771"/>
      <c r="G24" s="1772">
        <f>SUM(G3,G12)-G23</f>
        <v>0</v>
      </c>
      <c r="H24" s="1772">
        <f>SUM(H3,H12)-H23</f>
        <v>0</v>
      </c>
      <c r="I24" s="1772">
        <f>SUM(I3,I12)-I23</f>
        <v>0</v>
      </c>
      <c r="J24" s="1772">
        <f>SUM(J3,J12)-J23</f>
        <v>0</v>
      </c>
      <c r="K24" s="1772">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81" t="s">
        <v>2031</v>
      </c>
      <c r="B28" s="1882"/>
      <c r="C28" s="1882"/>
      <c r="D28" s="1882"/>
      <c r="E28" s="1883"/>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8"/>
      <c r="I31" s="2269"/>
      <c r="J31" s="2269"/>
      <c r="K31" s="2269"/>
    </row>
    <row r="32" spans="1:11" x14ac:dyDescent="0.2">
      <c r="A32" s="810"/>
      <c r="B32" s="237"/>
      <c r="C32" s="237"/>
      <c r="D32" s="237"/>
      <c r="E32" s="806"/>
      <c r="F32" s="812" t="s">
        <v>560</v>
      </c>
      <c r="G32" s="765"/>
      <c r="H32" s="2270"/>
      <c r="I32" s="2269"/>
      <c r="J32" s="2269"/>
      <c r="K32" s="2269"/>
    </row>
    <row r="33" spans="1:11" ht="1.5" customHeight="1" x14ac:dyDescent="0.2">
      <c r="A33" s="813" t="s">
        <v>1230</v>
      </c>
      <c r="B33" s="364"/>
      <c r="C33" s="364"/>
      <c r="D33" s="364"/>
      <c r="E33" s="364"/>
      <c r="F33" s="364"/>
      <c r="G33" s="814"/>
      <c r="H33" s="2270"/>
      <c r="I33" s="2269"/>
      <c r="J33" s="2269"/>
      <c r="K33" s="2269"/>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8" t="s">
        <v>561</v>
      </c>
      <c r="B41" s="2239"/>
      <c r="C41" s="2239"/>
      <c r="D41" s="2239"/>
      <c r="E41" s="2239"/>
      <c r="F41" s="224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1914</v>
      </c>
      <c r="B46" s="408" t="s">
        <v>1773</v>
      </c>
    </row>
    <row r="47" spans="1:11" s="824" customFormat="1" ht="12.75" customHeight="1" x14ac:dyDescent="0.2">
      <c r="A47" s="822"/>
      <c r="B47" s="823" t="s">
        <v>1774</v>
      </c>
      <c r="E47" s="823"/>
      <c r="K47" s="825"/>
    </row>
    <row r="48" spans="1:11" ht="12.75" customHeight="1" x14ac:dyDescent="0.2">
      <c r="A48" s="1554"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47" sqref="I4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2030</v>
      </c>
      <c r="B1" s="2278"/>
      <c r="C1" s="2279"/>
      <c r="D1" s="827"/>
      <c r="E1" s="828"/>
      <c r="F1" s="828"/>
      <c r="G1" s="829"/>
      <c r="H1" s="830"/>
      <c r="I1" s="831"/>
      <c r="J1" s="2275"/>
      <c r="K1" s="2276"/>
      <c r="L1" s="2276"/>
    </row>
    <row r="2" spans="1:14" ht="69.75" customHeight="1" x14ac:dyDescent="0.2">
      <c r="A2" s="832" t="s">
        <v>1776</v>
      </c>
      <c r="B2" s="833" t="s">
        <v>395</v>
      </c>
      <c r="C2" s="834" t="s">
        <v>2025</v>
      </c>
      <c r="D2" s="834" t="s">
        <v>2022</v>
      </c>
      <c r="E2" s="834" t="s">
        <v>2023</v>
      </c>
      <c r="F2" s="834" t="s">
        <v>2024</v>
      </c>
      <c r="G2" s="834" t="s">
        <v>625</v>
      </c>
      <c r="H2" s="834" t="s">
        <v>2026</v>
      </c>
      <c r="I2" s="834" t="s">
        <v>2027</v>
      </c>
      <c r="J2" s="834" t="s">
        <v>2042</v>
      </c>
      <c r="K2" s="834" t="s">
        <v>2028</v>
      </c>
      <c r="L2" s="834" t="s">
        <v>2029</v>
      </c>
      <c r="M2" s="835"/>
      <c r="N2" s="835"/>
    </row>
    <row r="3" spans="1:14" ht="13.5" thickBot="1" x14ac:dyDescent="0.25">
      <c r="A3" s="1649" t="s">
        <v>947</v>
      </c>
      <c r="B3" s="1650">
        <v>210</v>
      </c>
      <c r="C3" s="836"/>
      <c r="D3" s="836"/>
      <c r="E3" s="836"/>
      <c r="F3" s="1769">
        <f>(C3+D3)-E3</f>
        <v>0</v>
      </c>
      <c r="G3" s="837"/>
      <c r="H3" s="836"/>
      <c r="I3" s="836"/>
      <c r="J3" s="836"/>
      <c r="K3" s="1778">
        <f>(H3+I3)-J3</f>
        <v>0</v>
      </c>
      <c r="L3" s="1778">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948</v>
      </c>
      <c r="B5" s="841">
        <v>221</v>
      </c>
      <c r="C5" s="842">
        <v>1518042</v>
      </c>
      <c r="D5" s="842"/>
      <c r="E5" s="842"/>
      <c r="F5" s="1769">
        <f>(C5+D5)-E5</f>
        <v>1518042</v>
      </c>
      <c r="G5" s="838"/>
      <c r="H5" s="843"/>
      <c r="I5" s="843"/>
      <c r="J5" s="843"/>
      <c r="K5" s="794"/>
      <c r="L5" s="1778">
        <f>F5-K5</f>
        <v>1518042</v>
      </c>
    </row>
    <row r="6" spans="1:14" ht="14.25" thickTop="1" thickBot="1" x14ac:dyDescent="0.25">
      <c r="A6" s="779" t="s">
        <v>1178</v>
      </c>
      <c r="B6" s="841">
        <v>222</v>
      </c>
      <c r="C6" s="766"/>
      <c r="D6" s="766"/>
      <c r="E6" s="766"/>
      <c r="F6" s="1769">
        <f>(C6+D6)-E6</f>
        <v>0</v>
      </c>
      <c r="G6" s="838">
        <v>50</v>
      </c>
      <c r="H6" s="766"/>
      <c r="I6" s="766"/>
      <c r="J6" s="766"/>
      <c r="K6" s="1778">
        <f>(H6+I6)-J6</f>
        <v>0</v>
      </c>
      <c r="L6" s="1778">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1179</v>
      </c>
      <c r="B8" s="841">
        <v>231</v>
      </c>
      <c r="C8" s="845">
        <v>131856710</v>
      </c>
      <c r="D8" s="845">
        <v>2514035</v>
      </c>
      <c r="E8" s="845"/>
      <c r="F8" s="1769">
        <f>(C8+D8)-E8</f>
        <v>134370745</v>
      </c>
      <c r="G8" s="844">
        <v>50</v>
      </c>
      <c r="H8" s="766">
        <v>55209870</v>
      </c>
      <c r="I8" s="766">
        <f>1341172+3084917</f>
        <v>4426089</v>
      </c>
      <c r="J8" s="766"/>
      <c r="K8" s="1778">
        <f>(H8+I8)-J8</f>
        <v>59635959</v>
      </c>
      <c r="L8" s="1778">
        <f>F8-K8</f>
        <v>74734786</v>
      </c>
    </row>
    <row r="9" spans="1:14" ht="14.25" thickTop="1" thickBot="1" x14ac:dyDescent="0.25">
      <c r="A9" s="779" t="s">
        <v>1180</v>
      </c>
      <c r="B9" s="841">
        <v>232</v>
      </c>
      <c r="C9" s="766"/>
      <c r="D9" s="766"/>
      <c r="E9" s="766"/>
      <c r="F9" s="1769">
        <f>(C9+D9)-E9</f>
        <v>0</v>
      </c>
      <c r="G9" s="844">
        <v>20</v>
      </c>
      <c r="H9" s="766"/>
      <c r="I9" s="766"/>
      <c r="J9" s="766"/>
      <c r="K9" s="1778">
        <f>(H9+I9)-J9</f>
        <v>0</v>
      </c>
      <c r="L9" s="1778">
        <f>F9-K9</f>
        <v>0</v>
      </c>
    </row>
    <row r="10" spans="1:14" ht="24" thickTop="1" thickBot="1" x14ac:dyDescent="0.25">
      <c r="A10" s="846" t="s">
        <v>1181</v>
      </c>
      <c r="B10" s="841">
        <v>240</v>
      </c>
      <c r="C10" s="847">
        <v>697952</v>
      </c>
      <c r="D10" s="847">
        <v>279263</v>
      </c>
      <c r="E10" s="847"/>
      <c r="F10" s="1773">
        <f>(C10+D10)-E10</f>
        <v>977215</v>
      </c>
      <c r="G10" s="844">
        <v>20</v>
      </c>
      <c r="H10" s="848">
        <v>122836</v>
      </c>
      <c r="I10" s="848">
        <v>37692</v>
      </c>
      <c r="J10" s="848"/>
      <c r="K10" s="1778">
        <f>(H10+I10)-J10</f>
        <v>160528</v>
      </c>
      <c r="L10" s="1778">
        <f>F10-K10</f>
        <v>816687</v>
      </c>
    </row>
    <row r="11" spans="1:14" ht="13.5" thickTop="1" x14ac:dyDescent="0.2">
      <c r="A11" s="1652" t="s">
        <v>1197</v>
      </c>
      <c r="B11" s="1650">
        <v>250</v>
      </c>
      <c r="C11" s="782"/>
      <c r="D11" s="782"/>
      <c r="E11" s="782"/>
      <c r="F11" s="774"/>
      <c r="G11" s="844"/>
      <c r="H11" s="782"/>
      <c r="I11" s="782"/>
      <c r="J11" s="782"/>
      <c r="K11" s="774"/>
      <c r="L11" s="774"/>
    </row>
    <row r="12" spans="1:14" ht="13.5" thickBot="1" x14ac:dyDescent="0.25">
      <c r="A12" s="849" t="s">
        <v>1182</v>
      </c>
      <c r="B12" s="841">
        <v>251</v>
      </c>
      <c r="C12" s="845">
        <v>9364885</v>
      </c>
      <c r="D12" s="845">
        <v>314284</v>
      </c>
      <c r="E12" s="845"/>
      <c r="F12" s="1769">
        <f>(C12+D12)-E12</f>
        <v>9679169</v>
      </c>
      <c r="G12" s="844">
        <v>10</v>
      </c>
      <c r="H12" s="766">
        <v>6918509</v>
      </c>
      <c r="I12" s="766">
        <v>371969</v>
      </c>
      <c r="J12" s="766"/>
      <c r="K12" s="1778">
        <f>(H12+I12)-J12</f>
        <v>7290478</v>
      </c>
      <c r="L12" s="1778">
        <f>F12-K12</f>
        <v>2388691</v>
      </c>
    </row>
    <row r="13" spans="1:14" ht="14.25" thickTop="1" thickBot="1" x14ac:dyDescent="0.25">
      <c r="A13" s="849" t="s">
        <v>1183</v>
      </c>
      <c r="B13" s="841">
        <v>252</v>
      </c>
      <c r="C13" s="845">
        <v>1715701</v>
      </c>
      <c r="D13" s="845">
        <v>46446</v>
      </c>
      <c r="E13" s="845"/>
      <c r="F13" s="1769">
        <f>(C13+D13)-E13</f>
        <v>1762147</v>
      </c>
      <c r="G13" s="844">
        <v>5</v>
      </c>
      <c r="H13" s="766">
        <v>1598258</v>
      </c>
      <c r="I13" s="766">
        <v>76867</v>
      </c>
      <c r="J13" s="766"/>
      <c r="K13" s="1778">
        <f>(H13+I13)-J13</f>
        <v>1675125</v>
      </c>
      <c r="L13" s="1778">
        <f>F13-K13</f>
        <v>87022</v>
      </c>
    </row>
    <row r="14" spans="1:14" ht="14.25" thickTop="1" thickBot="1" x14ac:dyDescent="0.25">
      <c r="A14" s="849" t="s">
        <v>1184</v>
      </c>
      <c r="B14" s="841">
        <v>253</v>
      </c>
      <c r="C14" s="766"/>
      <c r="D14" s="766"/>
      <c r="E14" s="766"/>
      <c r="F14" s="1769">
        <f>(C14+D14)-E14</f>
        <v>0</v>
      </c>
      <c r="G14" s="844">
        <v>3</v>
      </c>
      <c r="H14" s="766"/>
      <c r="I14" s="766"/>
      <c r="J14" s="766"/>
      <c r="K14" s="1778">
        <f>(H14+I14)-J14</f>
        <v>0</v>
      </c>
      <c r="L14" s="1778">
        <f>F14-K14</f>
        <v>0</v>
      </c>
    </row>
    <row r="15" spans="1:14" ht="15" customHeight="1" thickTop="1" thickBot="1" x14ac:dyDescent="0.25">
      <c r="A15" s="1651" t="s">
        <v>548</v>
      </c>
      <c r="B15" s="1650">
        <v>260</v>
      </c>
      <c r="C15" s="845"/>
      <c r="D15" s="845">
        <v>1471112</v>
      </c>
      <c r="E15" s="845"/>
      <c r="F15" s="1769">
        <f>(C15+D15)-E15</f>
        <v>1471112</v>
      </c>
      <c r="G15" s="850" t="s">
        <v>916</v>
      </c>
      <c r="H15" s="782"/>
      <c r="I15" s="782"/>
      <c r="J15" s="782"/>
      <c r="K15" s="782"/>
      <c r="L15" s="1778">
        <f>F15-K15</f>
        <v>1471112</v>
      </c>
    </row>
    <row r="16" spans="1:14" ht="15" customHeight="1" thickTop="1" thickBot="1" x14ac:dyDescent="0.25">
      <c r="A16" s="1774" t="s">
        <v>663</v>
      </c>
      <c r="B16" s="1775">
        <v>200</v>
      </c>
      <c r="C16" s="1769">
        <f>SUM(C3,C5:C6,C8:C10,C12:C15)</f>
        <v>145153290</v>
      </c>
      <c r="D16" s="1769">
        <f>SUM(D3,D5:D6,D8:D10,D12:D15)</f>
        <v>4625140</v>
      </c>
      <c r="E16" s="1769">
        <f>SUM(E3,E5:E6,E8:E10,E12:E15)</f>
        <v>0</v>
      </c>
      <c r="F16" s="1769">
        <f>SUM(F3,F5:F6,F8:F10,F12:F15)</f>
        <v>149778430</v>
      </c>
      <c r="G16" s="844"/>
      <c r="H16" s="1769">
        <f>SUM(H3,H6,H8:H10,H12:H14,)</f>
        <v>63849473</v>
      </c>
      <c r="I16" s="1769">
        <f>SUM(I3,I6,I8:I10,I12:I14,)</f>
        <v>4912617</v>
      </c>
      <c r="J16" s="1769">
        <f>SUM(J3,J6,J8:J10,J12:J14,)</f>
        <v>0</v>
      </c>
      <c r="K16" s="1769">
        <f>(H16+I16)-J16</f>
        <v>68762090</v>
      </c>
      <c r="L16" s="1769">
        <f>F16-K16</f>
        <v>81016340</v>
      </c>
    </row>
    <row r="17" spans="1:12" ht="15" customHeight="1" thickTop="1" thickBot="1" x14ac:dyDescent="0.25">
      <c r="A17" s="1653" t="s">
        <v>308</v>
      </c>
      <c r="B17" s="1650">
        <v>700</v>
      </c>
      <c r="C17" s="770"/>
      <c r="D17" s="770"/>
      <c r="E17" s="770"/>
      <c r="F17" s="1769">
        <f>SUM('Expenditures 15-22'!I114,'Expenditures 15-22'!I151,'Expenditures 15-22'!I210,'Expenditures 15-22'!I312,'Expenditures 15-22'!I342,'Expenditures 15-22'!I367)</f>
        <v>454747</v>
      </c>
      <c r="G17" s="838">
        <v>10</v>
      </c>
      <c r="H17" s="770"/>
      <c r="I17" s="1778">
        <f>F17/G17</f>
        <v>45474.7</v>
      </c>
      <c r="J17" s="770"/>
      <c r="K17" s="796"/>
      <c r="L17" s="796"/>
    </row>
    <row r="18" spans="1:12" ht="14.25" thickTop="1" thickBot="1" x14ac:dyDescent="0.25">
      <c r="A18" s="1776" t="s">
        <v>705</v>
      </c>
      <c r="B18" s="1777"/>
      <c r="C18" s="772"/>
      <c r="D18" s="772"/>
      <c r="E18" s="772"/>
      <c r="F18" s="851"/>
      <c r="G18" s="852"/>
      <c r="H18" s="774"/>
      <c r="I18" s="1769">
        <f>SUM(I16,I17)</f>
        <v>4958091.7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I47" sqref="I47"/>
      <selection pane="bottomLeft" activeCell="I47" sqref="I4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1698</v>
      </c>
      <c r="B1" s="2284"/>
      <c r="C1" s="2284"/>
      <c r="D1" s="2284"/>
      <c r="E1" s="2284"/>
      <c r="F1" s="2285"/>
      <c r="G1" s="856"/>
    </row>
    <row r="2" spans="1:7" ht="15" customHeight="1" thickBot="1" x14ac:dyDescent="0.25">
      <c r="A2" s="2286" t="s">
        <v>497</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9"/>
      <c r="B5" s="2290"/>
      <c r="C5" s="2290"/>
      <c r="D5" s="2290"/>
      <c r="E5" s="2290"/>
      <c r="F5" s="2290"/>
    </row>
    <row r="6" spans="1:7" ht="13.5" customHeight="1" thickBot="1" x14ac:dyDescent="0.25">
      <c r="A6" s="2280" t="s">
        <v>1165</v>
      </c>
      <c r="B6" s="2281"/>
      <c r="C6" s="2281"/>
      <c r="D6" s="2281"/>
      <c r="E6" s="2281"/>
      <c r="F6" s="2282"/>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10">
        <f>'Expenditures 15-22'!K114</f>
        <v>165131155</v>
      </c>
      <c r="G8" s="866"/>
    </row>
    <row r="9" spans="1:7" x14ac:dyDescent="0.2">
      <c r="A9" s="870" t="s">
        <v>479</v>
      </c>
      <c r="B9" s="871" t="s">
        <v>1985</v>
      </c>
      <c r="C9" s="872"/>
      <c r="D9" s="870" t="s">
        <v>521</v>
      </c>
      <c r="E9" s="869"/>
      <c r="F9" s="1911">
        <f>'Expenditures 15-22'!K151</f>
        <v>9794177</v>
      </c>
      <c r="G9" s="873"/>
    </row>
    <row r="10" spans="1:7" x14ac:dyDescent="0.2">
      <c r="A10" s="870" t="s">
        <v>519</v>
      </c>
      <c r="B10" s="871" t="s">
        <v>1986</v>
      </c>
      <c r="C10" s="872"/>
      <c r="D10" s="870" t="s">
        <v>521</v>
      </c>
      <c r="E10" s="869"/>
      <c r="F10" s="1911">
        <f>'Expenditures 15-22'!K174</f>
        <v>9885040</v>
      </c>
      <c r="G10" s="873"/>
    </row>
    <row r="11" spans="1:7" x14ac:dyDescent="0.2">
      <c r="A11" s="870" t="s">
        <v>480</v>
      </c>
      <c r="B11" s="871" t="s">
        <v>1987</v>
      </c>
      <c r="C11" s="872"/>
      <c r="D11" s="870" t="s">
        <v>521</v>
      </c>
      <c r="E11" s="869"/>
      <c r="F11" s="1911">
        <f>'Expenditures 15-22'!K210</f>
        <v>10077562</v>
      </c>
      <c r="G11" s="873"/>
    </row>
    <row r="12" spans="1:7" x14ac:dyDescent="0.2">
      <c r="A12" s="870" t="s">
        <v>481</v>
      </c>
      <c r="B12" s="871" t="s">
        <v>1988</v>
      </c>
      <c r="C12" s="872"/>
      <c r="D12" s="870" t="s">
        <v>521</v>
      </c>
      <c r="E12" s="869"/>
      <c r="F12" s="1911">
        <f>'Expenditures 15-22'!K295</f>
        <v>6673551</v>
      </c>
      <c r="G12" s="873"/>
    </row>
    <row r="13" spans="1:7" x14ac:dyDescent="0.2">
      <c r="A13" s="870" t="s">
        <v>108</v>
      </c>
      <c r="B13" s="871" t="s">
        <v>1989</v>
      </c>
      <c r="C13" s="872"/>
      <c r="D13" s="870" t="s">
        <v>521</v>
      </c>
      <c r="E13" s="869"/>
      <c r="F13" s="1911">
        <f>'Expenditures 15-22'!K342</f>
        <v>3186835</v>
      </c>
      <c r="G13" s="874"/>
    </row>
    <row r="14" spans="1:7" ht="12" customHeight="1" thickBot="1" x14ac:dyDescent="0.25">
      <c r="A14" s="1779"/>
      <c r="B14" s="1780"/>
      <c r="C14" s="1781"/>
      <c r="D14" s="1782" t="s">
        <v>521</v>
      </c>
      <c r="E14" s="1783" t="s">
        <v>1014</v>
      </c>
      <c r="F14" s="1784">
        <f>SUM(F8:F13)</f>
        <v>204748320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12">
        <f>'Revenues 9-14'!F43</f>
        <v>0</v>
      </c>
      <c r="G18" s="866"/>
    </row>
    <row r="19" spans="1:7" x14ac:dyDescent="0.2">
      <c r="A19" s="870" t="s">
        <v>480</v>
      </c>
      <c r="B19" s="871" t="s">
        <v>1068</v>
      </c>
      <c r="C19" s="878">
        <f>'Revenues 9-14'!B47</f>
        <v>1421</v>
      </c>
      <c r="D19" s="879" t="str">
        <f>'Revenues 9-14'!A47</f>
        <v>Summer Sch - Transp. Fees from Pupils or Parents (In State)</v>
      </c>
      <c r="E19" s="880"/>
      <c r="F19" s="1913">
        <f>'Revenues 9-14'!F47</f>
        <v>0</v>
      </c>
      <c r="G19" s="866"/>
    </row>
    <row r="20" spans="1:7" x14ac:dyDescent="0.2">
      <c r="A20" s="870" t="s">
        <v>480</v>
      </c>
      <c r="B20" s="871" t="s">
        <v>1069</v>
      </c>
      <c r="C20" s="876">
        <f>'Revenues 9-14'!B48</f>
        <v>1422</v>
      </c>
      <c r="D20" s="877" t="str">
        <f>'Revenues 9-14'!A48</f>
        <v>Summer Sch - Transp. Fees from Other Districts (In State)</v>
      </c>
      <c r="E20" s="869"/>
      <c r="F20" s="1914">
        <f>'Revenues 9-14'!F48</f>
        <v>0</v>
      </c>
      <c r="G20" s="866"/>
    </row>
    <row r="21" spans="1:7" x14ac:dyDescent="0.2">
      <c r="A21" s="870" t="s">
        <v>480</v>
      </c>
      <c r="B21" s="871" t="s">
        <v>1070</v>
      </c>
      <c r="C21" s="878">
        <f>'Revenues 9-14'!B49</f>
        <v>1423</v>
      </c>
      <c r="D21" s="877" t="str">
        <f>'Revenues 9-14'!A49</f>
        <v>Summer Sch - Transp. Fees from Other Sources (In State)</v>
      </c>
      <c r="E21" s="869"/>
      <c r="F21" s="1915">
        <f>'Revenues 9-14'!F49</f>
        <v>0</v>
      </c>
      <c r="G21" s="866"/>
    </row>
    <row r="22" spans="1:7" x14ac:dyDescent="0.2">
      <c r="A22" s="870" t="s">
        <v>480</v>
      </c>
      <c r="B22" s="871" t="s">
        <v>1071</v>
      </c>
      <c r="C22" s="878">
        <f>'Revenues 9-14'!B50</f>
        <v>1424</v>
      </c>
      <c r="D22" s="877" t="str">
        <f>'Revenues 9-14'!A50</f>
        <v>Summer Sch - Transp. Fees from Other Sources (Out of State)</v>
      </c>
      <c r="E22" s="869"/>
      <c r="F22" s="1915">
        <f>'Revenues 9-14'!F50</f>
        <v>0</v>
      </c>
      <c r="G22" s="866"/>
    </row>
    <row r="23" spans="1:7" x14ac:dyDescent="0.2">
      <c r="A23" s="870" t="s">
        <v>480</v>
      </c>
      <c r="B23" s="871" t="s">
        <v>1072</v>
      </c>
      <c r="C23" s="876">
        <f>'Revenues 9-14'!B52</f>
        <v>1432</v>
      </c>
      <c r="D23" s="877" t="str">
        <f>'Revenues 9-14'!A52</f>
        <v>CTE - Transp Fees from Other Districts (In State)</v>
      </c>
      <c r="E23" s="869"/>
      <c r="F23" s="1915">
        <f>'Revenues 9-14'!F52</f>
        <v>0</v>
      </c>
      <c r="G23" s="866"/>
    </row>
    <row r="24" spans="1:7" x14ac:dyDescent="0.2">
      <c r="A24" s="870" t="s">
        <v>480</v>
      </c>
      <c r="B24" s="871" t="s">
        <v>1073</v>
      </c>
      <c r="C24" s="876">
        <f>'Revenues 9-14'!B56</f>
        <v>1442</v>
      </c>
      <c r="D24" s="877" t="str">
        <f>'Revenues 9-14'!A56</f>
        <v>Special Ed - Transp Fees from Other Districts (In State)</v>
      </c>
      <c r="E24" s="869"/>
      <c r="F24" s="1915">
        <f>'Revenues 9-14'!F56</f>
        <v>0</v>
      </c>
      <c r="G24" s="866"/>
    </row>
    <row r="25" spans="1:7" x14ac:dyDescent="0.2">
      <c r="A25" s="870" t="s">
        <v>480</v>
      </c>
      <c r="B25" s="871" t="s">
        <v>1074</v>
      </c>
      <c r="C25" s="876">
        <f>'Revenues 9-14'!B59</f>
        <v>1451</v>
      </c>
      <c r="D25" s="877" t="str">
        <f>'Revenues 9-14'!A59</f>
        <v>Adult - Transp Fees from Pupils or Parents (In State)</v>
      </c>
      <c r="E25" s="869"/>
      <c r="F25" s="1915">
        <f>'Revenues 9-14'!F59</f>
        <v>0</v>
      </c>
      <c r="G25" s="866"/>
    </row>
    <row r="26" spans="1:7" x14ac:dyDescent="0.2">
      <c r="A26" s="870" t="s">
        <v>480</v>
      </c>
      <c r="B26" s="871" t="s">
        <v>1075</v>
      </c>
      <c r="C26" s="876">
        <f>'Revenues 9-14'!B60</f>
        <v>1452</v>
      </c>
      <c r="D26" s="877" t="str">
        <f>'Revenues 9-14'!A60</f>
        <v>Adult - Transp Fees from Other Districts (In State)</v>
      </c>
      <c r="E26" s="869"/>
      <c r="F26" s="1915">
        <f>'Revenues 9-14'!F60</f>
        <v>0</v>
      </c>
      <c r="G26" s="866"/>
    </row>
    <row r="27" spans="1:7" x14ac:dyDescent="0.2">
      <c r="A27" s="870" t="s">
        <v>480</v>
      </c>
      <c r="B27" s="871" t="s">
        <v>1076</v>
      </c>
      <c r="C27" s="876">
        <f>'Revenues 9-14'!B61</f>
        <v>1453</v>
      </c>
      <c r="D27" s="877" t="str">
        <f>'Revenues 9-14'!A61</f>
        <v>Adult - Transp Fees from Other Sources (In State)</v>
      </c>
      <c r="E27" s="869"/>
      <c r="F27" s="1915">
        <f>'Revenues 9-14'!F61</f>
        <v>0</v>
      </c>
      <c r="G27" s="866"/>
    </row>
    <row r="28" spans="1:7" x14ac:dyDescent="0.2">
      <c r="A28" s="870" t="s">
        <v>480</v>
      </c>
      <c r="B28" s="871" t="s">
        <v>1077</v>
      </c>
      <c r="C28" s="876">
        <f>'Revenues 9-14'!B62</f>
        <v>1454</v>
      </c>
      <c r="D28" s="877" t="str">
        <f>'Revenues 9-14'!A62</f>
        <v>Adult - Transp Fees from Other Sources (Out of State)</v>
      </c>
      <c r="E28" s="869"/>
      <c r="F28" s="1915">
        <f>'Revenues 9-14'!F62</f>
        <v>0</v>
      </c>
      <c r="G28" s="866"/>
    </row>
    <row r="29" spans="1:7" x14ac:dyDescent="0.2">
      <c r="A29" s="870" t="s">
        <v>1158</v>
      </c>
      <c r="B29" s="871" t="s">
        <v>1682</v>
      </c>
      <c r="C29" s="881">
        <f>'Revenues 9-14'!B148</f>
        <v>3410</v>
      </c>
      <c r="D29" s="882" t="str">
        <f>'Revenues 9-14'!A148</f>
        <v>Adult Ed (from ICCB)</v>
      </c>
      <c r="E29" s="869"/>
      <c r="F29" s="1915">
        <f>SUM('Revenues 9-14'!D148,F149)</f>
        <v>0</v>
      </c>
      <c r="G29" s="866"/>
    </row>
    <row r="30" spans="1:7" x14ac:dyDescent="0.2">
      <c r="A30" s="870" t="s">
        <v>1158</v>
      </c>
      <c r="B30" s="871" t="s">
        <v>860</v>
      </c>
      <c r="C30" s="881">
        <f>'Revenues 9-14'!B149</f>
        <v>3499</v>
      </c>
      <c r="D30" s="882" t="str">
        <f>'Revenues 9-14'!A149</f>
        <v>Adult Ed - Other (Describe &amp; Itemize)</v>
      </c>
      <c r="E30" s="869"/>
      <c r="F30" s="1916">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15">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15">
        <f>SUM('Revenues 9-14'!D219,'Revenues 9-14'!F219)</f>
        <v>0</v>
      </c>
      <c r="G32" s="866"/>
    </row>
    <row r="33" spans="1:7" x14ac:dyDescent="0.2">
      <c r="A33" s="870" t="s">
        <v>479</v>
      </c>
      <c r="B33" s="871" t="s">
        <v>800</v>
      </c>
      <c r="C33" s="876">
        <f>'Revenues 9-14'!B229</f>
        <v>4810</v>
      </c>
      <c r="D33" s="884" t="str">
        <f>'Revenues 9-14'!A229</f>
        <v>Federal - Adult Education</v>
      </c>
      <c r="E33" s="869"/>
      <c r="F33" s="1915">
        <f>'Revenues 9-14'!D229</f>
        <v>0</v>
      </c>
      <c r="G33" s="866"/>
    </row>
    <row r="34" spans="1:7" x14ac:dyDescent="0.2">
      <c r="A34" s="870" t="s">
        <v>478</v>
      </c>
      <c r="B34" s="870" t="s">
        <v>1544</v>
      </c>
      <c r="C34" s="887" t="str">
        <f>'Expenditures 15-22'!B7</f>
        <v>1125</v>
      </c>
      <c r="D34" s="888" t="str">
        <f>'Expenditures 15-22'!A7</f>
        <v>Pre-K Programs</v>
      </c>
      <c r="E34" s="869"/>
      <c r="F34" s="1915">
        <f>'Expenditures 15-22'!K7-SUM('Expenditures 15-22'!G7,'Expenditures 15-22'!I7)</f>
        <v>2309341</v>
      </c>
      <c r="G34" s="866"/>
    </row>
    <row r="35" spans="1:7" x14ac:dyDescent="0.2">
      <c r="A35" s="870" t="s">
        <v>478</v>
      </c>
      <c r="B35" s="870" t="s">
        <v>1545</v>
      </c>
      <c r="C35" s="887" t="str">
        <f>'Expenditures 15-22'!B9</f>
        <v>1225</v>
      </c>
      <c r="D35" s="888" t="str">
        <f>'Expenditures 15-22'!A9</f>
        <v>Special Education Programs Pre-K</v>
      </c>
      <c r="E35" s="869"/>
      <c r="F35" s="1915">
        <f>'Expenditures 15-22'!K9-SUM('Expenditures 15-22'!G9+'Expenditures 15-22'!I9)</f>
        <v>1005331</v>
      </c>
      <c r="G35" s="866"/>
    </row>
    <row r="36" spans="1:7" x14ac:dyDescent="0.2">
      <c r="A36" s="870" t="s">
        <v>478</v>
      </c>
      <c r="B36" s="870" t="s">
        <v>118</v>
      </c>
      <c r="C36" s="887" t="str">
        <f>'Expenditures 15-22'!B11</f>
        <v>1275</v>
      </c>
      <c r="D36" s="888" t="str">
        <f>'Expenditures 15-22'!A11</f>
        <v>Remedial and Supplemental Programs Pre-K</v>
      </c>
      <c r="E36" s="869"/>
      <c r="F36" s="1915">
        <f>'Expenditures 15-22'!K11-SUM('Expenditures 15-22'!G11,'Expenditures 15-22'!I11)</f>
        <v>363408</v>
      </c>
      <c r="G36" s="866"/>
    </row>
    <row r="37" spans="1:7" x14ac:dyDescent="0.2">
      <c r="A37" s="870" t="s">
        <v>478</v>
      </c>
      <c r="B37" s="870" t="s">
        <v>1546</v>
      </c>
      <c r="C37" s="887">
        <f>'Expenditures 15-22'!B12</f>
        <v>1300</v>
      </c>
      <c r="D37" s="889" t="str">
        <f>'Expenditures 15-22'!A12</f>
        <v>Adult/Continuing Education Programs</v>
      </c>
      <c r="E37" s="869"/>
      <c r="F37" s="1915">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15">
        <f>'Expenditures 15-22'!K15-SUM('Expenditures 15-22'!G15,'Expenditures 15-22'!I15)</f>
        <v>48217</v>
      </c>
      <c r="G38" s="866"/>
    </row>
    <row r="39" spans="1:7" x14ac:dyDescent="0.2">
      <c r="A39" s="870" t="s">
        <v>478</v>
      </c>
      <c r="B39" s="870" t="s">
        <v>119</v>
      </c>
      <c r="C39" s="887" t="str">
        <f>'Expenditures 15-22'!B20</f>
        <v>1910</v>
      </c>
      <c r="D39" s="889" t="str">
        <f>'Expenditures 15-22'!A20</f>
        <v>Pre-K Programs - Private Tuition</v>
      </c>
      <c r="E39" s="869"/>
      <c r="F39" s="1915">
        <f>'Expenditures 15-22'!K20</f>
        <v>0</v>
      </c>
      <c r="G39" s="866"/>
    </row>
    <row r="40" spans="1:7" x14ac:dyDescent="0.2">
      <c r="A40" s="870" t="s">
        <v>478</v>
      </c>
      <c r="B40" s="870" t="s">
        <v>120</v>
      </c>
      <c r="C40" s="887" t="str">
        <f>'Expenditures 15-22'!B21</f>
        <v>1911</v>
      </c>
      <c r="D40" s="889" t="str">
        <f>'Expenditures 15-22'!A21</f>
        <v>Regular K-12 Programs - Private Tuition</v>
      </c>
      <c r="E40" s="869"/>
      <c r="F40" s="1915">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15">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15">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15">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15">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15">
        <f>'Expenditures 15-22'!K26</f>
        <v>0</v>
      </c>
      <c r="G45" s="866"/>
    </row>
    <row r="46" spans="1:7" x14ac:dyDescent="0.2">
      <c r="A46" s="870" t="s">
        <v>478</v>
      </c>
      <c r="B46" s="870" t="s">
        <v>126</v>
      </c>
      <c r="C46" s="887" t="str">
        <f>'Expenditures 15-22'!B27</f>
        <v>1917</v>
      </c>
      <c r="D46" s="889" t="str">
        <f>'Expenditures 15-22'!A27</f>
        <v>CTE Programs - Private Tuition</v>
      </c>
      <c r="E46" s="869"/>
      <c r="F46" s="1915">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15">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15">
        <f>'Expenditures 15-22'!K29</f>
        <v>0</v>
      </c>
      <c r="G48" s="866"/>
    </row>
    <row r="49" spans="1:7" x14ac:dyDescent="0.2">
      <c r="A49" s="870" t="s">
        <v>478</v>
      </c>
      <c r="B49" s="870" t="s">
        <v>129</v>
      </c>
      <c r="C49" s="887" t="str">
        <f>'Expenditures 15-22'!B30</f>
        <v>1920</v>
      </c>
      <c r="D49" s="889" t="str">
        <f>'Expenditures 15-22'!A30</f>
        <v>Gifted Programs - Private Tuition</v>
      </c>
      <c r="E49" s="869"/>
      <c r="F49" s="1915">
        <f>'Expenditures 15-22'!K30</f>
        <v>0</v>
      </c>
      <c r="G49" s="866"/>
    </row>
    <row r="50" spans="1:7" x14ac:dyDescent="0.2">
      <c r="A50" s="870" t="s">
        <v>478</v>
      </c>
      <c r="B50" s="870" t="s">
        <v>130</v>
      </c>
      <c r="C50" s="887" t="str">
        <f>'Expenditures 15-22'!B31</f>
        <v>1921</v>
      </c>
      <c r="D50" s="889" t="str">
        <f>'Expenditures 15-22'!A31</f>
        <v>Bilingual Programs - Private Tuition</v>
      </c>
      <c r="E50" s="869"/>
      <c r="F50" s="1915">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15">
        <f>'Expenditures 15-22'!K32</f>
        <v>0</v>
      </c>
      <c r="G51" s="866"/>
    </row>
    <row r="52" spans="1:7" x14ac:dyDescent="0.2">
      <c r="A52" s="870" t="s">
        <v>478</v>
      </c>
      <c r="B52" s="870" t="s">
        <v>1549</v>
      </c>
      <c r="C52" s="890" t="str">
        <f>'Expenditures 15-22'!B75</f>
        <v>3000</v>
      </c>
      <c r="D52" s="889" t="s">
        <v>468</v>
      </c>
      <c r="E52" s="869"/>
      <c r="F52" s="1915">
        <f>'Expenditures 15-22'!K75-SUM('Expenditures 15-22'!G75,'Expenditures 15-22'!I75)</f>
        <v>1007933</v>
      </c>
      <c r="G52" s="866"/>
    </row>
    <row r="53" spans="1:7" x14ac:dyDescent="0.2">
      <c r="A53" s="870" t="s">
        <v>478</v>
      </c>
      <c r="B53" s="870" t="s">
        <v>1550</v>
      </c>
      <c r="C53" s="890">
        <f>'Expenditures 15-22'!B102</f>
        <v>4000</v>
      </c>
      <c r="D53" s="889" t="str">
        <f>'Expenditures 15-22'!A102</f>
        <v>Total Payments to Other Govt Units</v>
      </c>
      <c r="E53" s="869"/>
      <c r="F53" s="1915">
        <f>'Expenditures 15-22'!K102</f>
        <v>63377</v>
      </c>
      <c r="G53" s="866"/>
    </row>
    <row r="54" spans="1:7" x14ac:dyDescent="0.2">
      <c r="A54" s="870" t="s">
        <v>478</v>
      </c>
      <c r="B54" s="870" t="s">
        <v>1551</v>
      </c>
      <c r="C54" s="890" t="s">
        <v>1038</v>
      </c>
      <c r="D54" s="886" t="s">
        <v>1156</v>
      </c>
      <c r="E54" s="869"/>
      <c r="F54" s="1915">
        <f>'Expenditures 15-22'!G114</f>
        <v>265104</v>
      </c>
      <c r="G54" s="866"/>
    </row>
    <row r="55" spans="1:7" x14ac:dyDescent="0.2">
      <c r="A55" s="870" t="s">
        <v>478</v>
      </c>
      <c r="B55" s="870" t="s">
        <v>1552</v>
      </c>
      <c r="C55" s="890" t="s">
        <v>1038</v>
      </c>
      <c r="D55" s="886" t="s">
        <v>308</v>
      </c>
      <c r="E55" s="869"/>
      <c r="F55" s="1915">
        <f>'Expenditures 15-22'!I114</f>
        <v>418149</v>
      </c>
      <c r="G55" s="866"/>
    </row>
    <row r="56" spans="1:7" x14ac:dyDescent="0.2">
      <c r="A56" s="870" t="s">
        <v>479</v>
      </c>
      <c r="B56" s="870" t="s">
        <v>1553</v>
      </c>
      <c r="C56" s="887" t="str">
        <f>'Expenditures 15-22'!B130</f>
        <v>3000</v>
      </c>
      <c r="D56" s="893" t="s">
        <v>468</v>
      </c>
      <c r="E56" s="869"/>
      <c r="F56" s="1915">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15">
        <f>'Expenditures 15-22'!K139</f>
        <v>0</v>
      </c>
      <c r="G57" s="866"/>
    </row>
    <row r="58" spans="1:7" x14ac:dyDescent="0.2">
      <c r="A58" s="870" t="s">
        <v>479</v>
      </c>
      <c r="B58" s="870" t="s">
        <v>1991</v>
      </c>
      <c r="C58" s="887" t="s">
        <v>1038</v>
      </c>
      <c r="D58" s="886" t="s">
        <v>1156</v>
      </c>
      <c r="E58" s="869"/>
      <c r="F58" s="1917">
        <f>'Expenditures 15-22'!G151</f>
        <v>1705477</v>
      </c>
      <c r="G58" s="866"/>
    </row>
    <row r="59" spans="1:7" x14ac:dyDescent="0.2">
      <c r="A59" s="894" t="s">
        <v>479</v>
      </c>
      <c r="B59" s="857" t="s">
        <v>1992</v>
      </c>
      <c r="C59" s="895" t="s">
        <v>1038</v>
      </c>
      <c r="D59" s="857" t="s">
        <v>308</v>
      </c>
      <c r="F59" s="1918">
        <f>'Expenditures 15-22'!I151</f>
        <v>36598</v>
      </c>
      <c r="G59" s="866"/>
    </row>
    <row r="60" spans="1:7" x14ac:dyDescent="0.2">
      <c r="A60" s="894" t="s">
        <v>519</v>
      </c>
      <c r="B60" s="857" t="s">
        <v>1993</v>
      </c>
      <c r="C60" s="895">
        <v>4000</v>
      </c>
      <c r="D60" s="857" t="s">
        <v>329</v>
      </c>
      <c r="F60" s="1916">
        <f>'Expenditures 15-22'!K160</f>
        <v>0</v>
      </c>
      <c r="G60" s="866"/>
    </row>
    <row r="61" spans="1:7" x14ac:dyDescent="0.2">
      <c r="A61" s="896" t="s">
        <v>519</v>
      </c>
      <c r="B61" s="896" t="s">
        <v>1994</v>
      </c>
      <c r="C61" s="897" t="str">
        <f>'Expenditures 15-22'!B170</f>
        <v>5300</v>
      </c>
      <c r="D61" s="898" t="s">
        <v>328</v>
      </c>
      <c r="E61" s="880"/>
      <c r="F61" s="1915">
        <f>'Expenditures 15-22'!K170</f>
        <v>3662144</v>
      </c>
      <c r="G61" s="866"/>
    </row>
    <row r="62" spans="1:7" x14ac:dyDescent="0.2">
      <c r="A62" s="870" t="s">
        <v>480</v>
      </c>
      <c r="B62" s="870" t="s">
        <v>1995</v>
      </c>
      <c r="C62" s="887">
        <f>'Expenditures 15-22'!B185</f>
        <v>3000</v>
      </c>
      <c r="D62" s="877" t="s">
        <v>468</v>
      </c>
      <c r="E62" s="869"/>
      <c r="F62" s="1915">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15">
        <f>'Expenditures 15-22'!K196</f>
        <v>0</v>
      </c>
      <c r="G63" s="866"/>
    </row>
    <row r="64" spans="1:7" x14ac:dyDescent="0.2">
      <c r="A64" s="896" t="s">
        <v>480</v>
      </c>
      <c r="B64" s="896" t="s">
        <v>1997</v>
      </c>
      <c r="C64" s="897" t="str">
        <f>'Expenditures 15-22'!B206</f>
        <v>5300</v>
      </c>
      <c r="D64" s="893" t="s">
        <v>328</v>
      </c>
      <c r="E64" s="869"/>
      <c r="F64" s="1915">
        <f>'Expenditures 15-22'!K206</f>
        <v>0</v>
      </c>
      <c r="G64" s="866"/>
    </row>
    <row r="65" spans="1:8" x14ac:dyDescent="0.2">
      <c r="A65" s="870" t="s">
        <v>480</v>
      </c>
      <c r="B65" s="870" t="s">
        <v>1998</v>
      </c>
      <c r="C65" s="887" t="s">
        <v>1038</v>
      </c>
      <c r="D65" s="886" t="s">
        <v>1156</v>
      </c>
      <c r="E65" s="869"/>
      <c r="F65" s="1915">
        <f>'Expenditures 15-22'!G210</f>
        <v>0</v>
      </c>
      <c r="G65" s="866"/>
    </row>
    <row r="66" spans="1:8" x14ac:dyDescent="0.2">
      <c r="A66" s="870" t="s">
        <v>480</v>
      </c>
      <c r="B66" s="870" t="s">
        <v>1999</v>
      </c>
      <c r="C66" s="887" t="s">
        <v>1038</v>
      </c>
      <c r="D66" s="886" t="s">
        <v>308</v>
      </c>
      <c r="E66" s="869"/>
      <c r="F66" s="1915">
        <f>'Expenditures 15-22'!I210</f>
        <v>0</v>
      </c>
      <c r="G66" s="866"/>
    </row>
    <row r="67" spans="1:8" x14ac:dyDescent="0.2">
      <c r="A67" s="870" t="s">
        <v>481</v>
      </c>
      <c r="B67" s="870" t="s">
        <v>2000</v>
      </c>
      <c r="C67" s="887" t="str">
        <f>'Expenditures 15-22'!B216</f>
        <v>1125</v>
      </c>
      <c r="D67" s="893" t="str">
        <f>'Expenditures 15-22'!A216</f>
        <v>Pre-K Programs</v>
      </c>
      <c r="E67" s="869"/>
      <c r="F67" s="1915">
        <f>'Expenditures 15-22'!K216</f>
        <v>118145</v>
      </c>
      <c r="G67" s="866"/>
    </row>
    <row r="68" spans="1:8" x14ac:dyDescent="0.2">
      <c r="A68" s="870" t="s">
        <v>481</v>
      </c>
      <c r="B68" s="870" t="s">
        <v>1554</v>
      </c>
      <c r="C68" s="887" t="str">
        <f>'Expenditures 15-22'!B218</f>
        <v>1225</v>
      </c>
      <c r="D68" s="893" t="str">
        <f>'Expenditures 15-22'!A218</f>
        <v>Special Education Programs - Pre-K</v>
      </c>
      <c r="E68" s="869"/>
      <c r="F68" s="1915">
        <f>'Expenditures 15-22'!K218</f>
        <v>12316</v>
      </c>
      <c r="G68" s="866"/>
    </row>
    <row r="69" spans="1:8" x14ac:dyDescent="0.2">
      <c r="A69" s="870" t="s">
        <v>481</v>
      </c>
      <c r="B69" s="870" t="s">
        <v>2001</v>
      </c>
      <c r="C69" s="887" t="str">
        <f>'Expenditures 15-22'!B220</f>
        <v>1275</v>
      </c>
      <c r="D69" s="893" t="str">
        <f>'Expenditures 15-22'!A220</f>
        <v>Remedial and Supplemental Programs - Pre-K</v>
      </c>
      <c r="E69" s="869"/>
      <c r="F69" s="1915">
        <f>'Expenditures 15-22'!K220</f>
        <v>47631</v>
      </c>
      <c r="G69" s="866"/>
    </row>
    <row r="70" spans="1:8" x14ac:dyDescent="0.2">
      <c r="A70" s="870" t="s">
        <v>481</v>
      </c>
      <c r="B70" s="870" t="s">
        <v>2002</v>
      </c>
      <c r="C70" s="887">
        <f>'Expenditures 15-22'!B221</f>
        <v>1300</v>
      </c>
      <c r="D70" s="888" t="str">
        <f>'Expenditures 15-22'!A221</f>
        <v>Adult/Continuing Education Programs</v>
      </c>
      <c r="E70" s="869"/>
      <c r="F70" s="1915">
        <f>'Expenditures 15-22'!K221</f>
        <v>0</v>
      </c>
      <c r="G70" s="866"/>
    </row>
    <row r="71" spans="1:8" x14ac:dyDescent="0.2">
      <c r="A71" s="870" t="s">
        <v>481</v>
      </c>
      <c r="B71" s="870" t="s">
        <v>2003</v>
      </c>
      <c r="C71" s="887">
        <f>'Expenditures 15-22'!B224</f>
        <v>1600</v>
      </c>
      <c r="D71" s="888" t="str">
        <f>'Expenditures 15-22'!A224</f>
        <v>Summer School Programs</v>
      </c>
      <c r="E71" s="869"/>
      <c r="F71" s="1915">
        <f>'Expenditures 15-22'!K224</f>
        <v>1670</v>
      </c>
      <c r="G71" s="866"/>
    </row>
    <row r="72" spans="1:8" x14ac:dyDescent="0.2">
      <c r="A72" s="870" t="s">
        <v>481</v>
      </c>
      <c r="B72" s="870" t="s">
        <v>2004</v>
      </c>
      <c r="C72" s="887">
        <f>'Expenditures 15-22'!B280</f>
        <v>3000</v>
      </c>
      <c r="D72" s="877" t="s">
        <v>468</v>
      </c>
      <c r="E72" s="869"/>
      <c r="F72" s="1915">
        <f>'Expenditures 15-22'!K280</f>
        <v>48896</v>
      </c>
      <c r="G72" s="866"/>
    </row>
    <row r="73" spans="1:8" x14ac:dyDescent="0.2">
      <c r="A73" s="870" t="s">
        <v>481</v>
      </c>
      <c r="B73" s="870" t="s">
        <v>2005</v>
      </c>
      <c r="C73" s="887" t="str">
        <f>'Expenditures 15-22'!B285</f>
        <v>4000</v>
      </c>
      <c r="D73" s="888" t="str">
        <f>'Expenditures 15-22'!A285</f>
        <v>Total Payments to Other Govt Units</v>
      </c>
      <c r="E73" s="869"/>
      <c r="F73" s="1915">
        <f>'Expenditures 15-22'!K285</f>
        <v>0</v>
      </c>
      <c r="G73" s="866"/>
    </row>
    <row r="74" spans="1:8" x14ac:dyDescent="0.2">
      <c r="A74" s="870" t="s">
        <v>455</v>
      </c>
      <c r="B74" s="870" t="s">
        <v>2006</v>
      </c>
      <c r="C74" s="887" t="s">
        <v>914</v>
      </c>
      <c r="D74" s="888" t="s">
        <v>1566</v>
      </c>
      <c r="E74" s="869"/>
      <c r="F74" s="1919">
        <f>'Expenditures 15-22'!K334</f>
        <v>0</v>
      </c>
      <c r="G74" s="866"/>
    </row>
    <row r="75" spans="1:8" ht="5.25" customHeight="1" x14ac:dyDescent="0.2">
      <c r="A75" s="866"/>
      <c r="B75" s="876"/>
      <c r="C75" s="876"/>
      <c r="D75" s="866"/>
      <c r="E75" s="869"/>
      <c r="F75" s="883"/>
      <c r="G75" s="868"/>
    </row>
    <row r="76" spans="1:8" ht="12" thickBot="1" x14ac:dyDescent="0.25">
      <c r="A76" s="1779"/>
      <c r="B76" s="1785"/>
      <c r="C76" s="1781"/>
      <c r="D76" s="1786" t="s">
        <v>2007</v>
      </c>
      <c r="E76" s="1783" t="s">
        <v>1014</v>
      </c>
      <c r="F76" s="1787">
        <f>SUM(F18:F74)</f>
        <v>11113737</v>
      </c>
      <c r="G76" s="866"/>
    </row>
    <row r="77" spans="1:8" s="894" customFormat="1" ht="12" customHeight="1" thickTop="1" thickBot="1" x14ac:dyDescent="0.25">
      <c r="A77" s="1788"/>
      <c r="B77" s="1785"/>
      <c r="C77" s="1781"/>
      <c r="D77" s="1786" t="s">
        <v>2008</v>
      </c>
      <c r="E77" s="1783"/>
      <c r="F77" s="1789">
        <f>(F14-F76)</f>
        <v>193634583</v>
      </c>
      <c r="G77" s="870"/>
    </row>
    <row r="78" spans="1:8" s="894" customFormat="1" ht="12" customHeight="1" thickTop="1" x14ac:dyDescent="0.2">
      <c r="A78" s="1790"/>
      <c r="B78" s="1785"/>
      <c r="C78" s="1781"/>
      <c r="D78" s="1786" t="s">
        <v>2054</v>
      </c>
      <c r="E78" s="1783"/>
      <c r="F78" s="899">
        <v>13676.01</v>
      </c>
      <c r="G78" s="900"/>
      <c r="H78" s="870"/>
    </row>
    <row r="79" spans="1:8" s="894" customFormat="1" ht="12" customHeight="1" thickBot="1" x14ac:dyDescent="0.25">
      <c r="A79" s="1791"/>
      <c r="B79" s="1785"/>
      <c r="C79" s="1781"/>
      <c r="D79" s="1786" t="s">
        <v>2009</v>
      </c>
      <c r="E79" s="1783" t="s">
        <v>1014</v>
      </c>
      <c r="F79" s="1792">
        <f>IF(F78&gt;0,F77/F78," Complete Line 78")</f>
        <v>14158.704402819243</v>
      </c>
      <c r="G79" s="870"/>
    </row>
    <row r="80" spans="1:8" s="894" customFormat="1" ht="8.25" customHeight="1" thickTop="1" x14ac:dyDescent="0.2">
      <c r="A80" s="901"/>
      <c r="B80" s="870"/>
      <c r="C80" s="872"/>
      <c r="D80" s="902"/>
      <c r="E80" s="869"/>
      <c r="F80" s="903"/>
      <c r="G80" s="870"/>
    </row>
    <row r="81" spans="1:7" s="894" customFormat="1" ht="12" thickBot="1" x14ac:dyDescent="0.25">
      <c r="A81" s="2280" t="s">
        <v>1166</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09">
        <f>'Revenues 9-14'!F42</f>
        <v>0</v>
      </c>
      <c r="G84" s="913"/>
    </row>
    <row r="85" spans="1:7" x14ac:dyDescent="0.2">
      <c r="A85" s="909" t="s">
        <v>480</v>
      </c>
      <c r="B85" s="909" t="s">
        <v>192</v>
      </c>
      <c r="C85" s="914">
        <f>'Revenues 9-14'!B44</f>
        <v>1413</v>
      </c>
      <c r="D85" s="912" t="str">
        <f>'Revenues 9-14'!A44</f>
        <v>Regular - Transp Fees from Other Sources (In State)</v>
      </c>
      <c r="E85" s="907"/>
      <c r="F85" s="1798">
        <f>'Revenues 9-14'!F44</f>
        <v>0</v>
      </c>
      <c r="G85" s="915"/>
    </row>
    <row r="86" spans="1:7" x14ac:dyDescent="0.2">
      <c r="A86" s="909" t="s">
        <v>480</v>
      </c>
      <c r="B86" s="909" t="s">
        <v>168</v>
      </c>
      <c r="C86" s="911">
        <f>'Revenues 9-14'!B45</f>
        <v>1415</v>
      </c>
      <c r="D86" s="912" t="str">
        <f>'Revenues 9-14'!A45</f>
        <v>Regular - Transp Fees from Co-curricular Activities (In State)</v>
      </c>
      <c r="E86" s="907"/>
      <c r="F86" s="1798">
        <f>'Revenues 9-14'!F45</f>
        <v>0</v>
      </c>
      <c r="G86" s="915"/>
    </row>
    <row r="87" spans="1:7" x14ac:dyDescent="0.2">
      <c r="A87" s="909" t="s">
        <v>480</v>
      </c>
      <c r="B87" s="909" t="s">
        <v>169</v>
      </c>
      <c r="C87" s="911">
        <v>1416</v>
      </c>
      <c r="D87" s="912" t="str">
        <f>'Revenues 9-14'!A46</f>
        <v>Regular Transp Fees from Other Sources (Out of State)</v>
      </c>
      <c r="E87" s="907"/>
      <c r="F87" s="1798">
        <f>'Revenues 9-14'!F46</f>
        <v>0</v>
      </c>
      <c r="G87" s="915"/>
    </row>
    <row r="88" spans="1:7" x14ac:dyDescent="0.2">
      <c r="A88" s="909" t="s">
        <v>480</v>
      </c>
      <c r="B88" s="909" t="s">
        <v>170</v>
      </c>
      <c r="C88" s="911">
        <f>'Revenues 9-14'!B51</f>
        <v>1431</v>
      </c>
      <c r="D88" s="912" t="str">
        <f>'Revenues 9-14'!A51</f>
        <v>CTE - Transp Fees from Pupils or Parents (In State)</v>
      </c>
      <c r="E88" s="907"/>
      <c r="F88" s="1798">
        <f>'Revenues 9-14'!F51</f>
        <v>0</v>
      </c>
      <c r="G88" s="915"/>
    </row>
    <row r="89" spans="1:7" x14ac:dyDescent="0.2">
      <c r="A89" s="909" t="s">
        <v>480</v>
      </c>
      <c r="B89" s="909" t="s">
        <v>171</v>
      </c>
      <c r="C89" s="911">
        <f>'Revenues 9-14'!B53</f>
        <v>1433</v>
      </c>
      <c r="D89" s="912" t="str">
        <f>'Revenues 9-14'!A53</f>
        <v>CTE - Transp Fees from Other Sources (In State)</v>
      </c>
      <c r="E89" s="907"/>
      <c r="F89" s="1798">
        <f>'Revenues 9-14'!F53</f>
        <v>0</v>
      </c>
      <c r="G89" s="915"/>
    </row>
    <row r="90" spans="1:7" x14ac:dyDescent="0.2">
      <c r="A90" s="909" t="s">
        <v>480</v>
      </c>
      <c r="B90" s="909" t="s">
        <v>172</v>
      </c>
      <c r="C90" s="911">
        <f>'Revenues 9-14'!B54</f>
        <v>1434</v>
      </c>
      <c r="D90" s="912" t="str">
        <f>'Revenues 9-14'!A54</f>
        <v>CTE - Transp Fees from Other Sources (Out of State)</v>
      </c>
      <c r="E90" s="907"/>
      <c r="F90" s="1798">
        <f>'Revenues 9-14'!F54</f>
        <v>0</v>
      </c>
      <c r="G90" s="915"/>
    </row>
    <row r="91" spans="1:7" x14ac:dyDescent="0.2">
      <c r="A91" s="909" t="s">
        <v>480</v>
      </c>
      <c r="B91" s="909" t="s">
        <v>173</v>
      </c>
      <c r="C91" s="916">
        <f>'Revenues 9-14'!B55</f>
        <v>1441</v>
      </c>
      <c r="D91" s="912" t="str">
        <f>'Revenues 9-14'!A55</f>
        <v>Special Ed - Transp Fees from Pupils or Parents (In State)</v>
      </c>
      <c r="E91" s="907"/>
      <c r="F91" s="1798">
        <f>'Revenues 9-14'!F55</f>
        <v>0</v>
      </c>
      <c r="G91" s="915"/>
    </row>
    <row r="92" spans="1:7" x14ac:dyDescent="0.2">
      <c r="A92" s="909" t="s">
        <v>480</v>
      </c>
      <c r="B92" s="909" t="s">
        <v>174</v>
      </c>
      <c r="C92" s="911">
        <f>'Revenues 9-14'!B57</f>
        <v>1443</v>
      </c>
      <c r="D92" s="912" t="str">
        <f>'Revenues 9-14'!A57</f>
        <v>Special Ed - Transp Fees from Other Sources (In State)</v>
      </c>
      <c r="E92" s="907"/>
      <c r="F92" s="1798">
        <f>'Revenues 9-14'!F57</f>
        <v>0</v>
      </c>
      <c r="G92" s="917"/>
    </row>
    <row r="93" spans="1:7" x14ac:dyDescent="0.2">
      <c r="A93" s="909" t="s">
        <v>480</v>
      </c>
      <c r="B93" s="909" t="s">
        <v>175</v>
      </c>
      <c r="C93" s="911">
        <f>'Revenues 9-14'!B58</f>
        <v>1444</v>
      </c>
      <c r="D93" s="912" t="str">
        <f>'Revenues 9-14'!A58</f>
        <v>Special Ed - Transp Fees from Other Sources (Out of State)</v>
      </c>
      <c r="E93" s="907"/>
      <c r="F93" s="1798">
        <f>'Revenues 9-14'!F58</f>
        <v>0</v>
      </c>
      <c r="G93" s="917"/>
    </row>
    <row r="94" spans="1:7" x14ac:dyDescent="0.2">
      <c r="A94" s="909" t="s">
        <v>478</v>
      </c>
      <c r="B94" s="909" t="s">
        <v>176</v>
      </c>
      <c r="C94" s="911">
        <v>1600</v>
      </c>
      <c r="D94" s="918" t="str">
        <f>'Revenues 9-14'!A75</f>
        <v>Total Food Service</v>
      </c>
      <c r="E94" s="907"/>
      <c r="F94" s="1798">
        <f>'Revenues 9-14'!C75</f>
        <v>161786</v>
      </c>
      <c r="G94" s="913"/>
    </row>
    <row r="95" spans="1:7" x14ac:dyDescent="0.2">
      <c r="A95" s="909" t="s">
        <v>142</v>
      </c>
      <c r="B95" s="909" t="s">
        <v>177</v>
      </c>
      <c r="C95" s="911">
        <v>1700</v>
      </c>
      <c r="D95" s="919" t="str">
        <f>'Revenues 9-14'!A82</f>
        <v>Total District/School Activity Income</v>
      </c>
      <c r="E95" s="907"/>
      <c r="F95" s="1798">
        <f>SUM('Revenues 9-14'!C82,'Revenues 9-14'!D82)</f>
        <v>162564</v>
      </c>
      <c r="G95" s="913"/>
    </row>
    <row r="96" spans="1:7" x14ac:dyDescent="0.2">
      <c r="A96" s="909" t="s">
        <v>478</v>
      </c>
      <c r="B96" s="909" t="s">
        <v>178</v>
      </c>
      <c r="C96" s="911">
        <f>'Revenues 9-14'!B84</f>
        <v>1811</v>
      </c>
      <c r="D96" s="912" t="str">
        <f>'Revenues 9-14'!A84</f>
        <v>Rentals - Regular Textbooks</v>
      </c>
      <c r="E96" s="907"/>
      <c r="F96" s="1798">
        <f>'Revenues 9-14'!C84</f>
        <v>356017</v>
      </c>
      <c r="G96" s="913"/>
    </row>
    <row r="97" spans="1:7" x14ac:dyDescent="0.2">
      <c r="A97" s="909" t="s">
        <v>478</v>
      </c>
      <c r="B97" s="909" t="s">
        <v>179</v>
      </c>
      <c r="C97" s="911">
        <f>'Revenues 9-14'!B87</f>
        <v>1819</v>
      </c>
      <c r="D97" s="912" t="str">
        <f>'Revenues 9-14'!A87</f>
        <v>Rentals - Other (Describe &amp; Itemize)</v>
      </c>
      <c r="E97" s="907"/>
      <c r="F97" s="1798">
        <f>'Revenues 9-14'!C87</f>
        <v>0</v>
      </c>
      <c r="G97" s="913"/>
    </row>
    <row r="98" spans="1:7" x14ac:dyDescent="0.2">
      <c r="A98" s="909" t="s">
        <v>478</v>
      </c>
      <c r="B98" s="909" t="s">
        <v>180</v>
      </c>
      <c r="C98" s="911">
        <f>'Revenues 9-14'!B88</f>
        <v>1821</v>
      </c>
      <c r="D98" s="912" t="str">
        <f>'Revenues 9-14'!A88</f>
        <v>Sales - Regular Textbooks</v>
      </c>
      <c r="E98" s="907"/>
      <c r="F98" s="1798">
        <f>'Revenues 9-14'!C88</f>
        <v>0</v>
      </c>
      <c r="G98" s="913"/>
    </row>
    <row r="99" spans="1:7" x14ac:dyDescent="0.2">
      <c r="A99" s="909" t="s">
        <v>478</v>
      </c>
      <c r="B99" s="909" t="s">
        <v>181</v>
      </c>
      <c r="C99" s="911">
        <f>'Revenues 9-14'!B91</f>
        <v>1829</v>
      </c>
      <c r="D99" s="912" t="str">
        <f>'Revenues 9-14'!A91</f>
        <v>Sales - Other (Describe &amp; Itemize)</v>
      </c>
      <c r="E99" s="907"/>
      <c r="F99" s="1798">
        <f>'Revenues 9-14'!C91</f>
        <v>0</v>
      </c>
      <c r="G99" s="913"/>
    </row>
    <row r="100" spans="1:7" x14ac:dyDescent="0.2">
      <c r="A100" s="909" t="s">
        <v>478</v>
      </c>
      <c r="B100" s="909" t="s">
        <v>182</v>
      </c>
      <c r="C100" s="911">
        <f>'Revenues 9-14'!B92</f>
        <v>1890</v>
      </c>
      <c r="D100" s="912" t="str">
        <f>'Revenues 9-14'!A92</f>
        <v>Other (Describe &amp; Itemize)</v>
      </c>
      <c r="E100" s="907"/>
      <c r="F100" s="1798">
        <f>'Revenues 9-14'!C92</f>
        <v>0</v>
      </c>
      <c r="G100" s="913"/>
    </row>
    <row r="101" spans="1:7" x14ac:dyDescent="0.2">
      <c r="A101" s="909" t="s">
        <v>142</v>
      </c>
      <c r="B101" s="909" t="s">
        <v>183</v>
      </c>
      <c r="C101" s="911">
        <f>'Revenues 9-14'!B95</f>
        <v>1910</v>
      </c>
      <c r="D101" s="912" t="str">
        <f>'Revenues 9-14'!A95</f>
        <v>Rentals</v>
      </c>
      <c r="E101" s="907"/>
      <c r="F101" s="1798">
        <f>SUM('Revenues 9-14'!C95:D95)</f>
        <v>96060</v>
      </c>
      <c r="G101" s="913"/>
    </row>
    <row r="102" spans="1:7" x14ac:dyDescent="0.2">
      <c r="A102" s="909" t="s">
        <v>523</v>
      </c>
      <c r="B102" s="909" t="s">
        <v>184</v>
      </c>
      <c r="C102" s="911">
        <f>'Revenues 9-14'!B98</f>
        <v>1940</v>
      </c>
      <c r="D102" s="912" t="str">
        <f>'Revenues 9-14'!A98</f>
        <v>Services Provided Other Districts</v>
      </c>
      <c r="E102" s="907"/>
      <c r="F102" s="1798">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98">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98">
        <f>('Revenues 9-14'!C106)</f>
        <v>0</v>
      </c>
      <c r="G104" s="913"/>
    </row>
    <row r="105" spans="1:7" x14ac:dyDescent="0.2">
      <c r="A105" s="909" t="s">
        <v>523</v>
      </c>
      <c r="B105" s="909" t="s">
        <v>841</v>
      </c>
      <c r="C105" s="914">
        <v>3100</v>
      </c>
      <c r="D105" s="920" t="str">
        <f>'Revenues 9-14'!A131</f>
        <v>Total Special Education</v>
      </c>
      <c r="E105" s="907"/>
      <c r="F105" s="1798">
        <f>SUM('Revenues 9-14'!C131:D131,'Revenues 9-14'!F131)</f>
        <v>5361895</v>
      </c>
      <c r="G105" s="913"/>
    </row>
    <row r="106" spans="1:7" x14ac:dyDescent="0.2">
      <c r="A106" s="909" t="s">
        <v>693</v>
      </c>
      <c r="B106" s="909" t="s">
        <v>1482</v>
      </c>
      <c r="C106" s="921">
        <v>3200</v>
      </c>
      <c r="D106" s="912" t="str">
        <f>'Revenues 9-14'!A140</f>
        <v>Total Career and Technical Education</v>
      </c>
      <c r="E106" s="907"/>
      <c r="F106" s="1798">
        <f>SUM('Revenues 9-14'!C140,'Revenues 9-14'!D140,'Revenues 9-14'!G140)</f>
        <v>81309</v>
      </c>
      <c r="G106" s="913"/>
    </row>
    <row r="107" spans="1:7" x14ac:dyDescent="0.2">
      <c r="A107" s="922" t="s">
        <v>684</v>
      </c>
      <c r="B107" s="909" t="s">
        <v>842</v>
      </c>
      <c r="C107" s="921">
        <v>3300</v>
      </c>
      <c r="D107" s="912" t="str">
        <f>'Revenues 9-14'!A144</f>
        <v>Total Bilingual Ed</v>
      </c>
      <c r="E107" s="907"/>
      <c r="F107" s="1798">
        <f>SUM('Revenues 9-14'!C144,'Revenues 9-14'!G144)</f>
        <v>2451635</v>
      </c>
      <c r="G107" s="913"/>
    </row>
    <row r="108" spans="1:7" x14ac:dyDescent="0.2">
      <c r="A108" s="909" t="s">
        <v>478</v>
      </c>
      <c r="B108" s="909" t="s">
        <v>843</v>
      </c>
      <c r="C108" s="921">
        <f>'Revenues 9-14'!B145</f>
        <v>3360</v>
      </c>
      <c r="D108" s="912" t="str">
        <f>'Revenues 9-14'!A145</f>
        <v>State Free Lunch &amp; Breakfast</v>
      </c>
      <c r="E108" s="907"/>
      <c r="F108" s="1798">
        <f>'Revenues 9-14'!C145</f>
        <v>144373</v>
      </c>
      <c r="G108" s="913"/>
    </row>
    <row r="109" spans="1:7" x14ac:dyDescent="0.2">
      <c r="A109" s="909" t="s">
        <v>693</v>
      </c>
      <c r="B109" s="909" t="s">
        <v>844</v>
      </c>
      <c r="C109" s="921">
        <f>'Revenues 9-14'!B146</f>
        <v>3365</v>
      </c>
      <c r="D109" s="912" t="str">
        <f>'Revenues 9-14'!A146</f>
        <v>School Breakfast Initiative</v>
      </c>
      <c r="E109" s="907"/>
      <c r="F109" s="1798">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98">
        <f>SUM('Revenues 9-14'!C147,'Revenues 9-14'!D147)</f>
        <v>58970</v>
      </c>
      <c r="G110" s="913"/>
    </row>
    <row r="111" spans="1:7" x14ac:dyDescent="0.2">
      <c r="A111" s="909" t="s">
        <v>688</v>
      </c>
      <c r="B111" s="909" t="s">
        <v>801</v>
      </c>
      <c r="C111" s="923">
        <v>3500</v>
      </c>
      <c r="D111" s="912" t="str">
        <f>'Revenues 9-14'!A154</f>
        <v>Total Transportation</v>
      </c>
      <c r="E111" s="907"/>
      <c r="F111" s="1798">
        <f>SUM('Revenues 9-14'!C154,'Revenues 9-14'!D154,'Revenues 9-14'!F154,'Revenues 9-14'!G154)</f>
        <v>7953485</v>
      </c>
      <c r="G111" s="913"/>
    </row>
    <row r="112" spans="1:7" x14ac:dyDescent="0.2">
      <c r="A112" s="909" t="s">
        <v>478</v>
      </c>
      <c r="B112" s="909" t="s">
        <v>846</v>
      </c>
      <c r="C112" s="921">
        <f>'Revenues 9-14'!B155</f>
        <v>3610</v>
      </c>
      <c r="D112" s="912" t="str">
        <f>'Revenues 9-14'!A155</f>
        <v>Learning Improvement - Change Grants</v>
      </c>
      <c r="E112" s="907"/>
      <c r="F112" s="1798">
        <f>'Revenues 9-14'!C155</f>
        <v>0</v>
      </c>
      <c r="G112" s="913"/>
    </row>
    <row r="113" spans="1:7" x14ac:dyDescent="0.2">
      <c r="A113" s="909" t="s">
        <v>688</v>
      </c>
      <c r="B113" s="909" t="s">
        <v>847</v>
      </c>
      <c r="C113" s="921">
        <f>'Revenues 9-14'!B156</f>
        <v>3660</v>
      </c>
      <c r="D113" s="912" t="str">
        <f>'Revenues 9-14'!A156</f>
        <v>Scientific Literacy</v>
      </c>
      <c r="E113" s="907"/>
      <c r="F113" s="1798">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98">
        <f>SUM('Revenues 9-14'!C157,'Revenues 9-14'!F157,'Revenues 9-14'!G157)</f>
        <v>131291</v>
      </c>
      <c r="G114" s="913"/>
    </row>
    <row r="115" spans="1:7" x14ac:dyDescent="0.2">
      <c r="A115" s="909" t="s">
        <v>5</v>
      </c>
      <c r="B115" s="909" t="s">
        <v>185</v>
      </c>
      <c r="C115" s="921">
        <f>'Revenues 9-14'!B159</f>
        <v>3715</v>
      </c>
      <c r="D115" s="912" t="str">
        <f>'Revenues 9-14'!A159</f>
        <v>Reading Improvement Block Grant</v>
      </c>
      <c r="E115" s="907"/>
      <c r="F115" s="179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8">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08">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98">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98">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09">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09">
        <f>SUM('Revenues 9-14'!C166:G166)</f>
        <v>0</v>
      </c>
      <c r="G122" s="913"/>
    </row>
    <row r="123" spans="1:7" x14ac:dyDescent="0.2">
      <c r="A123" s="924" t="s">
        <v>524</v>
      </c>
      <c r="B123" s="924" t="s">
        <v>852</v>
      </c>
      <c r="C123" s="925">
        <f>'Revenues 9-14'!B167</f>
        <v>3815</v>
      </c>
      <c r="D123" s="926" t="str">
        <f>'Revenues 9-14'!A167</f>
        <v>State Charter Schools</v>
      </c>
      <c r="E123" s="907"/>
      <c r="F123" s="1909">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98">
        <f>'Revenues 9-14'!D170</f>
        <v>0</v>
      </c>
      <c r="G124" s="931"/>
    </row>
    <row r="125" spans="1:7" x14ac:dyDescent="0.2">
      <c r="A125" s="928" t="s">
        <v>520</v>
      </c>
      <c r="B125" s="928" t="s">
        <v>854</v>
      </c>
      <c r="C125" s="929">
        <f>'Revenues 9-14'!B171</f>
        <v>3999</v>
      </c>
      <c r="D125" s="930" t="s">
        <v>563</v>
      </c>
      <c r="E125" s="932"/>
      <c r="F125" s="1798">
        <f>SUM('Revenues 9-14'!C171:G171,'Revenues 9-14'!J171)</f>
        <v>482594</v>
      </c>
      <c r="G125" s="931"/>
    </row>
    <row r="126" spans="1:7" x14ac:dyDescent="0.2">
      <c r="A126" s="928" t="s">
        <v>478</v>
      </c>
      <c r="B126" s="928" t="s">
        <v>855</v>
      </c>
      <c r="C126" s="933">
        <f>'Revenues 9-14'!B180</f>
        <v>4045</v>
      </c>
      <c r="D126" s="930" t="str">
        <f>'Revenues 9-14'!A180 &amp; " (Subtract)"</f>
        <v>Head Start (Subtract)</v>
      </c>
      <c r="E126" s="907"/>
      <c r="F126" s="1798">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98">
        <f>SUM('Revenues 9-14'!C184,'Revenues 9-14'!D184,'Revenues 9-14'!F184,'Revenues 9-14'!G184)</f>
        <v>0</v>
      </c>
      <c r="G127" s="931"/>
    </row>
    <row r="128" spans="1:7" x14ac:dyDescent="0.2">
      <c r="A128" s="928" t="s">
        <v>688</v>
      </c>
      <c r="B128" s="928" t="s">
        <v>857</v>
      </c>
      <c r="C128" s="933">
        <v>4100</v>
      </c>
      <c r="D128" s="934" t="str">
        <f>'Revenues 9-14'!A191</f>
        <v>Total Title V</v>
      </c>
      <c r="E128" s="907"/>
      <c r="F128" s="1798">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98">
        <f>SUM('Revenues 9-14'!C201,'Revenues 9-14'!G201)</f>
        <v>8599618</v>
      </c>
      <c r="G129" s="931"/>
    </row>
    <row r="130" spans="1:7" x14ac:dyDescent="0.2">
      <c r="A130" s="928" t="s">
        <v>688</v>
      </c>
      <c r="B130" s="928" t="s">
        <v>803</v>
      </c>
      <c r="C130" s="933">
        <v>4300</v>
      </c>
      <c r="D130" s="934" t="str">
        <f>'Revenues 9-14'!A211</f>
        <v>Total Title I</v>
      </c>
      <c r="E130" s="907"/>
      <c r="F130" s="1798">
        <f>SUM('Revenues 9-14'!C211,'Revenues 9-14'!D211,'Revenues 9-14'!F211,'Revenues 9-14'!G211)</f>
        <v>6537664</v>
      </c>
      <c r="G130" s="931"/>
    </row>
    <row r="131" spans="1:7" x14ac:dyDescent="0.2">
      <c r="A131" s="928" t="s">
        <v>688</v>
      </c>
      <c r="B131" s="928" t="s">
        <v>804</v>
      </c>
      <c r="C131" s="933">
        <v>4400</v>
      </c>
      <c r="D131" s="934" t="str">
        <f>'Revenues 9-14'!A216</f>
        <v>Total Title IV</v>
      </c>
      <c r="E131" s="907"/>
      <c r="F131" s="1798">
        <f>SUM('Revenues 9-14'!C216,'Revenues 9-14'!D216,'Revenues 9-14'!F216,'Revenues 9-14'!G216)</f>
        <v>40659</v>
      </c>
      <c r="G131" s="931"/>
    </row>
    <row r="132" spans="1:7" x14ac:dyDescent="0.2">
      <c r="A132" s="928" t="s">
        <v>688</v>
      </c>
      <c r="B132" s="928" t="s">
        <v>190</v>
      </c>
      <c r="C132" s="933">
        <f>'Revenues 9-14'!B220</f>
        <v>4620</v>
      </c>
      <c r="D132" s="934" t="str">
        <f>'Revenues 9-14'!A220</f>
        <v>Fed - Spec Education - IDEA - Flow Through</v>
      </c>
      <c r="E132" s="907"/>
      <c r="F132" s="1798">
        <f>SUM('Revenues 9-14'!C220:D220,'Revenues 9-14'!F220:G220)</f>
        <v>2840346</v>
      </c>
      <c r="G132" s="931"/>
    </row>
    <row r="133" spans="1:7" x14ac:dyDescent="0.2">
      <c r="A133" s="928" t="s">
        <v>688</v>
      </c>
      <c r="B133" s="928" t="s">
        <v>191</v>
      </c>
      <c r="C133" s="933">
        <f>'Revenues 9-14'!B221</f>
        <v>4625</v>
      </c>
      <c r="D133" s="934" t="str">
        <f>'Revenues 9-14'!A221</f>
        <v>Fed - Spec Education - IDEA - Room &amp; Board</v>
      </c>
      <c r="E133" s="907"/>
      <c r="F133" s="1798">
        <f>SUM('Revenues 9-14'!C221,'Revenues 9-14'!D221,'Revenues 9-14'!F221,'Revenues 9-14'!G221)</f>
        <v>1662</v>
      </c>
      <c r="G133" s="931"/>
    </row>
    <row r="134" spans="1:7" x14ac:dyDescent="0.2">
      <c r="A134" s="928" t="s">
        <v>688</v>
      </c>
      <c r="B134" s="928" t="s">
        <v>858</v>
      </c>
      <c r="C134" s="933">
        <f>'Revenues 9-14'!B222</f>
        <v>4630</v>
      </c>
      <c r="D134" s="934" t="str">
        <f>'Revenues 9-14'!A222</f>
        <v>Fed - Spec Education - IDEA - Discretionary</v>
      </c>
      <c r="E134" s="907"/>
      <c r="F134" s="1798">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98">
        <f>SUM('Revenues 9-14'!C223:D223,'Revenues 9-14'!F223:G223)</f>
        <v>0</v>
      </c>
      <c r="G135" s="931"/>
    </row>
    <row r="136" spans="1:7" x14ac:dyDescent="0.2">
      <c r="A136" s="928" t="s">
        <v>693</v>
      </c>
      <c r="B136" s="928" t="s">
        <v>806</v>
      </c>
      <c r="C136" s="933">
        <v>4700</v>
      </c>
      <c r="D136" s="930" t="str">
        <f>'Revenues 9-14'!A228</f>
        <v>Total CTE - Perkins</v>
      </c>
      <c r="E136" s="907"/>
      <c r="F136" s="1798">
        <f>SUM('Revenues 9-14'!C228,'Revenues 9-14'!D228,'Revenues 9-14'!G228)</f>
        <v>66762</v>
      </c>
      <c r="G136" s="931">
        <v>6303</v>
      </c>
    </row>
    <row r="137" spans="1:7" s="868" customFormat="1" hidden="1" x14ac:dyDescent="0.2">
      <c r="A137" s="935" t="s">
        <v>215</v>
      </c>
      <c r="B137" s="935" t="s">
        <v>1483</v>
      </c>
      <c r="C137" s="936" t="s">
        <v>216</v>
      </c>
      <c r="D137" s="937" t="str">
        <f>'Revenues 9-14'!A231</f>
        <v>ARRA - Title I - Low Income</v>
      </c>
      <c r="E137" s="938"/>
      <c r="F137" s="1909">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79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8">
        <v>0</v>
      </c>
      <c r="G142" s="906"/>
    </row>
    <row r="143" spans="1:7" s="868" customFormat="1" hidden="1" x14ac:dyDescent="0.2">
      <c r="A143" s="935" t="s">
        <v>215</v>
      </c>
      <c r="B143" s="935" t="s">
        <v>228</v>
      </c>
      <c r="C143" s="936" t="s">
        <v>225</v>
      </c>
      <c r="D143" s="937" t="str">
        <f>'Revenues 9-14'!A237</f>
        <v>ARRA - IDEA - Part B - Flow-Through</v>
      </c>
      <c r="E143" s="938"/>
      <c r="F143" s="1798">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98">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798">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79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8">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79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8">
        <v>0</v>
      </c>
      <c r="G155" s="906"/>
    </row>
    <row r="156" spans="1:7" s="868" customFormat="1" hidden="1" x14ac:dyDescent="0.2">
      <c r="A156" s="935" t="s">
        <v>215</v>
      </c>
      <c r="B156" s="935" t="s">
        <v>250</v>
      </c>
      <c r="C156" s="936" t="s">
        <v>247</v>
      </c>
      <c r="D156" s="937" t="str">
        <f>'Revenues 9-14'!A254</f>
        <v>Other ARRA Funds VII</v>
      </c>
      <c r="E156" s="938"/>
      <c r="F156" s="179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8">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98">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798">
        <f>SUM('Revenues 9-14'!C258:G258,'Revenues 9-14'!J258)</f>
        <v>0</v>
      </c>
      <c r="G160" s="906"/>
    </row>
    <row r="161" spans="1:7" s="868" customFormat="1" x14ac:dyDescent="0.2">
      <c r="A161" s="939" t="s">
        <v>520</v>
      </c>
      <c r="B161" s="940" t="s">
        <v>1563</v>
      </c>
      <c r="C161" s="941" t="s">
        <v>895</v>
      </c>
      <c r="D161" s="942" t="s">
        <v>807</v>
      </c>
      <c r="E161" s="943"/>
      <c r="F161" s="1798">
        <f>SUM(F137:F160)</f>
        <v>0</v>
      </c>
      <c r="G161" s="906"/>
    </row>
    <row r="162" spans="1:7" s="868" customFormat="1" x14ac:dyDescent="0.2">
      <c r="A162" s="939" t="s">
        <v>478</v>
      </c>
      <c r="B162" s="940" t="s">
        <v>1500</v>
      </c>
      <c r="C162" s="941" t="s">
        <v>1498</v>
      </c>
      <c r="D162" s="942" t="s">
        <v>1499</v>
      </c>
      <c r="E162" s="943"/>
      <c r="F162" s="1798">
        <f>SUM('Revenues 9-14'!C260)</f>
        <v>0</v>
      </c>
      <c r="G162" s="906"/>
    </row>
    <row r="163" spans="1:7" s="868" customFormat="1" x14ac:dyDescent="0.2">
      <c r="A163" s="939" t="s">
        <v>520</v>
      </c>
      <c r="B163" s="940" t="s">
        <v>1540</v>
      </c>
      <c r="C163" s="941" t="s">
        <v>1541</v>
      </c>
      <c r="D163" s="942" t="s">
        <v>1542</v>
      </c>
      <c r="E163" s="943"/>
      <c r="F163" s="1798">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798">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98">
        <f>SUM('Revenues 9-14'!C263,'Revenues 9-14'!F263,'Revenues 9-14'!G263)</f>
        <v>57610</v>
      </c>
      <c r="G165" s="944">
        <v>6306</v>
      </c>
    </row>
    <row r="166" spans="1:7" x14ac:dyDescent="0.2">
      <c r="A166" s="928" t="s">
        <v>5</v>
      </c>
      <c r="B166" s="928" t="s">
        <v>1501</v>
      </c>
      <c r="C166" s="933">
        <f>'Revenues 9-14'!B264</f>
        <v>4909</v>
      </c>
      <c r="D166" s="930" t="str">
        <f>'Revenues 9-14'!A264</f>
        <v>Title III - Language Inst Program - Limited Eng (LIPLEP)</v>
      </c>
      <c r="E166" s="907"/>
      <c r="F166" s="1798">
        <f>SUM('Revenues 9-14'!C264,'Revenues 9-14'!F264,'Revenues 9-14'!G264)</f>
        <v>442539</v>
      </c>
      <c r="G166" s="944"/>
    </row>
    <row r="167" spans="1:7" x14ac:dyDescent="0.2">
      <c r="A167" s="928" t="s">
        <v>5</v>
      </c>
      <c r="B167" s="928" t="s">
        <v>1556</v>
      </c>
      <c r="C167" s="933">
        <f>'Revenues 9-14'!B265</f>
        <v>4910</v>
      </c>
      <c r="D167" s="930" t="str">
        <f>'Revenues 9-14'!A265</f>
        <v>Learn &amp; Serve America</v>
      </c>
      <c r="E167" s="907"/>
      <c r="F167" s="1798">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98">
        <f>SUM('Revenues 9-14'!C266,'Revenues 9-14'!D266,'Revenues 9-14'!F266,'Revenues 9-14'!G266)</f>
        <v>5000</v>
      </c>
      <c r="G168" s="931"/>
    </row>
    <row r="169" spans="1:7" x14ac:dyDescent="0.2">
      <c r="A169" s="945" t="s">
        <v>688</v>
      </c>
      <c r="B169" s="945" t="s">
        <v>707</v>
      </c>
      <c r="C169" s="946">
        <f>'Revenues 9-14'!B267</f>
        <v>4930</v>
      </c>
      <c r="D169" s="947" t="str">
        <f>'Revenues 9-14'!A267</f>
        <v>Title II - Eisenhower Professional Development Formula</v>
      </c>
      <c r="E169" s="927"/>
      <c r="F169" s="1909">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09">
        <f>SUM('Revenues 9-14'!C268,'Revenues 9-14'!D268,'Revenues 9-14'!F268,'Revenues 9-14'!G268)</f>
        <v>176094</v>
      </c>
      <c r="G170" s="931"/>
    </row>
    <row r="171" spans="1:7" x14ac:dyDescent="0.2">
      <c r="A171" s="928" t="s">
        <v>688</v>
      </c>
      <c r="B171" s="928" t="s">
        <v>863</v>
      </c>
      <c r="C171" s="933">
        <f>'Revenues 9-14'!B269</f>
        <v>4960</v>
      </c>
      <c r="D171" s="930" t="str">
        <f>'Revenues 9-14'!A269</f>
        <v>Federal Charter Schools</v>
      </c>
      <c r="E171" s="907"/>
      <c r="F171" s="1798">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98">
        <f>SUM('Revenues 9-14'!C270:D270,'Revenues 9-14'!F270:G270)</f>
        <v>257214</v>
      </c>
      <c r="G172" s="948">
        <v>6320</v>
      </c>
    </row>
    <row r="173" spans="1:7" x14ac:dyDescent="0.2">
      <c r="A173" s="928" t="s">
        <v>688</v>
      </c>
      <c r="B173" s="928" t="s">
        <v>1502</v>
      </c>
      <c r="C173" s="933">
        <f>'Revenues 9-14'!B271</f>
        <v>4992</v>
      </c>
      <c r="D173" s="934" t="str">
        <f>'Revenues 9-14'!A271</f>
        <v>Medicaid Matching Funds - Fee-for-Service Program</v>
      </c>
      <c r="E173" s="907"/>
      <c r="F173" s="1798">
        <f>SUM('Revenues 9-14'!C271:D271,'Revenues 9-14'!F271:G271)</f>
        <v>1085240</v>
      </c>
      <c r="G173" s="948"/>
    </row>
    <row r="174" spans="1:7" x14ac:dyDescent="0.2">
      <c r="A174" s="949" t="s">
        <v>688</v>
      </c>
      <c r="B174" s="945" t="s">
        <v>1557</v>
      </c>
      <c r="C174" s="946">
        <f>'Revenues 9-14'!B272</f>
        <v>4999</v>
      </c>
      <c r="D174" s="947" t="str">
        <f>'Revenues 9-14'!A272</f>
        <v>Other Restricted Revenue from Federal Sources (Describe &amp; Itemize)</v>
      </c>
      <c r="E174" s="907"/>
      <c r="F174" s="1798">
        <f>SUM('Revenues 9-14'!C272:D272,'Revenues 9-14'!F272:G272)</f>
        <v>672980</v>
      </c>
      <c r="G174" s="928"/>
    </row>
    <row r="175" spans="1:7" x14ac:dyDescent="0.2">
      <c r="A175" s="1920" t="s">
        <v>5</v>
      </c>
      <c r="B175" s="1921" t="s">
        <v>2053</v>
      </c>
      <c r="C175" s="1922">
        <v>3100</v>
      </c>
      <c r="D175" s="1923" t="s">
        <v>2056</v>
      </c>
      <c r="E175" s="907"/>
      <c r="F175" s="1907"/>
      <c r="G175" s="928"/>
    </row>
    <row r="176" spans="1:7" x14ac:dyDescent="0.2">
      <c r="A176" s="1920" t="s">
        <v>684</v>
      </c>
      <c r="B176" s="1921" t="s">
        <v>2053</v>
      </c>
      <c r="C176" s="1922">
        <v>3300</v>
      </c>
      <c r="D176" s="1923" t="s">
        <v>2057</v>
      </c>
      <c r="E176" s="907"/>
      <c r="F176" s="1907"/>
      <c r="G176" s="928"/>
    </row>
    <row r="177" spans="1:7" ht="6" customHeight="1" x14ac:dyDescent="0.2">
      <c r="A177" s="928"/>
      <c r="B177" s="928"/>
      <c r="C177" s="950"/>
      <c r="D177" s="928"/>
      <c r="E177" s="907"/>
      <c r="F177" s="951"/>
      <c r="G177" s="948"/>
    </row>
    <row r="178" spans="1:7" x14ac:dyDescent="0.2">
      <c r="A178" s="1779"/>
      <c r="B178" s="1793"/>
      <c r="C178" s="1794"/>
      <c r="D178" s="1795" t="s">
        <v>2010</v>
      </c>
      <c r="E178" s="1796" t="s">
        <v>1014</v>
      </c>
      <c r="F178" s="1797">
        <f>SUM(F84:F136,F161:F176)</f>
        <v>38225367</v>
      </c>
    </row>
    <row r="179" spans="1:7" ht="12" customHeight="1" x14ac:dyDescent="0.2">
      <c r="A179" s="1779"/>
      <c r="B179" s="1793"/>
      <c r="C179" s="1794"/>
      <c r="D179" s="1795" t="s">
        <v>2011</v>
      </c>
      <c r="E179" s="1796"/>
      <c r="F179" s="1798">
        <f>'PCTC-OEPP 27-28'!F77-F178</f>
        <v>155409216</v>
      </c>
    </row>
    <row r="180" spans="1:7" ht="12" customHeight="1" x14ac:dyDescent="0.2">
      <c r="A180" s="1779"/>
      <c r="B180" s="1793"/>
      <c r="C180" s="1794"/>
      <c r="D180" s="1795" t="s">
        <v>1921</v>
      </c>
      <c r="E180" s="1796"/>
      <c r="F180" s="1798">
        <f>'Cap Outlay Deprec 26'!I18</f>
        <v>4958091.7</v>
      </c>
    </row>
    <row r="181" spans="1:7" ht="12" customHeight="1" x14ac:dyDescent="0.2">
      <c r="A181" s="1779"/>
      <c r="B181" s="1793"/>
      <c r="C181" s="1794"/>
      <c r="D181" s="1795" t="s">
        <v>2012</v>
      </c>
      <c r="E181" s="1796"/>
      <c r="F181" s="1798">
        <f>F179+F180</f>
        <v>160367307.69999999</v>
      </c>
    </row>
    <row r="182" spans="1:7" ht="12" customHeight="1" x14ac:dyDescent="0.2">
      <c r="A182" s="1779"/>
      <c r="B182" s="1799"/>
      <c r="C182" s="1794"/>
      <c r="D182" s="1795" t="str">
        <f>D78</f>
        <v>9 Month ADA from District Average Daily Attendance/Prior General State Aid Inquiry 2017-2018</v>
      </c>
      <c r="E182" s="1796"/>
      <c r="F182" s="1800">
        <f>'PCTC-OEPP 27-28'!F78</f>
        <v>13676.01</v>
      </c>
      <c r="G182" s="931"/>
    </row>
    <row r="183" spans="1:7" ht="12" customHeight="1" thickBot="1" x14ac:dyDescent="0.25">
      <c r="A183" s="1779"/>
      <c r="B183" s="1799"/>
      <c r="C183" s="1794"/>
      <c r="D183" s="1795" t="s">
        <v>2013</v>
      </c>
      <c r="E183" s="1796" t="s">
        <v>1625</v>
      </c>
      <c r="F183" s="1801">
        <f>F181/F182</f>
        <v>11726.176545644525</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24" customFormat="1" ht="12.2" customHeight="1" x14ac:dyDescent="0.2">
      <c r="A186" s="1924" t="s">
        <v>2060</v>
      </c>
      <c r="B186" s="1925"/>
      <c r="C186" s="1926"/>
      <c r="D186" s="1925"/>
      <c r="E186" s="1926"/>
      <c r="F186" s="1925"/>
      <c r="G186" s="1925"/>
    </row>
    <row r="187" spans="1:7" s="1924" customFormat="1" ht="12.2" customHeight="1" x14ac:dyDescent="0.2">
      <c r="A187" s="1927" t="s">
        <v>2061</v>
      </c>
      <c r="C187" s="1926"/>
      <c r="D187" s="1925"/>
      <c r="E187" s="1926"/>
      <c r="F187" s="1925"/>
      <c r="G187" s="1925"/>
    </row>
    <row r="188" spans="1:7" ht="12" customHeight="1" x14ac:dyDescent="0.2">
      <c r="C188" s="950"/>
      <c r="D188" s="931"/>
      <c r="E188" s="950"/>
      <c r="F188" s="931"/>
      <c r="G188" s="931"/>
    </row>
    <row r="189" spans="1:7" x14ac:dyDescent="0.2">
      <c r="A189" s="1928" t="s">
        <v>2059</v>
      </c>
      <c r="B189" s="1929"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0"/>
  <sheetViews>
    <sheetView showGridLines="0" workbookViewId="0">
      <pane ySplit="16" topLeftCell="A279" activePane="bottomLeft" state="frozen"/>
      <selection activeCell="I47" sqref="I47"/>
      <selection pane="bottomLeft" activeCell="I47" sqref="I47"/>
    </sheetView>
  </sheetViews>
  <sheetFormatPr defaultColWidth="9.140625" defaultRowHeight="15" x14ac:dyDescent="0.25"/>
  <cols>
    <col min="1" max="1" width="71.28515625" style="1562" customWidth="1"/>
    <col min="2" max="2" width="16.42578125" style="1563" bestFit="1" customWidth="1"/>
    <col min="3" max="3" width="33.7109375" style="1563" customWidth="1"/>
    <col min="4" max="4" width="14.7109375" style="1564" bestFit="1" customWidth="1"/>
    <col min="5" max="5" width="17.42578125" style="1564" hidden="1" customWidth="1"/>
    <col min="6" max="6" width="23.5703125" style="1564" customWidth="1"/>
    <col min="7" max="7" width="23.28515625" style="1563" customWidth="1"/>
    <col min="8" max="16384" width="9.140625" style="1555"/>
  </cols>
  <sheetData>
    <row r="1" spans="1:7" ht="15" customHeight="1" x14ac:dyDescent="0.25">
      <c r="A1" s="1670" t="s">
        <v>1937</v>
      </c>
      <c r="B1" s="1671"/>
      <c r="C1" s="1671"/>
      <c r="D1" s="1671"/>
      <c r="E1" s="1671"/>
      <c r="F1" s="1671"/>
      <c r="G1" s="1671"/>
    </row>
    <row r="2" spans="1:7" x14ac:dyDescent="0.25">
      <c r="A2" s="1668"/>
      <c r="B2" s="1668"/>
      <c r="C2" s="1669" t="s">
        <v>1035</v>
      </c>
      <c r="D2" s="1668"/>
      <c r="E2" s="1668"/>
      <c r="F2" s="1668"/>
      <c r="G2" s="1668"/>
    </row>
    <row r="3" spans="1:7" ht="5.25" customHeight="1" x14ac:dyDescent="0.25">
      <c r="A3" s="1565"/>
      <c r="B3" s="1565"/>
      <c r="C3" s="1565"/>
      <c r="D3" s="1565"/>
      <c r="E3" s="1565"/>
      <c r="F3" s="1565"/>
      <c r="G3" s="1565"/>
    </row>
    <row r="4" spans="1:7" ht="18.75" customHeight="1" x14ac:dyDescent="0.25">
      <c r="A4" s="2294" t="s">
        <v>1922</v>
      </c>
      <c r="B4" s="2295"/>
      <c r="C4" s="2295"/>
      <c r="D4" s="2295"/>
      <c r="E4" s="2295"/>
      <c r="F4" s="2295"/>
      <c r="G4" s="2296"/>
    </row>
    <row r="5" spans="1:7" x14ac:dyDescent="0.25">
      <c r="A5" s="2297"/>
      <c r="B5" s="2298"/>
      <c r="C5" s="2298"/>
      <c r="D5" s="2298"/>
      <c r="E5" s="2298"/>
      <c r="F5" s="2298"/>
      <c r="G5" s="2299"/>
    </row>
    <row r="6" spans="1:7" ht="18.75" hidden="1" x14ac:dyDescent="0.25">
      <c r="A6" s="1556" t="s">
        <v>1923</v>
      </c>
      <c r="B6" s="1557"/>
      <c r="C6" s="1557"/>
      <c r="D6" s="1557"/>
      <c r="E6" s="1557"/>
      <c r="F6" s="1557"/>
      <c r="G6" s="1558"/>
    </row>
    <row r="7" spans="1:7" ht="30.75" hidden="1" customHeight="1" x14ac:dyDescent="0.25">
      <c r="A7" s="2300" t="s">
        <v>2070</v>
      </c>
      <c r="B7" s="2301"/>
      <c r="C7" s="2301"/>
      <c r="D7" s="2301"/>
      <c r="E7" s="2301"/>
      <c r="F7" s="2301"/>
      <c r="G7" s="2302"/>
    </row>
    <row r="8" spans="1:7" ht="15.75" hidden="1" customHeight="1" x14ac:dyDescent="0.25">
      <c r="A8" s="2303" t="s">
        <v>2019</v>
      </c>
      <c r="B8" s="2304"/>
      <c r="C8" s="2304"/>
      <c r="D8" s="2304"/>
      <c r="E8" s="2304"/>
      <c r="F8" s="2304"/>
      <c r="G8" s="2305"/>
    </row>
    <row r="9" spans="1:7" ht="35.25" hidden="1" customHeight="1" x14ac:dyDescent="0.25">
      <c r="A9" s="2300" t="s">
        <v>2073</v>
      </c>
      <c r="B9" s="2301"/>
      <c r="C9" s="2301"/>
      <c r="D9" s="2301"/>
      <c r="E9" s="2301"/>
      <c r="F9" s="2301"/>
      <c r="G9" s="2302"/>
    </row>
    <row r="10" spans="1:7" ht="15" hidden="1" customHeight="1" x14ac:dyDescent="0.25">
      <c r="A10" s="1559" t="s">
        <v>1924</v>
      </c>
      <c r="B10" s="1560"/>
      <c r="C10" s="1560"/>
      <c r="D10" s="1560"/>
      <c r="E10" s="1560"/>
      <c r="F10" s="1560"/>
      <c r="G10" s="1561"/>
    </row>
    <row r="11" spans="1:7" ht="17.25" hidden="1" customHeight="1" x14ac:dyDescent="0.25">
      <c r="A11" s="2300" t="s">
        <v>2072</v>
      </c>
      <c r="B11" s="2301"/>
      <c r="C11" s="2301"/>
      <c r="D11" s="2301"/>
      <c r="E11" s="2301"/>
      <c r="F11" s="2301"/>
      <c r="G11" s="2302"/>
    </row>
    <row r="12" spans="1:7" ht="15" hidden="1" customHeight="1" x14ac:dyDescent="0.25">
      <c r="A12" s="1559" t="s">
        <v>1929</v>
      </c>
      <c r="B12" s="1560"/>
      <c r="C12" s="1560"/>
      <c r="D12" s="1560"/>
      <c r="E12" s="1560"/>
      <c r="F12" s="1560"/>
      <c r="G12" s="1561"/>
    </row>
    <row r="13" spans="1:7" ht="32.25" hidden="1" customHeight="1" x14ac:dyDescent="0.25">
      <c r="A13" s="2291" t="s">
        <v>1930</v>
      </c>
      <c r="B13" s="2292"/>
      <c r="C13" s="2292"/>
      <c r="D13" s="2292"/>
      <c r="E13" s="2292"/>
      <c r="F13" s="2292"/>
      <c r="G13" s="2293"/>
    </row>
    <row r="14" spans="1:7" hidden="1" x14ac:dyDescent="0.25">
      <c r="A14" s="1672" t="s">
        <v>1938</v>
      </c>
      <c r="B14" s="1673"/>
      <c r="C14" s="1673"/>
      <c r="D14" s="1673"/>
      <c r="E14" s="1673"/>
      <c r="F14" s="1673"/>
      <c r="G14" s="1674"/>
    </row>
    <row r="15" spans="1:7" ht="61.5" customHeight="1" x14ac:dyDescent="0.25">
      <c r="A15" s="1566" t="s">
        <v>1931</v>
      </c>
      <c r="B15" s="1566" t="s">
        <v>1932</v>
      </c>
      <c r="C15" s="1566" t="s">
        <v>1933</v>
      </c>
      <c r="D15" s="1567" t="s">
        <v>1934</v>
      </c>
      <c r="E15" s="1567" t="s">
        <v>1925</v>
      </c>
      <c r="F15" s="1567" t="s">
        <v>1935</v>
      </c>
      <c r="G15" s="1567" t="s">
        <v>1936</v>
      </c>
    </row>
    <row r="16" spans="1:7" x14ac:dyDescent="0.25">
      <c r="A16" s="1937" t="s">
        <v>1939</v>
      </c>
      <c r="B16" s="1938" t="s">
        <v>1928</v>
      </c>
      <c r="C16" s="1939" t="s">
        <v>1926</v>
      </c>
      <c r="D16" s="1940">
        <v>500000</v>
      </c>
      <c r="E16" s="1940">
        <f>IF(D16&lt;=25000,D16,IF(D16&gt;25000,25000,0))</f>
        <v>25000</v>
      </c>
      <c r="F16" s="194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41">
        <f>IF(F16=0,"0",D16-F16)</f>
        <v>475000</v>
      </c>
    </row>
    <row r="17" spans="1:8" x14ac:dyDescent="0.25">
      <c r="A17" s="1942" t="s">
        <v>2183</v>
      </c>
      <c r="B17" s="1943" t="s">
        <v>2494</v>
      </c>
      <c r="C17" s="1963" t="s">
        <v>2184</v>
      </c>
      <c r="D17" s="1944">
        <v>1740801</v>
      </c>
      <c r="E17" s="1945">
        <f t="shared" ref="E17:E289" si="1">IF(D17&lt;=25000,D17,IF(D17&gt;25000,25000,0))</f>
        <v>25000</v>
      </c>
      <c r="F17" s="1946">
        <f t="shared" si="0"/>
        <v>25000</v>
      </c>
      <c r="G17" s="1947">
        <f>IF(F17=0,0,D17-F17)</f>
        <v>1715801</v>
      </c>
      <c r="H17" s="1667"/>
    </row>
    <row r="18" spans="1:8" x14ac:dyDescent="0.25">
      <c r="A18" s="1942" t="s">
        <v>2185</v>
      </c>
      <c r="B18" s="1943" t="s">
        <v>2497</v>
      </c>
      <c r="C18" s="1963" t="s">
        <v>2186</v>
      </c>
      <c r="D18" s="1944">
        <v>46667</v>
      </c>
      <c r="E18" s="1945">
        <f t="shared" ref="E18:E118" si="2">IF(D18&lt;=25000,D18,IF(D18&gt;25000,25000,0))</f>
        <v>25000</v>
      </c>
      <c r="F18" s="1946">
        <f t="shared" ref="F18:F116"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947">
        <f t="shared" ref="G18:G116" si="4">IF(F18=0,0,D18-F18)</f>
        <v>21667</v>
      </c>
    </row>
    <row r="19" spans="1:8" x14ac:dyDescent="0.25">
      <c r="A19" s="1942" t="s">
        <v>2187</v>
      </c>
      <c r="B19" s="1943" t="s">
        <v>2498</v>
      </c>
      <c r="C19" s="1963" t="s">
        <v>2188</v>
      </c>
      <c r="D19" s="1944">
        <v>667280</v>
      </c>
      <c r="E19" s="1945">
        <f t="shared" si="2"/>
        <v>25000</v>
      </c>
      <c r="F19" s="1946">
        <f t="shared" si="3"/>
        <v>25000</v>
      </c>
      <c r="G19" s="1947">
        <f t="shared" si="4"/>
        <v>642280</v>
      </c>
    </row>
    <row r="20" spans="1:8" x14ac:dyDescent="0.25">
      <c r="A20" s="1942" t="s">
        <v>2189</v>
      </c>
      <c r="B20" s="1943" t="s">
        <v>2493</v>
      </c>
      <c r="C20" s="1963" t="s">
        <v>2190</v>
      </c>
      <c r="D20" s="1944">
        <v>87571</v>
      </c>
      <c r="E20" s="1945">
        <f t="shared" si="2"/>
        <v>25000</v>
      </c>
      <c r="F20" s="1946">
        <f t="shared" si="3"/>
        <v>25000</v>
      </c>
      <c r="G20" s="1947">
        <f t="shared" si="4"/>
        <v>62571</v>
      </c>
    </row>
    <row r="21" spans="1:8" ht="30" x14ac:dyDescent="0.25">
      <c r="A21" s="1942" t="s">
        <v>2191</v>
      </c>
      <c r="B21" s="1943" t="s">
        <v>2499</v>
      </c>
      <c r="C21" s="1963" t="s">
        <v>2192</v>
      </c>
      <c r="D21" s="1944">
        <v>56500</v>
      </c>
      <c r="E21" s="1945">
        <f t="shared" si="2"/>
        <v>25000</v>
      </c>
      <c r="F21" s="1946">
        <f t="shared" si="3"/>
        <v>25000</v>
      </c>
      <c r="G21" s="1947">
        <f t="shared" si="4"/>
        <v>31500</v>
      </c>
    </row>
    <row r="22" spans="1:8" x14ac:dyDescent="0.25">
      <c r="A22" s="1942" t="s">
        <v>2193</v>
      </c>
      <c r="B22" s="1943" t="s">
        <v>2495</v>
      </c>
      <c r="C22" s="1963" t="s">
        <v>2194</v>
      </c>
      <c r="D22" s="1944">
        <v>12500</v>
      </c>
      <c r="E22" s="1945">
        <f t="shared" si="2"/>
        <v>12500</v>
      </c>
      <c r="F22" s="1946">
        <f t="shared" si="3"/>
        <v>12500</v>
      </c>
      <c r="G22" s="1947">
        <f t="shared" si="4"/>
        <v>0</v>
      </c>
    </row>
    <row r="23" spans="1:8" x14ac:dyDescent="0.25">
      <c r="A23" s="1942" t="s">
        <v>2195</v>
      </c>
      <c r="B23" s="1943" t="s">
        <v>1928</v>
      </c>
      <c r="C23" s="1963" t="s">
        <v>2196</v>
      </c>
      <c r="D23" s="1944">
        <v>1429552</v>
      </c>
      <c r="E23" s="1945">
        <f t="shared" si="2"/>
        <v>25000</v>
      </c>
      <c r="F23" s="1946">
        <f t="shared" si="3"/>
        <v>25000</v>
      </c>
      <c r="G23" s="1947">
        <f t="shared" si="4"/>
        <v>1404552</v>
      </c>
    </row>
    <row r="24" spans="1:8" ht="30" x14ac:dyDescent="0.25">
      <c r="A24" s="1942" t="s">
        <v>2197</v>
      </c>
      <c r="B24" s="1943" t="s">
        <v>2496</v>
      </c>
      <c r="C24" s="1963" t="s">
        <v>2196</v>
      </c>
      <c r="D24" s="1944">
        <v>16007</v>
      </c>
      <c r="E24" s="1945">
        <f t="shared" si="2"/>
        <v>16007</v>
      </c>
      <c r="F24" s="1946">
        <f t="shared" si="3"/>
        <v>16007</v>
      </c>
      <c r="G24" s="1947">
        <f>IF(F24=0,0,D24-F24)</f>
        <v>0</v>
      </c>
    </row>
    <row r="25" spans="1:8" x14ac:dyDescent="0.25">
      <c r="A25" s="1942" t="s">
        <v>2198</v>
      </c>
      <c r="B25" s="1943" t="s">
        <v>2493</v>
      </c>
      <c r="C25" s="1963" t="s">
        <v>2199</v>
      </c>
      <c r="D25" s="1944">
        <v>53281</v>
      </c>
      <c r="E25" s="1945">
        <f t="shared" si="2"/>
        <v>25000</v>
      </c>
      <c r="F25" s="1946">
        <f t="shared" si="3"/>
        <v>25000</v>
      </c>
      <c r="G25" s="1947">
        <f t="shared" si="4"/>
        <v>28281</v>
      </c>
    </row>
    <row r="26" spans="1:8" x14ac:dyDescent="0.25">
      <c r="A26" s="1942" t="s">
        <v>2200</v>
      </c>
      <c r="B26" s="1943" t="s">
        <v>2498</v>
      </c>
      <c r="C26" s="1963" t="s">
        <v>2201</v>
      </c>
      <c r="D26" s="1944">
        <v>175426</v>
      </c>
      <c r="E26" s="1945">
        <f t="shared" si="2"/>
        <v>25000</v>
      </c>
      <c r="F26" s="1946">
        <f t="shared" si="3"/>
        <v>25000</v>
      </c>
      <c r="G26" s="1947">
        <f t="shared" si="4"/>
        <v>150426</v>
      </c>
    </row>
    <row r="27" spans="1:8" x14ac:dyDescent="0.25">
      <c r="A27" s="1942" t="s">
        <v>2202</v>
      </c>
      <c r="B27" s="1943" t="s">
        <v>2498</v>
      </c>
      <c r="C27" s="1963" t="s">
        <v>2201</v>
      </c>
      <c r="D27" s="1944">
        <v>7500</v>
      </c>
      <c r="E27" s="1945">
        <f t="shared" si="2"/>
        <v>7500</v>
      </c>
      <c r="F27" s="1946">
        <f t="shared" si="3"/>
        <v>7500</v>
      </c>
      <c r="G27" s="1947">
        <f t="shared" si="4"/>
        <v>0</v>
      </c>
    </row>
    <row r="28" spans="1:8" x14ac:dyDescent="0.25">
      <c r="A28" s="1942" t="s">
        <v>2203</v>
      </c>
      <c r="B28" s="1943" t="s">
        <v>2500</v>
      </c>
      <c r="C28" s="1963" t="s">
        <v>2204</v>
      </c>
      <c r="D28" s="1944">
        <v>21000</v>
      </c>
      <c r="E28" s="1945">
        <f t="shared" si="2"/>
        <v>21000</v>
      </c>
      <c r="F28" s="1946">
        <f t="shared" si="3"/>
        <v>21000</v>
      </c>
      <c r="G28" s="1947">
        <f t="shared" si="4"/>
        <v>0</v>
      </c>
    </row>
    <row r="29" spans="1:8" x14ac:dyDescent="0.25">
      <c r="A29" s="1942" t="s">
        <v>2205</v>
      </c>
      <c r="B29" s="1943" t="s">
        <v>1928</v>
      </c>
      <c r="C29" s="1963" t="s">
        <v>2204</v>
      </c>
      <c r="D29" s="1944">
        <v>1221115</v>
      </c>
      <c r="E29" s="1945">
        <f t="shared" si="2"/>
        <v>25000</v>
      </c>
      <c r="F29" s="1946">
        <f t="shared" si="3"/>
        <v>25000</v>
      </c>
      <c r="G29" s="1947">
        <f t="shared" si="4"/>
        <v>1196115</v>
      </c>
    </row>
    <row r="30" spans="1:8" x14ac:dyDescent="0.25">
      <c r="A30" s="1942" t="s">
        <v>2206</v>
      </c>
      <c r="B30" s="1943" t="s">
        <v>2501</v>
      </c>
      <c r="C30" s="1963" t="s">
        <v>2207</v>
      </c>
      <c r="D30" s="1944">
        <v>365915</v>
      </c>
      <c r="E30" s="1945">
        <f t="shared" si="2"/>
        <v>25000</v>
      </c>
      <c r="F30" s="1946">
        <f t="shared" si="3"/>
        <v>25000</v>
      </c>
      <c r="G30" s="1947">
        <f t="shared" si="4"/>
        <v>340915</v>
      </c>
    </row>
    <row r="31" spans="1:8" ht="30" x14ac:dyDescent="0.25">
      <c r="A31" s="1942" t="s">
        <v>2208</v>
      </c>
      <c r="B31" s="1943" t="s">
        <v>2502</v>
      </c>
      <c r="C31" s="1963" t="s">
        <v>2209</v>
      </c>
      <c r="D31" s="1944">
        <v>497385</v>
      </c>
      <c r="E31" s="1945">
        <f t="shared" si="2"/>
        <v>25000</v>
      </c>
      <c r="F31" s="1946">
        <f t="shared" si="3"/>
        <v>0</v>
      </c>
      <c r="G31" s="1947">
        <f t="shared" si="4"/>
        <v>0</v>
      </c>
    </row>
    <row r="32" spans="1:8" ht="30" x14ac:dyDescent="0.25">
      <c r="A32" s="1942" t="s">
        <v>2197</v>
      </c>
      <c r="B32" s="1943" t="s">
        <v>2496</v>
      </c>
      <c r="C32" s="1963" t="s">
        <v>2210</v>
      </c>
      <c r="D32" s="1944">
        <v>780410</v>
      </c>
      <c r="E32" s="1945">
        <f t="shared" si="2"/>
        <v>25000</v>
      </c>
      <c r="F32" s="1946">
        <f t="shared" si="3"/>
        <v>25000</v>
      </c>
      <c r="G32" s="1947">
        <f t="shared" si="4"/>
        <v>755410</v>
      </c>
    </row>
    <row r="33" spans="1:7" ht="30" x14ac:dyDescent="0.25">
      <c r="A33" s="1942" t="s">
        <v>2211</v>
      </c>
      <c r="B33" s="1943" t="s">
        <v>1928</v>
      </c>
      <c r="C33" s="1963" t="s">
        <v>2212</v>
      </c>
      <c r="D33" s="1944">
        <v>285510</v>
      </c>
      <c r="E33" s="1945">
        <f t="shared" si="2"/>
        <v>25000</v>
      </c>
      <c r="F33" s="1946">
        <f t="shared" si="3"/>
        <v>25000</v>
      </c>
      <c r="G33" s="1947">
        <f t="shared" si="4"/>
        <v>260510</v>
      </c>
    </row>
    <row r="34" spans="1:7" x14ac:dyDescent="0.25">
      <c r="A34" s="1942" t="s">
        <v>2213</v>
      </c>
      <c r="B34" s="1943" t="s">
        <v>2498</v>
      </c>
      <c r="C34" s="1963" t="s">
        <v>2214</v>
      </c>
      <c r="D34" s="1944">
        <v>526460</v>
      </c>
      <c r="E34" s="1945">
        <f t="shared" si="2"/>
        <v>25000</v>
      </c>
      <c r="F34" s="1946">
        <f t="shared" si="3"/>
        <v>25000</v>
      </c>
      <c r="G34" s="1947">
        <f t="shared" si="4"/>
        <v>501460</v>
      </c>
    </row>
    <row r="35" spans="1:7" x14ac:dyDescent="0.25">
      <c r="A35" s="1942" t="s">
        <v>2215</v>
      </c>
      <c r="B35" s="1948" t="s">
        <v>2497</v>
      </c>
      <c r="C35" s="1963" t="s">
        <v>2216</v>
      </c>
      <c r="D35" s="1944">
        <v>275</v>
      </c>
      <c r="E35" s="1945">
        <f t="shared" si="2"/>
        <v>275</v>
      </c>
      <c r="F35" s="1946">
        <f t="shared" si="3"/>
        <v>275</v>
      </c>
      <c r="G35" s="1947">
        <f t="shared" si="4"/>
        <v>0</v>
      </c>
    </row>
    <row r="36" spans="1:7" x14ac:dyDescent="0.25">
      <c r="A36" s="1942" t="s">
        <v>2205</v>
      </c>
      <c r="B36" s="1948" t="s">
        <v>1928</v>
      </c>
      <c r="C36" s="1963" t="s">
        <v>2216</v>
      </c>
      <c r="D36" s="1944">
        <v>683386</v>
      </c>
      <c r="E36" s="1945">
        <f t="shared" si="2"/>
        <v>25000</v>
      </c>
      <c r="F36" s="1946">
        <f t="shared" si="3"/>
        <v>25000</v>
      </c>
      <c r="G36" s="1947">
        <f t="shared" si="4"/>
        <v>658386</v>
      </c>
    </row>
    <row r="37" spans="1:7" ht="30" x14ac:dyDescent="0.25">
      <c r="A37" s="1942" t="s">
        <v>2197</v>
      </c>
      <c r="B37" s="1948" t="s">
        <v>2496</v>
      </c>
      <c r="C37" s="1963" t="s">
        <v>2217</v>
      </c>
      <c r="D37" s="1944">
        <v>653417</v>
      </c>
      <c r="E37" s="1945">
        <f t="shared" si="2"/>
        <v>25000</v>
      </c>
      <c r="F37" s="1946">
        <f t="shared" si="3"/>
        <v>25000</v>
      </c>
      <c r="G37" s="1947">
        <f t="shared" si="4"/>
        <v>628417</v>
      </c>
    </row>
    <row r="38" spans="1:7" x14ac:dyDescent="0.25">
      <c r="A38" s="1942" t="s">
        <v>2191</v>
      </c>
      <c r="B38" s="1948" t="s">
        <v>2499</v>
      </c>
      <c r="C38" s="1963" t="s">
        <v>2218</v>
      </c>
      <c r="D38" s="1944">
        <v>606190</v>
      </c>
      <c r="E38" s="1945">
        <f t="shared" si="2"/>
        <v>25000</v>
      </c>
      <c r="F38" s="1946">
        <f t="shared" si="3"/>
        <v>25000</v>
      </c>
      <c r="G38" s="1947">
        <f t="shared" si="4"/>
        <v>581190</v>
      </c>
    </row>
    <row r="39" spans="1:7" x14ac:dyDescent="0.25">
      <c r="A39" s="1942" t="s">
        <v>2219</v>
      </c>
      <c r="B39" s="1948" t="s">
        <v>2497</v>
      </c>
      <c r="C39" s="1963" t="s">
        <v>2220</v>
      </c>
      <c r="D39" s="1944">
        <v>398345</v>
      </c>
      <c r="E39" s="1945">
        <f t="shared" si="2"/>
        <v>25000</v>
      </c>
      <c r="F39" s="1946">
        <f t="shared" si="3"/>
        <v>25000</v>
      </c>
      <c r="G39" s="1947">
        <f t="shared" si="4"/>
        <v>373345</v>
      </c>
    </row>
    <row r="40" spans="1:7" ht="30" x14ac:dyDescent="0.25">
      <c r="A40" s="1942" t="s">
        <v>2211</v>
      </c>
      <c r="B40" s="1948" t="s">
        <v>1928</v>
      </c>
      <c r="C40" s="1963" t="s">
        <v>2221</v>
      </c>
      <c r="D40" s="1944">
        <v>413005</v>
      </c>
      <c r="E40" s="1945">
        <f t="shared" si="2"/>
        <v>25000</v>
      </c>
      <c r="F40" s="1946">
        <f t="shared" si="3"/>
        <v>25000</v>
      </c>
      <c r="G40" s="1947">
        <f t="shared" si="4"/>
        <v>388005</v>
      </c>
    </row>
    <row r="41" spans="1:7" x14ac:dyDescent="0.25">
      <c r="A41" s="1942" t="s">
        <v>2222</v>
      </c>
      <c r="B41" s="1948" t="s">
        <v>2500</v>
      </c>
      <c r="C41" s="1963" t="s">
        <v>2223</v>
      </c>
      <c r="D41" s="1944">
        <v>357400</v>
      </c>
      <c r="E41" s="1945">
        <f t="shared" si="2"/>
        <v>25000</v>
      </c>
      <c r="F41" s="1946">
        <f t="shared" si="3"/>
        <v>25000</v>
      </c>
      <c r="G41" s="1947">
        <f t="shared" si="4"/>
        <v>332400</v>
      </c>
    </row>
    <row r="42" spans="1:7" ht="30" x14ac:dyDescent="0.25">
      <c r="A42" s="1942" t="s">
        <v>2224</v>
      </c>
      <c r="B42" s="1948" t="s">
        <v>1928</v>
      </c>
      <c r="C42" s="1963" t="s">
        <v>2225</v>
      </c>
      <c r="D42" s="1944">
        <v>69724</v>
      </c>
      <c r="E42" s="1945">
        <f t="shared" si="2"/>
        <v>25000</v>
      </c>
      <c r="F42" s="1946">
        <f t="shared" si="3"/>
        <v>25000</v>
      </c>
      <c r="G42" s="1947">
        <f t="shared" si="4"/>
        <v>44724</v>
      </c>
    </row>
    <row r="43" spans="1:7" x14ac:dyDescent="0.25">
      <c r="A43" s="1942" t="s">
        <v>2226</v>
      </c>
      <c r="B43" s="1948" t="s">
        <v>2503</v>
      </c>
      <c r="C43" s="1963" t="s">
        <v>2227</v>
      </c>
      <c r="D43" s="1949">
        <v>249264</v>
      </c>
      <c r="E43" s="1945">
        <f t="shared" si="2"/>
        <v>25000</v>
      </c>
      <c r="F43" s="1946">
        <f t="shared" si="3"/>
        <v>25000</v>
      </c>
      <c r="G43" s="1947">
        <f t="shared" si="4"/>
        <v>224264</v>
      </c>
    </row>
    <row r="44" spans="1:7" x14ac:dyDescent="0.25">
      <c r="A44" s="1942" t="s">
        <v>2228</v>
      </c>
      <c r="B44" s="1948" t="s">
        <v>2494</v>
      </c>
      <c r="C44" s="1963" t="s">
        <v>2229</v>
      </c>
      <c r="D44" s="1944">
        <v>306963</v>
      </c>
      <c r="E44" s="1945">
        <f t="shared" si="2"/>
        <v>25000</v>
      </c>
      <c r="F44" s="1946">
        <f t="shared" si="3"/>
        <v>25000</v>
      </c>
      <c r="G44" s="1947">
        <f t="shared" si="4"/>
        <v>281963</v>
      </c>
    </row>
    <row r="45" spans="1:7" ht="30" x14ac:dyDescent="0.25">
      <c r="A45" s="1942" t="s">
        <v>2230</v>
      </c>
      <c r="B45" s="1948" t="s">
        <v>2497</v>
      </c>
      <c r="C45" s="1963" t="s">
        <v>2231</v>
      </c>
      <c r="D45" s="1949">
        <v>652645</v>
      </c>
      <c r="E45" s="1945">
        <f t="shared" si="2"/>
        <v>25000</v>
      </c>
      <c r="F45" s="1946">
        <f t="shared" si="3"/>
        <v>25000</v>
      </c>
      <c r="G45" s="1947">
        <f t="shared" si="4"/>
        <v>627645</v>
      </c>
    </row>
    <row r="46" spans="1:7" ht="30" x14ac:dyDescent="0.25">
      <c r="A46" s="1942" t="s">
        <v>2232</v>
      </c>
      <c r="B46" s="1948" t="s">
        <v>1928</v>
      </c>
      <c r="C46" s="1963" t="s">
        <v>2231</v>
      </c>
      <c r="D46" s="1944">
        <v>143348</v>
      </c>
      <c r="E46" s="1945">
        <f t="shared" si="2"/>
        <v>25000</v>
      </c>
      <c r="F46" s="1946">
        <f t="shared" si="3"/>
        <v>25000</v>
      </c>
      <c r="G46" s="1947">
        <f t="shared" si="4"/>
        <v>118348</v>
      </c>
    </row>
    <row r="47" spans="1:7" ht="30" x14ac:dyDescent="0.25">
      <c r="A47" s="1942" t="s">
        <v>2233</v>
      </c>
      <c r="B47" s="1948" t="s">
        <v>2505</v>
      </c>
      <c r="C47" s="1963" t="s">
        <v>2234</v>
      </c>
      <c r="D47" s="1944">
        <v>172366</v>
      </c>
      <c r="E47" s="1945">
        <f t="shared" si="2"/>
        <v>25000</v>
      </c>
      <c r="F47" s="1946">
        <f t="shared" si="3"/>
        <v>0</v>
      </c>
      <c r="G47" s="1947">
        <f t="shared" si="4"/>
        <v>0</v>
      </c>
    </row>
    <row r="48" spans="1:7" ht="30" x14ac:dyDescent="0.25">
      <c r="A48" s="1942" t="s">
        <v>2235</v>
      </c>
      <c r="B48" s="1948" t="s">
        <v>2504</v>
      </c>
      <c r="C48" s="1963" t="s">
        <v>2236</v>
      </c>
      <c r="D48" s="1944">
        <v>40778</v>
      </c>
      <c r="E48" s="1945">
        <f t="shared" si="2"/>
        <v>25000</v>
      </c>
      <c r="F48" s="1946">
        <f t="shared" si="3"/>
        <v>25000</v>
      </c>
      <c r="G48" s="1947">
        <f t="shared" si="4"/>
        <v>15778</v>
      </c>
    </row>
    <row r="49" spans="1:7" ht="30" x14ac:dyDescent="0.25">
      <c r="A49" s="1942" t="s">
        <v>2224</v>
      </c>
      <c r="B49" s="1948" t="s">
        <v>1928</v>
      </c>
      <c r="C49" s="1963" t="s">
        <v>2237</v>
      </c>
      <c r="D49" s="1944">
        <v>59929</v>
      </c>
      <c r="E49" s="1945">
        <f t="shared" si="2"/>
        <v>25000</v>
      </c>
      <c r="F49" s="1946">
        <f t="shared" si="3"/>
        <v>25000</v>
      </c>
      <c r="G49" s="1947">
        <f t="shared" si="4"/>
        <v>34929</v>
      </c>
    </row>
    <row r="50" spans="1:7" x14ac:dyDescent="0.25">
      <c r="A50" s="1942" t="s">
        <v>2238</v>
      </c>
      <c r="B50" s="1948" t="s">
        <v>2500</v>
      </c>
      <c r="C50" s="1963" t="s">
        <v>2239</v>
      </c>
      <c r="D50" s="1944">
        <v>29587</v>
      </c>
      <c r="E50" s="1945">
        <f t="shared" si="2"/>
        <v>25000</v>
      </c>
      <c r="F50" s="1946">
        <f t="shared" si="3"/>
        <v>25000</v>
      </c>
      <c r="G50" s="1947">
        <f t="shared" si="4"/>
        <v>4587</v>
      </c>
    </row>
    <row r="51" spans="1:7" ht="30" x14ac:dyDescent="0.25">
      <c r="A51" s="1942" t="s">
        <v>2224</v>
      </c>
      <c r="B51" s="1948" t="s">
        <v>1928</v>
      </c>
      <c r="C51" s="1963" t="s">
        <v>2240</v>
      </c>
      <c r="D51" s="1944">
        <v>123136</v>
      </c>
      <c r="E51" s="1945">
        <f t="shared" si="2"/>
        <v>25000</v>
      </c>
      <c r="F51" s="1946">
        <f t="shared" si="3"/>
        <v>25000</v>
      </c>
      <c r="G51" s="1947">
        <f t="shared" si="4"/>
        <v>98136</v>
      </c>
    </row>
    <row r="52" spans="1:7" x14ac:dyDescent="0.25">
      <c r="A52" s="1942" t="s">
        <v>2241</v>
      </c>
      <c r="B52" s="1948" t="s">
        <v>2503</v>
      </c>
      <c r="C52" s="1963" t="s">
        <v>2242</v>
      </c>
      <c r="D52" s="1944">
        <v>44516</v>
      </c>
      <c r="E52" s="1945">
        <f t="shared" si="2"/>
        <v>25000</v>
      </c>
      <c r="F52" s="1946">
        <f t="shared" si="3"/>
        <v>25000</v>
      </c>
      <c r="G52" s="1947">
        <f t="shared" si="4"/>
        <v>19516</v>
      </c>
    </row>
    <row r="53" spans="1:7" x14ac:dyDescent="0.25">
      <c r="A53" s="1942" t="s">
        <v>2243</v>
      </c>
      <c r="B53" s="1948" t="s">
        <v>2506</v>
      </c>
      <c r="C53" s="1963" t="s">
        <v>2239</v>
      </c>
      <c r="D53" s="1944">
        <v>15733</v>
      </c>
      <c r="E53" s="1945">
        <f t="shared" si="2"/>
        <v>15733</v>
      </c>
      <c r="F53" s="1946">
        <f t="shared" si="3"/>
        <v>15733</v>
      </c>
      <c r="G53" s="1947">
        <f t="shared" si="4"/>
        <v>0</v>
      </c>
    </row>
    <row r="54" spans="1:7" x14ac:dyDescent="0.25">
      <c r="A54" s="1942" t="s">
        <v>2244</v>
      </c>
      <c r="B54" s="1948" t="s">
        <v>2500</v>
      </c>
      <c r="C54" s="1963" t="s">
        <v>2239</v>
      </c>
      <c r="D54" s="1944">
        <v>16432</v>
      </c>
      <c r="E54" s="1945">
        <f t="shared" si="2"/>
        <v>16432</v>
      </c>
      <c r="F54" s="1946">
        <f t="shared" si="3"/>
        <v>16432</v>
      </c>
      <c r="G54" s="1947">
        <f t="shared" si="4"/>
        <v>0</v>
      </c>
    </row>
    <row r="55" spans="1:7" ht="30" x14ac:dyDescent="0.25">
      <c r="A55" s="1942" t="s">
        <v>2245</v>
      </c>
      <c r="B55" s="1948" t="s">
        <v>2503</v>
      </c>
      <c r="C55" s="1963" t="s">
        <v>2246</v>
      </c>
      <c r="D55" s="1944">
        <v>39535</v>
      </c>
      <c r="E55" s="1945">
        <f t="shared" si="2"/>
        <v>25000</v>
      </c>
      <c r="F55" s="1946">
        <f t="shared" si="3"/>
        <v>25000</v>
      </c>
      <c r="G55" s="1947">
        <f t="shared" si="4"/>
        <v>14535</v>
      </c>
    </row>
    <row r="56" spans="1:7" ht="30" x14ac:dyDescent="0.25">
      <c r="A56" s="1942" t="s">
        <v>2247</v>
      </c>
      <c r="B56" s="1948" t="s">
        <v>2507</v>
      </c>
      <c r="C56" s="1963" t="s">
        <v>2236</v>
      </c>
      <c r="D56" s="1944">
        <v>25110</v>
      </c>
      <c r="E56" s="1945">
        <f t="shared" si="2"/>
        <v>25000</v>
      </c>
      <c r="F56" s="1946">
        <f t="shared" si="3"/>
        <v>0</v>
      </c>
      <c r="G56" s="1947">
        <f t="shared" si="4"/>
        <v>0</v>
      </c>
    </row>
    <row r="57" spans="1:7" ht="30" x14ac:dyDescent="0.25">
      <c r="A57" s="1942" t="s">
        <v>2248</v>
      </c>
      <c r="B57" s="1948" t="s">
        <v>2504</v>
      </c>
      <c r="C57" s="1963" t="s">
        <v>2236</v>
      </c>
      <c r="D57" s="1944">
        <v>7109</v>
      </c>
      <c r="E57" s="1945">
        <f t="shared" si="2"/>
        <v>7109</v>
      </c>
      <c r="F57" s="1946">
        <f t="shared" si="3"/>
        <v>7109</v>
      </c>
      <c r="G57" s="1947">
        <f t="shared" si="4"/>
        <v>0</v>
      </c>
    </row>
    <row r="58" spans="1:7" x14ac:dyDescent="0.25">
      <c r="A58" s="1942" t="s">
        <v>2249</v>
      </c>
      <c r="B58" s="1948" t="s">
        <v>2498</v>
      </c>
      <c r="C58" s="1963" t="s">
        <v>2250</v>
      </c>
      <c r="D58" s="1944">
        <v>126536</v>
      </c>
      <c r="E58" s="1945">
        <f t="shared" si="2"/>
        <v>25000</v>
      </c>
      <c r="F58" s="1946">
        <f t="shared" si="3"/>
        <v>25000</v>
      </c>
      <c r="G58" s="1947">
        <f t="shared" si="4"/>
        <v>101536</v>
      </c>
    </row>
    <row r="59" spans="1:7" x14ac:dyDescent="0.25">
      <c r="A59" s="1942" t="s">
        <v>2251</v>
      </c>
      <c r="B59" s="1948" t="s">
        <v>2497</v>
      </c>
      <c r="C59" s="1963" t="s">
        <v>2252</v>
      </c>
      <c r="D59" s="1944">
        <v>32711</v>
      </c>
      <c r="E59" s="1945">
        <f t="shared" si="2"/>
        <v>25000</v>
      </c>
      <c r="F59" s="1946">
        <f t="shared" si="3"/>
        <v>25000</v>
      </c>
      <c r="G59" s="1947">
        <f t="shared" si="4"/>
        <v>7711</v>
      </c>
    </row>
    <row r="60" spans="1:7" x14ac:dyDescent="0.25">
      <c r="A60" s="1942" t="s">
        <v>2253</v>
      </c>
      <c r="B60" s="1948" t="s">
        <v>2497</v>
      </c>
      <c r="C60" s="1963" t="s">
        <v>2252</v>
      </c>
      <c r="D60" s="1944">
        <v>119858</v>
      </c>
      <c r="E60" s="1945">
        <f t="shared" si="2"/>
        <v>25000</v>
      </c>
      <c r="F60" s="1946">
        <f t="shared" si="3"/>
        <v>25000</v>
      </c>
      <c r="G60" s="1947">
        <f t="shared" si="4"/>
        <v>94858</v>
      </c>
    </row>
    <row r="61" spans="1:7" x14ac:dyDescent="0.25">
      <c r="A61" s="1942" t="s">
        <v>2254</v>
      </c>
      <c r="B61" s="1948" t="s">
        <v>2497</v>
      </c>
      <c r="C61" s="1963" t="s">
        <v>2252</v>
      </c>
      <c r="D61" s="1944">
        <v>15406</v>
      </c>
      <c r="E61" s="1945">
        <f t="shared" si="2"/>
        <v>15406</v>
      </c>
      <c r="F61" s="1946">
        <f t="shared" si="3"/>
        <v>15406</v>
      </c>
      <c r="G61" s="1947">
        <f t="shared" si="4"/>
        <v>0</v>
      </c>
    </row>
    <row r="62" spans="1:7" x14ac:dyDescent="0.25">
      <c r="A62" s="1942" t="s">
        <v>2255</v>
      </c>
      <c r="B62" s="1948" t="s">
        <v>2508</v>
      </c>
      <c r="C62" s="1963" t="s">
        <v>2252</v>
      </c>
      <c r="D62" s="1944">
        <v>814</v>
      </c>
      <c r="E62" s="1945">
        <f t="shared" si="2"/>
        <v>814</v>
      </c>
      <c r="F62" s="1946">
        <f t="shared" si="3"/>
        <v>814</v>
      </c>
      <c r="G62" s="1947">
        <f t="shared" si="4"/>
        <v>0</v>
      </c>
    </row>
    <row r="63" spans="1:7" x14ac:dyDescent="0.25">
      <c r="A63" s="1942" t="s">
        <v>2256</v>
      </c>
      <c r="B63" s="1948" t="s">
        <v>2497</v>
      </c>
      <c r="C63" s="1963" t="s">
        <v>2257</v>
      </c>
      <c r="D63" s="1944">
        <v>50123</v>
      </c>
      <c r="E63" s="1945">
        <f t="shared" si="2"/>
        <v>25000</v>
      </c>
      <c r="F63" s="1946">
        <f t="shared" si="3"/>
        <v>25000</v>
      </c>
      <c r="G63" s="1947">
        <f t="shared" si="4"/>
        <v>25123</v>
      </c>
    </row>
    <row r="64" spans="1:7" x14ac:dyDescent="0.25">
      <c r="A64" s="1942" t="s">
        <v>2258</v>
      </c>
      <c r="B64" s="1948" t="s">
        <v>2500</v>
      </c>
      <c r="C64" s="1963" t="s">
        <v>2257</v>
      </c>
      <c r="D64" s="1944">
        <v>97617</v>
      </c>
      <c r="E64" s="1945">
        <f t="shared" si="2"/>
        <v>25000</v>
      </c>
      <c r="F64" s="1946">
        <f t="shared" si="3"/>
        <v>25000</v>
      </c>
      <c r="G64" s="1947">
        <f t="shared" si="4"/>
        <v>72617</v>
      </c>
    </row>
    <row r="65" spans="1:7" x14ac:dyDescent="0.25">
      <c r="A65" s="1942" t="s">
        <v>2259</v>
      </c>
      <c r="B65" s="1948" t="s">
        <v>2500</v>
      </c>
      <c r="C65" s="1963" t="s">
        <v>2257</v>
      </c>
      <c r="D65" s="1944">
        <v>73106</v>
      </c>
      <c r="E65" s="1945">
        <f t="shared" si="2"/>
        <v>25000</v>
      </c>
      <c r="F65" s="1946">
        <f t="shared" si="3"/>
        <v>25000</v>
      </c>
      <c r="G65" s="1947">
        <f t="shared" si="4"/>
        <v>48106</v>
      </c>
    </row>
    <row r="66" spans="1:7" x14ac:dyDescent="0.25">
      <c r="A66" s="1942" t="s">
        <v>2198</v>
      </c>
      <c r="B66" s="1948" t="s">
        <v>2493</v>
      </c>
      <c r="C66" s="1963" t="s">
        <v>2260</v>
      </c>
      <c r="D66" s="1944">
        <v>195</v>
      </c>
      <c r="E66" s="1945">
        <f t="shared" si="2"/>
        <v>195</v>
      </c>
      <c r="F66" s="1946">
        <f t="shared" si="3"/>
        <v>195</v>
      </c>
      <c r="G66" s="1947">
        <f t="shared" si="4"/>
        <v>0</v>
      </c>
    </row>
    <row r="67" spans="1:7" x14ac:dyDescent="0.25">
      <c r="A67" s="1942" t="s">
        <v>2261</v>
      </c>
      <c r="B67" s="1948" t="s">
        <v>2503</v>
      </c>
      <c r="C67" s="1963" t="s">
        <v>2260</v>
      </c>
      <c r="D67" s="1944">
        <v>210447</v>
      </c>
      <c r="E67" s="1945">
        <f t="shared" si="2"/>
        <v>25000</v>
      </c>
      <c r="F67" s="1946">
        <f t="shared" si="3"/>
        <v>25000</v>
      </c>
      <c r="G67" s="1947">
        <f t="shared" si="4"/>
        <v>185447</v>
      </c>
    </row>
    <row r="68" spans="1:7" x14ac:dyDescent="0.25">
      <c r="A68" s="1942" t="s">
        <v>2262</v>
      </c>
      <c r="B68" s="1948" t="s">
        <v>2503</v>
      </c>
      <c r="C68" s="1963" t="s">
        <v>2260</v>
      </c>
      <c r="D68" s="1944">
        <v>1067</v>
      </c>
      <c r="E68" s="1945">
        <f t="shared" ref="E68:E77" si="5">IF(D68&lt;=25000,D68,IF(D68&gt;25000,25000,0))</f>
        <v>1067</v>
      </c>
      <c r="F68" s="1946">
        <f t="shared" ref="F68:F77" si="6">IF(OR(B68="10-1000-100",B68="10-1000-200",B68="10-1000-300",B68="10-1000-400",B68="10-1000-600",B68="10-1000-800",B68="50-1000-200",B68="10-2100-100",B68="10-2100-200",B68="10-2100-300",B68="10-2100-400",B68="10-2100-600",B68="10-2100-800",B68="20-2100-200",B68="20-2190-100",B68="20-2190-200",B68="20-2190-300",B68="20-2190-400",B68="20-2190-600",B68="20-2190-800",B68="40-2190-100",B68="40-2190-200",B68="40-2190-300",B68="40-2190-400",B68="40-2190-600",B68="40-2190-800",B68="50-2190-200",B68="10-2200-100",B68="10-2200-200",B68="10-2200-300",B68="10-2200-400",B68="10-2200-600",B68="10-2200-800",B68="50-2200-200",B68="10-2300-100",B68="10-2300-200",B68="10-2300-300",B68="10-2300-400",B68="10-2300-600",B68="10-2300-800",B68="50-2300-200",B68="80-2300-100",B68="80-2300-200",B68="80-2300-300",B68="80-2300-400",B68="80-2300-600",B68="80-2300-800",B68="10-2400-100",B68="10-2400-200",B68="10-2400-300",B68="10-2400-400",B68="10-2400-600",B68="10-2400-800",B68="50-2400-200",B68="10-2510-100",B68="10-2510-200",B68="10-2510-300",B68="10-2510-400",B68="10-2510-600",B68="10-2510-800",B68="20-2510-100",B68="20-2510-200",B68="20-2510-300",B68="20-2510-400",B68="20-2510-600",B68="20-2510-800",B68="50-2510-200",B68="10-2520-100",B68="10-2520-200",B68="10-2520-300",B68="10-2520-400",B68="10-2520-600",B68="10-2520-800",B68="50-2520-200",B68="10-2540-100",B68="10-2540-200",B68="10-2540-300",B68="10-2540-400",B68="10-2540-600",B68="20-2540-800",B68="20-2540-100",B68="20-2540-200",B68="20-2540-300",B68="20-2540-400",B68="20-2540-600",B68="50-2540-200",B68="90-2540-100",B68="90-2540-200",B68="90-2540-300",B68="90-2540-400",B68="90-2540-600",B68="90-2540-800",B68="90-2540-800",B68="10-2550-100",B68="10-2550-200",B68="10-2550-300",B68="10-2550-400",B68="10-2550-600",B68="10-2550-800",B68="20-2550-100",B68="20-2550-200",B68="20-2550-300",B68="20-2550-400",B68="20-2550-600",B68="20-2550-800",B68="40-2550-100",B68="40-2550-200",B68="40-2550-300",B68="40-2550-400",B68="40-2550-600",B68="40-2550-800",B68="50-2550-200",B68="10-2560-100",B68="10-2560-200",B68="10-2560-300",B68="10-2560-400",B68="10-2560-600",B68="10-2560-800",B68="20-2560-100",B68="20-2560-200",B68="20-2560-300",B68="20-2560-400",B68="20-2560-600",B68="20-2560-800",B68="50-2560-200",B68="10-2570-100",B68="10-2570-200",B68="10-2570-300",B68="10-2570-400",B68="10-2570-600",B68="10-2570-800",B68="50-2570-200",B68="10-2610-100",B68="10-2610-200",B68="10-2610-300",B68="10-2610-400",B68="10-2610-600",B68="10-2610-800",B68="50-2610-200",B68="10-2620-100",B68="10-2620-200",B68="10-2620-300",B68="10-2620-400",B68="10-2620-600",B68="10-2620-800",B68="50-2620-200",B68="10-2630-100",B68="10-2630-200",B68="10-2630-300",B68="10-2630-400",B68="10-2630-600",B68="10-2630-800",B68="50-2630-200",B68="10-2640-100",B68="10-2640-200",B68="10-2640-300",B68="10-2640-400",B68="10-2640-600",B68="10-2640-800",B68="50-2640-200",B68="10-2660-100",B68="10-2660-200",B68="10-2660-300",B68="10-2660-400",B68="10-2660-600",B68="10-2660-800",B68="50-2660-200",B68="10-2900-100",B68="10-2900-200",B68="10-2900-300",B68="10-2900-400",B68="10-2900-600",B68="10-2900-800",B68="20-2900-100",B68="20-2900-200",B68="20-2900-300",B68="20-2900-400",B68="20-2900-600",B68="20-2900-800",B68="40-2900-100",B68="40-2900-200",B68="40-2900-300",B68="40-2900-400",B68="40-2900-600",B68="40-2900-800",B68="50-2900-200",B68="60-2900-100",B68="60-2900-200",B68="60-2900-300",B68="60-2900-400",B68="60-2900-600",B68="60-2900-800",B68="90-2900-100",B68="90-2900-200",B68="90-2900-300",B68="90-2900-400",B68="90-2900-600",B68="90-2900-800",B68="10-3000-100",B68="10-3000-200",B68="10-3000-300",B68="10-3000-400",B68="10-3000-600",B68="10-3000-800",B68="20-3000-100",B68="20-3000-200",B68="20-3000-300",B68="20-3000-400",B68="20-3000-600",B68="20-3000-800",B68="40-3000-100",B68="40-3000-200",B68="40-3000-300",B68="40-3000-400",B68="40-3000-600",B68="40-3000-800",B68="50-3000-200"),E68,0)</f>
        <v>1067</v>
      </c>
      <c r="G68" s="1947">
        <f t="shared" ref="G68:G77" si="7">IF(F68=0,0,D68-F68)</f>
        <v>0</v>
      </c>
    </row>
    <row r="69" spans="1:7" x14ac:dyDescent="0.25">
      <c r="A69" s="1942" t="s">
        <v>2263</v>
      </c>
      <c r="B69" s="1948" t="s">
        <v>2509</v>
      </c>
      <c r="C69" s="1963" t="s">
        <v>2260</v>
      </c>
      <c r="D69" s="1944">
        <v>639</v>
      </c>
      <c r="E69" s="1945">
        <f t="shared" si="5"/>
        <v>639</v>
      </c>
      <c r="F69" s="1946">
        <f t="shared" si="6"/>
        <v>639</v>
      </c>
      <c r="G69" s="1947">
        <f t="shared" si="7"/>
        <v>0</v>
      </c>
    </row>
    <row r="70" spans="1:7" x14ac:dyDescent="0.25">
      <c r="A70" s="1942" t="s">
        <v>2264</v>
      </c>
      <c r="B70" s="1948" t="s">
        <v>2510</v>
      </c>
      <c r="C70" s="1963" t="s">
        <v>2260</v>
      </c>
      <c r="D70" s="1944">
        <v>285</v>
      </c>
      <c r="E70" s="1945">
        <f t="shared" si="5"/>
        <v>285</v>
      </c>
      <c r="F70" s="1946">
        <f t="shared" si="6"/>
        <v>285</v>
      </c>
      <c r="G70" s="1947">
        <f t="shared" si="7"/>
        <v>0</v>
      </c>
    </row>
    <row r="71" spans="1:7" ht="30" x14ac:dyDescent="0.25">
      <c r="A71" s="1942" t="s">
        <v>2265</v>
      </c>
      <c r="B71" s="1948" t="s">
        <v>2511</v>
      </c>
      <c r="C71" s="1963" t="s">
        <v>2260</v>
      </c>
      <c r="D71" s="1944">
        <v>45</v>
      </c>
      <c r="E71" s="1945">
        <f t="shared" si="5"/>
        <v>45</v>
      </c>
      <c r="F71" s="1946">
        <f t="shared" si="6"/>
        <v>45</v>
      </c>
      <c r="G71" s="1947">
        <f t="shared" si="7"/>
        <v>0</v>
      </c>
    </row>
    <row r="72" spans="1:7" ht="30" x14ac:dyDescent="0.25">
      <c r="A72" s="1942" t="s">
        <v>2266</v>
      </c>
      <c r="B72" s="1948" t="s">
        <v>2504</v>
      </c>
      <c r="C72" s="1963" t="s">
        <v>2260</v>
      </c>
      <c r="D72" s="1944">
        <v>369</v>
      </c>
      <c r="E72" s="1945">
        <f t="shared" si="5"/>
        <v>369</v>
      </c>
      <c r="F72" s="1946">
        <f t="shared" si="6"/>
        <v>369</v>
      </c>
      <c r="G72" s="1947">
        <f t="shared" si="7"/>
        <v>0</v>
      </c>
    </row>
    <row r="73" spans="1:7" ht="30" x14ac:dyDescent="0.25">
      <c r="A73" s="1942" t="s">
        <v>2267</v>
      </c>
      <c r="B73" s="1948" t="s">
        <v>2511</v>
      </c>
      <c r="C73" s="1963" t="s">
        <v>2268</v>
      </c>
      <c r="D73" s="1944">
        <v>9983</v>
      </c>
      <c r="E73" s="1945">
        <f t="shared" si="5"/>
        <v>9983</v>
      </c>
      <c r="F73" s="1946">
        <f t="shared" si="6"/>
        <v>9983</v>
      </c>
      <c r="G73" s="1947">
        <f t="shared" si="7"/>
        <v>0</v>
      </c>
    </row>
    <row r="74" spans="1:7" x14ac:dyDescent="0.25">
      <c r="A74" s="1942" t="s">
        <v>2269</v>
      </c>
      <c r="B74" s="1948" t="s">
        <v>2508</v>
      </c>
      <c r="C74" s="1963" t="s">
        <v>2270</v>
      </c>
      <c r="D74" s="1944">
        <v>138</v>
      </c>
      <c r="E74" s="1945">
        <f t="shared" si="5"/>
        <v>138</v>
      </c>
      <c r="F74" s="1946">
        <f t="shared" si="6"/>
        <v>138</v>
      </c>
      <c r="G74" s="1947">
        <f t="shared" si="7"/>
        <v>0</v>
      </c>
    </row>
    <row r="75" spans="1:7" x14ac:dyDescent="0.25">
      <c r="A75" s="1942" t="s">
        <v>2261</v>
      </c>
      <c r="B75" s="1948" t="s">
        <v>2503</v>
      </c>
      <c r="C75" s="1963" t="s">
        <v>2270</v>
      </c>
      <c r="D75" s="1944">
        <v>101984</v>
      </c>
      <c r="E75" s="1945">
        <f t="shared" si="5"/>
        <v>25000</v>
      </c>
      <c r="F75" s="1946">
        <f t="shared" si="6"/>
        <v>25000</v>
      </c>
      <c r="G75" s="1947">
        <f t="shared" si="7"/>
        <v>76984</v>
      </c>
    </row>
    <row r="76" spans="1:7" x14ac:dyDescent="0.25">
      <c r="A76" s="1942" t="s">
        <v>2271</v>
      </c>
      <c r="B76" s="1948" t="s">
        <v>2512</v>
      </c>
      <c r="C76" s="1963" t="s">
        <v>2270</v>
      </c>
      <c r="D76" s="1944">
        <v>110</v>
      </c>
      <c r="E76" s="1945">
        <f t="shared" si="5"/>
        <v>110</v>
      </c>
      <c r="F76" s="1946">
        <f t="shared" si="6"/>
        <v>110</v>
      </c>
      <c r="G76" s="1947">
        <f t="shared" si="7"/>
        <v>0</v>
      </c>
    </row>
    <row r="77" spans="1:7" x14ac:dyDescent="0.25">
      <c r="A77" s="1942" t="s">
        <v>2272</v>
      </c>
      <c r="B77" s="1948" t="s">
        <v>2503</v>
      </c>
      <c r="C77" s="1963" t="s">
        <v>2273</v>
      </c>
      <c r="D77" s="1944">
        <v>67005</v>
      </c>
      <c r="E77" s="1945">
        <f t="shared" si="5"/>
        <v>25000</v>
      </c>
      <c r="F77" s="1946">
        <f t="shared" si="6"/>
        <v>25000</v>
      </c>
      <c r="G77" s="1947">
        <f t="shared" si="7"/>
        <v>42005</v>
      </c>
    </row>
    <row r="78" spans="1:7" x14ac:dyDescent="0.25">
      <c r="A78" s="1942" t="s">
        <v>2274</v>
      </c>
      <c r="B78" s="1948" t="s">
        <v>2503</v>
      </c>
      <c r="C78" s="1963" t="s">
        <v>2273</v>
      </c>
      <c r="D78" s="1944">
        <v>38505</v>
      </c>
      <c r="E78" s="1945">
        <f t="shared" si="2"/>
        <v>25000</v>
      </c>
      <c r="F78" s="1946">
        <f t="shared" si="3"/>
        <v>25000</v>
      </c>
      <c r="G78" s="1947">
        <f t="shared" si="4"/>
        <v>13505</v>
      </c>
    </row>
    <row r="79" spans="1:7" ht="30" x14ac:dyDescent="0.25">
      <c r="A79" s="1942" t="s">
        <v>2275</v>
      </c>
      <c r="B79" s="1948" t="s">
        <v>2504</v>
      </c>
      <c r="C79" s="1963" t="s">
        <v>2276</v>
      </c>
      <c r="D79" s="1944">
        <v>6379</v>
      </c>
      <c r="E79" s="1945">
        <f t="shared" si="2"/>
        <v>6379</v>
      </c>
      <c r="F79" s="1946">
        <f t="shared" si="3"/>
        <v>6379</v>
      </c>
      <c r="G79" s="1947">
        <f t="shared" si="4"/>
        <v>0</v>
      </c>
    </row>
    <row r="80" spans="1:7" ht="30" x14ac:dyDescent="0.25">
      <c r="A80" s="1942" t="s">
        <v>2277</v>
      </c>
      <c r="B80" s="1948" t="s">
        <v>2511</v>
      </c>
      <c r="C80" s="1963" t="s">
        <v>2276</v>
      </c>
      <c r="D80" s="1944">
        <v>49174</v>
      </c>
      <c r="E80" s="1945">
        <f t="shared" ref="E80:E83" si="8">IF(D80&lt;=25000,D80,IF(D80&gt;25000,25000,0))</f>
        <v>25000</v>
      </c>
      <c r="F80" s="1946">
        <f t="shared" ref="F80:F83" si="9">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25000</v>
      </c>
      <c r="G80" s="1947">
        <f t="shared" ref="G80:G83" si="10">IF(F80=0,0,D80-F80)</f>
        <v>24174</v>
      </c>
    </row>
    <row r="81" spans="1:7" ht="30" x14ac:dyDescent="0.25">
      <c r="A81" s="1942" t="s">
        <v>2278</v>
      </c>
      <c r="B81" s="1948" t="s">
        <v>2505</v>
      </c>
      <c r="C81" s="1963" t="s">
        <v>2276</v>
      </c>
      <c r="D81" s="1944">
        <v>14256</v>
      </c>
      <c r="E81" s="1945">
        <f t="shared" si="8"/>
        <v>14256</v>
      </c>
      <c r="F81" s="1946">
        <f t="shared" si="9"/>
        <v>0</v>
      </c>
      <c r="G81" s="1947">
        <f t="shared" si="10"/>
        <v>0</v>
      </c>
    </row>
    <row r="82" spans="1:7" ht="30" x14ac:dyDescent="0.25">
      <c r="A82" s="1942" t="s">
        <v>2279</v>
      </c>
      <c r="B82" s="1948" t="s">
        <v>2504</v>
      </c>
      <c r="C82" s="1963" t="s">
        <v>2280</v>
      </c>
      <c r="D82" s="1944">
        <v>602184</v>
      </c>
      <c r="E82" s="1945">
        <f t="shared" si="8"/>
        <v>25000</v>
      </c>
      <c r="F82" s="1946">
        <f t="shared" si="9"/>
        <v>25000</v>
      </c>
      <c r="G82" s="1947">
        <f t="shared" si="10"/>
        <v>577184</v>
      </c>
    </row>
    <row r="83" spans="1:7" x14ac:dyDescent="0.25">
      <c r="A83" s="1942" t="s">
        <v>2281</v>
      </c>
      <c r="B83" s="1948" t="s">
        <v>2504</v>
      </c>
      <c r="C83" s="1963" t="s">
        <v>2280</v>
      </c>
      <c r="D83" s="1944">
        <v>471438</v>
      </c>
      <c r="E83" s="1945">
        <f t="shared" si="8"/>
        <v>25000</v>
      </c>
      <c r="F83" s="1946">
        <f t="shared" si="9"/>
        <v>25000</v>
      </c>
      <c r="G83" s="1947">
        <f t="shared" si="10"/>
        <v>446438</v>
      </c>
    </row>
    <row r="84" spans="1:7" ht="30" x14ac:dyDescent="0.25">
      <c r="A84" s="1942" t="s">
        <v>2282</v>
      </c>
      <c r="B84" s="1948" t="s">
        <v>2504</v>
      </c>
      <c r="C84" s="1963" t="s">
        <v>2283</v>
      </c>
      <c r="D84" s="1944">
        <v>3138</v>
      </c>
      <c r="E84" s="1945">
        <f t="shared" ref="E84" si="11">IF(D84&lt;=25000,D84,IF(D84&gt;25000,25000,0))</f>
        <v>3138</v>
      </c>
      <c r="F84" s="1946">
        <f t="shared" ref="F84" si="12">IF(OR(B84="10-1000-100",B84="10-1000-200",B84="10-1000-300",B84="10-1000-400",B84="10-1000-600",B84="10-1000-800",B84="50-1000-200",B84="10-2100-100",B84="10-2100-200",B84="10-2100-300",B84="10-2100-400",B84="10-2100-600",B84="10-2100-800",B84="20-2100-200",B84="20-2190-100",B84="20-2190-200",B84="20-2190-300",B84="20-2190-400",B84="20-2190-600",B84="20-2190-800",B84="40-2190-100",B84="40-2190-200",B84="40-2190-300",B84="40-2190-400",B84="40-2190-600",B84="40-2190-800",B84="50-2190-200",B84="10-2200-100",B84="10-2200-200",B84="10-2200-300",B84="10-2200-400",B84="10-2200-600",B84="10-2200-800",B84="50-2200-200",B84="10-2300-100",B84="10-2300-200",B84="10-2300-300",B84="10-2300-400",B84="10-2300-600",B84="10-2300-800",B84="50-2300-200",B84="80-2300-100",B84="80-2300-200",B84="80-2300-300",B84="80-2300-400",B84="80-2300-600",B84="80-2300-800",B84="10-2400-100",B84="10-2400-200",B84="10-2400-300",B84="10-2400-400",B84="10-2400-600",B84="10-2400-800",B84="50-2400-200",B84="10-2510-100",B84="10-2510-200",B84="10-2510-300",B84="10-2510-400",B84="10-2510-600",B84="10-2510-800",B84="20-2510-100",B84="20-2510-200",B84="20-2510-300",B84="20-2510-400",B84="20-2510-600",B84="20-2510-800",B84="50-2510-200",B84="10-2520-100",B84="10-2520-200",B84="10-2520-300",B84="10-2520-400",B84="10-2520-600",B84="10-2520-800",B84="50-2520-200",B84="10-2540-100",B84="10-2540-200",B84="10-2540-300",B84="10-2540-400",B84="10-2540-600",B84="20-2540-800",B84="20-2540-100",B84="20-2540-200",B84="20-2540-300",B84="20-2540-400",B84="20-2540-600",B84="50-2540-200",B84="90-2540-100",B84="90-2540-200",B84="90-2540-300",B84="90-2540-400",B84="90-2540-600",B84="90-2540-800",B84="90-2540-800",B84="10-2550-100",B84="10-2550-200",B84="10-2550-300",B84="10-2550-400",B84="10-2550-600",B84="10-2550-800",B84="20-2550-100",B84="20-2550-200",B84="20-2550-300",B84="20-2550-400",B84="20-2550-600",B84="20-2550-800",B84="40-2550-100",B84="40-2550-200",B84="40-2550-300",B84="40-2550-400",B84="40-2550-600",B84="40-2550-800",B84="50-2550-200",B84="10-2560-100",B84="10-2560-200",B84="10-2560-300",B84="10-2560-400",B84="10-2560-600",B84="10-2560-800",B84="20-2560-100",B84="20-2560-200",B84="20-2560-300",B84="20-2560-400",B84="20-2560-600",B84="20-2560-800",B84="50-2560-200",B84="10-2570-100",B84="10-2570-200",B84="10-2570-300",B84="10-2570-400",B84="10-2570-600",B84="10-2570-800",B84="50-2570-200",B84="10-2610-100",B84="10-2610-200",B84="10-2610-300",B84="10-2610-400",B84="10-2610-600",B84="10-2610-800",B84="50-2610-200",B84="10-2620-100",B84="10-2620-200",B84="10-2620-300",B84="10-2620-400",B84="10-2620-600",B84="10-2620-800",B84="50-2620-200",B84="10-2630-100",B84="10-2630-200",B84="10-2630-300",B84="10-2630-400",B84="10-2630-600",B84="10-2630-800",B84="50-2630-200",B84="10-2640-100",B84="10-2640-200",B84="10-2640-300",B84="10-2640-400",B84="10-2640-600",B84="10-2640-800",B84="50-2640-200",B84="10-2660-100",B84="10-2660-200",B84="10-2660-300",B84="10-2660-400",B84="10-2660-600",B84="10-2660-800",B84="50-2660-200",B84="10-2900-100",B84="10-2900-200",B84="10-2900-300",B84="10-2900-400",B84="10-2900-600",B84="10-2900-800",B84="20-2900-100",B84="20-2900-200",B84="20-2900-300",B84="20-2900-400",B84="20-2900-600",B84="20-2900-800",B84="40-2900-100",B84="40-2900-200",B84="40-2900-300",B84="40-2900-400",B84="40-2900-600",B84="40-2900-800",B84="50-2900-200",B84="60-2900-100",B84="60-2900-200",B84="60-2900-300",B84="60-2900-400",B84="60-2900-600",B84="60-2900-800",B84="90-2900-100",B84="90-2900-200",B84="90-2900-300",B84="90-2900-400",B84="90-2900-600",B84="90-2900-800",B84="10-3000-100",B84="10-3000-200",B84="10-3000-300",B84="10-3000-400",B84="10-3000-600",B84="10-3000-800",B84="20-3000-100",B84="20-3000-200",B84="20-3000-300",B84="20-3000-400",B84="20-3000-600",B84="20-3000-800",B84="40-3000-100",B84="40-3000-200",B84="40-3000-300",B84="40-3000-400",B84="40-3000-600",B84="40-3000-800",B84="50-3000-200"),E84,0)</f>
        <v>3138</v>
      </c>
      <c r="G84" s="1947">
        <f t="shared" ref="G84" si="13">IF(F84=0,0,D84-F84)</f>
        <v>0</v>
      </c>
    </row>
    <row r="85" spans="1:7" ht="30" x14ac:dyDescent="0.25">
      <c r="A85" s="1942" t="s">
        <v>2284</v>
      </c>
      <c r="B85" s="1948" t="s">
        <v>2504</v>
      </c>
      <c r="C85" s="1963" t="s">
        <v>2283</v>
      </c>
      <c r="D85" s="1944">
        <v>3030</v>
      </c>
      <c r="E85" s="1945">
        <f t="shared" ref="E85:E96" si="14">IF(D85&lt;=25000,D85,IF(D85&gt;25000,25000,0))</f>
        <v>3030</v>
      </c>
      <c r="F85" s="1946">
        <f t="shared" ref="F85:F96" si="15">IF(OR(B85="10-1000-100",B85="10-1000-200",B85="10-1000-300",B85="10-1000-400",B85="10-1000-600",B85="10-1000-800",B85="50-1000-200",B85="10-2100-100",B85="10-2100-200",B85="10-2100-300",B85="10-2100-400",B85="10-2100-600",B85="10-2100-800",B85="20-2100-200",B85="20-2190-100",B85="20-2190-200",B85="20-2190-300",B85="20-2190-400",B85="20-2190-600",B85="20-2190-800",B85="40-2190-100",B85="40-2190-200",B85="40-2190-300",B85="40-2190-400",B85="40-2190-600",B85="40-2190-800",B85="50-2190-200",B85="10-2200-100",B85="10-2200-200",B85="10-2200-300",B85="10-2200-400",B85="10-2200-600",B85="10-2200-800",B85="50-2200-200",B85="10-2300-100",B85="10-2300-200",B85="10-2300-300",B85="10-2300-400",B85="10-2300-600",B85="10-2300-800",B85="50-2300-200",B85="80-2300-100",B85="80-2300-200",B85="80-2300-300",B85="80-2300-400",B85="80-2300-600",B85="80-2300-800",B85="10-2400-100",B85="10-2400-200",B85="10-2400-300",B85="10-2400-400",B85="10-2400-600",B85="10-2400-800",B85="50-2400-200",B85="10-2510-100",B85="10-2510-200",B85="10-2510-300",B85="10-2510-400",B85="10-2510-600",B85="10-2510-800",B85="20-2510-100",B85="20-2510-200",B85="20-2510-300",B85="20-2510-400",B85="20-2510-600",B85="20-2510-800",B85="50-2510-200",B85="10-2520-100",B85="10-2520-200",B85="10-2520-300",B85="10-2520-400",B85="10-2520-600",B85="10-2520-800",B85="50-2520-200",B85="10-2540-100",B85="10-2540-200",B85="10-2540-300",B85="10-2540-400",B85="10-2540-600",B85="20-2540-800",B85="20-2540-100",B85="20-2540-200",B85="20-2540-300",B85="20-2540-400",B85="20-2540-600",B85="50-2540-200",B85="90-2540-100",B85="90-2540-200",B85="90-2540-300",B85="90-2540-400",B85="90-2540-600",B85="90-2540-800",B85="90-2540-800",B85="10-2550-100",B85="10-2550-200",B85="10-2550-300",B85="10-2550-400",B85="10-2550-600",B85="10-2550-800",B85="20-2550-100",B85="20-2550-200",B85="20-2550-300",B85="20-2550-400",B85="20-2550-600",B85="20-2550-800",B85="40-2550-100",B85="40-2550-200",B85="40-2550-300",B85="40-2550-400",B85="40-2550-600",B85="40-2550-800",B85="50-2550-200",B85="10-2560-100",B85="10-2560-200",B85="10-2560-300",B85="10-2560-400",B85="10-2560-600",B85="10-2560-800",B85="20-2560-100",B85="20-2560-200",B85="20-2560-300",B85="20-2560-400",B85="20-2560-600",B85="20-2560-800",B85="50-2560-200",B85="10-2570-100",B85="10-2570-200",B85="10-2570-300",B85="10-2570-400",B85="10-2570-600",B85="10-2570-800",B85="50-2570-200",B85="10-2610-100",B85="10-2610-200",B85="10-2610-300",B85="10-2610-400",B85="10-2610-600",B85="10-2610-800",B85="50-2610-200",B85="10-2620-100",B85="10-2620-200",B85="10-2620-300",B85="10-2620-400",B85="10-2620-600",B85="10-2620-800",B85="50-2620-200",B85="10-2630-100",B85="10-2630-200",B85="10-2630-300",B85="10-2630-400",B85="10-2630-600",B85="10-2630-800",B85="50-2630-200",B85="10-2640-100",B85="10-2640-200",B85="10-2640-300",B85="10-2640-400",B85="10-2640-600",B85="10-2640-800",B85="50-2640-200",B85="10-2660-100",B85="10-2660-200",B85="10-2660-300",B85="10-2660-400",B85="10-2660-600",B85="10-2660-800",B85="50-2660-200",B85="10-2900-100",B85="10-2900-200",B85="10-2900-300",B85="10-2900-400",B85="10-2900-600",B85="10-2900-800",B85="20-2900-100",B85="20-2900-200",B85="20-2900-300",B85="20-2900-400",B85="20-2900-600",B85="20-2900-800",B85="40-2900-100",B85="40-2900-200",B85="40-2900-300",B85="40-2900-400",B85="40-2900-600",B85="40-2900-800",B85="50-2900-200",B85="60-2900-100",B85="60-2900-200",B85="60-2900-300",B85="60-2900-400",B85="60-2900-600",B85="60-2900-800",B85="90-2900-100",B85="90-2900-200",B85="90-2900-300",B85="90-2900-400",B85="90-2900-600",B85="90-2900-800",B85="10-3000-100",B85="10-3000-200",B85="10-3000-300",B85="10-3000-400",B85="10-3000-600",B85="10-3000-800",B85="20-3000-100",B85="20-3000-200",B85="20-3000-300",B85="20-3000-400",B85="20-3000-600",B85="20-3000-800",B85="40-3000-100",B85="40-3000-200",B85="40-3000-300",B85="40-3000-400",B85="40-3000-600",B85="40-3000-800",B85="50-3000-200"),E85,0)</f>
        <v>3030</v>
      </c>
      <c r="G85" s="1947">
        <f t="shared" ref="G85:G96" si="16">IF(F85=0,0,D85-F85)</f>
        <v>0</v>
      </c>
    </row>
    <row r="86" spans="1:7" ht="30" x14ac:dyDescent="0.25">
      <c r="A86" s="1942" t="s">
        <v>2285</v>
      </c>
      <c r="B86" s="1948" t="s">
        <v>2504</v>
      </c>
      <c r="C86" s="1963" t="s">
        <v>2283</v>
      </c>
      <c r="D86" s="1944">
        <v>4607</v>
      </c>
      <c r="E86" s="1945">
        <f t="shared" si="14"/>
        <v>4607</v>
      </c>
      <c r="F86" s="1946">
        <f t="shared" si="15"/>
        <v>4607</v>
      </c>
      <c r="G86" s="1947">
        <f t="shared" si="16"/>
        <v>0</v>
      </c>
    </row>
    <row r="87" spans="1:7" ht="30" x14ac:dyDescent="0.25">
      <c r="A87" s="1942" t="s">
        <v>2286</v>
      </c>
      <c r="B87" s="1948" t="s">
        <v>2511</v>
      </c>
      <c r="C87" s="1963" t="s">
        <v>2283</v>
      </c>
      <c r="D87" s="1944">
        <v>3360</v>
      </c>
      <c r="E87" s="1945">
        <f t="shared" si="14"/>
        <v>3360</v>
      </c>
      <c r="F87" s="1946">
        <f t="shared" si="15"/>
        <v>3360</v>
      </c>
      <c r="G87" s="1947">
        <f t="shared" si="16"/>
        <v>0</v>
      </c>
    </row>
    <row r="88" spans="1:7" ht="30" x14ac:dyDescent="0.25">
      <c r="A88" s="1942" t="s">
        <v>2287</v>
      </c>
      <c r="B88" s="1948" t="s">
        <v>2505</v>
      </c>
      <c r="C88" s="1963" t="s">
        <v>2283</v>
      </c>
      <c r="D88" s="1944">
        <v>991111</v>
      </c>
      <c r="E88" s="1945">
        <f t="shared" si="14"/>
        <v>25000</v>
      </c>
      <c r="F88" s="1946">
        <f t="shared" si="15"/>
        <v>0</v>
      </c>
      <c r="G88" s="1947">
        <f t="shared" si="16"/>
        <v>0</v>
      </c>
    </row>
    <row r="89" spans="1:7" x14ac:dyDescent="0.25">
      <c r="A89" s="1942" t="s">
        <v>2288</v>
      </c>
      <c r="B89" s="1948" t="s">
        <v>2493</v>
      </c>
      <c r="C89" s="1963" t="s">
        <v>2289</v>
      </c>
      <c r="D89" s="1944">
        <v>15139</v>
      </c>
      <c r="E89" s="1945">
        <f t="shared" si="14"/>
        <v>15139</v>
      </c>
      <c r="F89" s="1946">
        <f t="shared" si="15"/>
        <v>15139</v>
      </c>
      <c r="G89" s="1947">
        <f t="shared" si="16"/>
        <v>0</v>
      </c>
    </row>
    <row r="90" spans="1:7" x14ac:dyDescent="0.25">
      <c r="A90" s="1942" t="s">
        <v>2290</v>
      </c>
      <c r="B90" s="1948" t="s">
        <v>2493</v>
      </c>
      <c r="C90" s="1963" t="s">
        <v>2289</v>
      </c>
      <c r="D90" s="1944">
        <v>154</v>
      </c>
      <c r="E90" s="1945">
        <f t="shared" si="14"/>
        <v>154</v>
      </c>
      <c r="F90" s="1946">
        <f t="shared" si="15"/>
        <v>154</v>
      </c>
      <c r="G90" s="1947">
        <f t="shared" si="16"/>
        <v>0</v>
      </c>
    </row>
    <row r="91" spans="1:7" x14ac:dyDescent="0.25">
      <c r="A91" s="1942" t="s">
        <v>2291</v>
      </c>
      <c r="B91" s="1948" t="s">
        <v>2493</v>
      </c>
      <c r="C91" s="1963" t="s">
        <v>2289</v>
      </c>
      <c r="D91" s="1944">
        <v>149414</v>
      </c>
      <c r="E91" s="1945">
        <f t="shared" si="14"/>
        <v>25000</v>
      </c>
      <c r="F91" s="1946">
        <f t="shared" si="15"/>
        <v>25000</v>
      </c>
      <c r="G91" s="1947">
        <f t="shared" si="16"/>
        <v>124414</v>
      </c>
    </row>
    <row r="92" spans="1:7" x14ac:dyDescent="0.25">
      <c r="A92" s="1942" t="s">
        <v>2292</v>
      </c>
      <c r="B92" s="1948" t="s">
        <v>2513</v>
      </c>
      <c r="C92" s="1963" t="s">
        <v>2289</v>
      </c>
      <c r="D92" s="1944">
        <v>884</v>
      </c>
      <c r="E92" s="1945">
        <f t="shared" si="14"/>
        <v>884</v>
      </c>
      <c r="F92" s="1946">
        <f t="shared" si="15"/>
        <v>884</v>
      </c>
      <c r="G92" s="1947">
        <f t="shared" si="16"/>
        <v>0</v>
      </c>
    </row>
    <row r="93" spans="1:7" x14ac:dyDescent="0.25">
      <c r="A93" s="1942" t="s">
        <v>2293</v>
      </c>
      <c r="B93" s="1948" t="s">
        <v>2493</v>
      </c>
      <c r="C93" s="1963" t="s">
        <v>2289</v>
      </c>
      <c r="D93" s="1944">
        <v>9089</v>
      </c>
      <c r="E93" s="1945">
        <f t="shared" si="14"/>
        <v>9089</v>
      </c>
      <c r="F93" s="1946">
        <f t="shared" si="15"/>
        <v>9089</v>
      </c>
      <c r="G93" s="1947">
        <f t="shared" si="16"/>
        <v>0</v>
      </c>
    </row>
    <row r="94" spans="1:7" x14ac:dyDescent="0.25">
      <c r="A94" s="1942" t="s">
        <v>2294</v>
      </c>
      <c r="B94" s="1948" t="s">
        <v>2503</v>
      </c>
      <c r="C94" s="1963" t="s">
        <v>2295</v>
      </c>
      <c r="D94" s="1944">
        <v>53618</v>
      </c>
      <c r="E94" s="1945">
        <f t="shared" si="14"/>
        <v>25000</v>
      </c>
      <c r="F94" s="1946">
        <f t="shared" si="15"/>
        <v>25000</v>
      </c>
      <c r="G94" s="1947">
        <f t="shared" si="16"/>
        <v>28618</v>
      </c>
    </row>
    <row r="95" spans="1:7" ht="30" x14ac:dyDescent="0.25">
      <c r="A95" s="1942" t="s">
        <v>2296</v>
      </c>
      <c r="B95" s="1948" t="s">
        <v>2511</v>
      </c>
      <c r="C95" s="1963" t="s">
        <v>2297</v>
      </c>
      <c r="D95" s="1944">
        <v>65196</v>
      </c>
      <c r="E95" s="1945">
        <f t="shared" si="14"/>
        <v>25000</v>
      </c>
      <c r="F95" s="1946">
        <f t="shared" si="15"/>
        <v>25000</v>
      </c>
      <c r="G95" s="1947">
        <f t="shared" si="16"/>
        <v>40196</v>
      </c>
    </row>
    <row r="96" spans="1:7" x14ac:dyDescent="0.25">
      <c r="A96" s="1942" t="s">
        <v>2298</v>
      </c>
      <c r="B96" s="1948" t="s">
        <v>2493</v>
      </c>
      <c r="C96" s="1963" t="s">
        <v>2299</v>
      </c>
      <c r="D96" s="1944">
        <v>914</v>
      </c>
      <c r="E96" s="1945">
        <f t="shared" si="14"/>
        <v>914</v>
      </c>
      <c r="F96" s="1946">
        <f t="shared" si="15"/>
        <v>914</v>
      </c>
      <c r="G96" s="1947">
        <f t="shared" si="16"/>
        <v>0</v>
      </c>
    </row>
    <row r="97" spans="1:7" x14ac:dyDescent="0.25">
      <c r="A97" s="1942" t="s">
        <v>2300</v>
      </c>
      <c r="B97" s="1948" t="s">
        <v>2493</v>
      </c>
      <c r="C97" s="1963" t="s">
        <v>2299</v>
      </c>
      <c r="D97" s="1944">
        <v>5637</v>
      </c>
      <c r="E97" s="1945">
        <f t="shared" ref="E97:E107" si="17">IF(D97&lt;=25000,D97,IF(D97&gt;25000,25000,0))</f>
        <v>5637</v>
      </c>
      <c r="F97" s="1946">
        <f t="shared" ref="F97:F107" si="18">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5637</v>
      </c>
      <c r="G97" s="1947">
        <f t="shared" ref="G97:G107" si="19">IF(F97=0,0,D97-F97)</f>
        <v>0</v>
      </c>
    </row>
    <row r="98" spans="1:7" x14ac:dyDescent="0.25">
      <c r="A98" s="1942" t="s">
        <v>2301</v>
      </c>
      <c r="B98" s="1948" t="s">
        <v>2493</v>
      </c>
      <c r="C98" s="1963" t="s">
        <v>2299</v>
      </c>
      <c r="D98" s="1944">
        <v>23750</v>
      </c>
      <c r="E98" s="1945">
        <f t="shared" si="17"/>
        <v>23750</v>
      </c>
      <c r="F98" s="1946">
        <f t="shared" si="18"/>
        <v>23750</v>
      </c>
      <c r="G98" s="1947">
        <f t="shared" si="19"/>
        <v>0</v>
      </c>
    </row>
    <row r="99" spans="1:7" x14ac:dyDescent="0.25">
      <c r="A99" s="1942" t="s">
        <v>2302</v>
      </c>
      <c r="B99" s="1948" t="s">
        <v>2493</v>
      </c>
      <c r="C99" s="1963" t="s">
        <v>2299</v>
      </c>
      <c r="D99" s="1944">
        <v>896</v>
      </c>
      <c r="E99" s="1945">
        <f t="shared" si="17"/>
        <v>896</v>
      </c>
      <c r="F99" s="1946">
        <f t="shared" si="18"/>
        <v>896</v>
      </c>
      <c r="G99" s="1947">
        <f t="shared" si="19"/>
        <v>0</v>
      </c>
    </row>
    <row r="100" spans="1:7" x14ac:dyDescent="0.25">
      <c r="A100" s="1950" t="s">
        <v>2303</v>
      </c>
      <c r="B100" s="1951" t="s">
        <v>2502</v>
      </c>
      <c r="C100" s="1964" t="s">
        <v>2304</v>
      </c>
      <c r="D100" s="1952">
        <v>63004</v>
      </c>
      <c r="E100" s="1945">
        <f t="shared" si="17"/>
        <v>25000</v>
      </c>
      <c r="F100" s="1946">
        <f t="shared" si="18"/>
        <v>0</v>
      </c>
      <c r="G100" s="1947">
        <f t="shared" si="19"/>
        <v>0</v>
      </c>
    </row>
    <row r="101" spans="1:7" ht="30" x14ac:dyDescent="0.25">
      <c r="A101" s="1942" t="s">
        <v>2224</v>
      </c>
      <c r="B101" s="1943" t="s">
        <v>1928</v>
      </c>
      <c r="C101" s="1963" t="s">
        <v>2305</v>
      </c>
      <c r="D101" s="1944">
        <v>59965</v>
      </c>
      <c r="E101" s="1945">
        <f t="shared" si="17"/>
        <v>25000</v>
      </c>
      <c r="F101" s="1946">
        <f t="shared" si="18"/>
        <v>25000</v>
      </c>
      <c r="G101" s="1947">
        <f t="shared" si="19"/>
        <v>34965</v>
      </c>
    </row>
    <row r="102" spans="1:7" x14ac:dyDescent="0.25">
      <c r="A102" s="1942" t="s">
        <v>2238</v>
      </c>
      <c r="B102" s="1948" t="s">
        <v>2500</v>
      </c>
      <c r="C102" s="1963" t="s">
        <v>2306</v>
      </c>
      <c r="D102" s="1944">
        <v>609100</v>
      </c>
      <c r="E102" s="1945">
        <f t="shared" si="17"/>
        <v>25000</v>
      </c>
      <c r="F102" s="1946">
        <f t="shared" si="18"/>
        <v>25000</v>
      </c>
      <c r="G102" s="1947">
        <f t="shared" si="19"/>
        <v>584100</v>
      </c>
    </row>
    <row r="103" spans="1:7" x14ac:dyDescent="0.25">
      <c r="A103" s="1942" t="s">
        <v>2307</v>
      </c>
      <c r="B103" s="1948" t="s">
        <v>2506</v>
      </c>
      <c r="C103" s="1963" t="s">
        <v>2306</v>
      </c>
      <c r="D103" s="1944">
        <v>9160</v>
      </c>
      <c r="E103" s="1945">
        <f t="shared" si="17"/>
        <v>9160</v>
      </c>
      <c r="F103" s="1946">
        <f t="shared" si="18"/>
        <v>9160</v>
      </c>
      <c r="G103" s="1947">
        <f t="shared" si="19"/>
        <v>0</v>
      </c>
    </row>
    <row r="104" spans="1:7" x14ac:dyDescent="0.25">
      <c r="A104" s="1942" t="s">
        <v>2308</v>
      </c>
      <c r="B104" s="1948" t="s">
        <v>2503</v>
      </c>
      <c r="C104" s="1963" t="s">
        <v>2309</v>
      </c>
      <c r="D104" s="1944">
        <v>82659</v>
      </c>
      <c r="E104" s="1945">
        <f t="shared" si="17"/>
        <v>25000</v>
      </c>
      <c r="F104" s="1946">
        <f t="shared" si="18"/>
        <v>25000</v>
      </c>
      <c r="G104" s="1947">
        <f t="shared" si="19"/>
        <v>57659</v>
      </c>
    </row>
    <row r="105" spans="1:7" x14ac:dyDescent="0.25">
      <c r="A105" s="1942" t="s">
        <v>2274</v>
      </c>
      <c r="B105" s="1948" t="s">
        <v>2503</v>
      </c>
      <c r="C105" s="1963" t="s">
        <v>2309</v>
      </c>
      <c r="D105" s="1944">
        <v>68612</v>
      </c>
      <c r="E105" s="1945">
        <f t="shared" si="17"/>
        <v>25000</v>
      </c>
      <c r="F105" s="1946">
        <f t="shared" si="18"/>
        <v>25000</v>
      </c>
      <c r="G105" s="1947">
        <f t="shared" si="19"/>
        <v>43612</v>
      </c>
    </row>
    <row r="106" spans="1:7" ht="30" x14ac:dyDescent="0.25">
      <c r="A106" s="1942" t="s">
        <v>2310</v>
      </c>
      <c r="B106" s="1948" t="s">
        <v>2497</v>
      </c>
      <c r="C106" s="1963" t="s">
        <v>2311</v>
      </c>
      <c r="D106" s="1944">
        <v>31474</v>
      </c>
      <c r="E106" s="1945">
        <f t="shared" si="17"/>
        <v>25000</v>
      </c>
      <c r="F106" s="1946">
        <f t="shared" si="18"/>
        <v>25000</v>
      </c>
      <c r="G106" s="1947">
        <f t="shared" si="19"/>
        <v>6474</v>
      </c>
    </row>
    <row r="107" spans="1:7" x14ac:dyDescent="0.25">
      <c r="A107" s="1942" t="s">
        <v>2312</v>
      </c>
      <c r="B107" s="1948" t="s">
        <v>2497</v>
      </c>
      <c r="C107" s="1963" t="s">
        <v>2311</v>
      </c>
      <c r="D107" s="1944">
        <v>5853</v>
      </c>
      <c r="E107" s="1945">
        <f t="shared" si="17"/>
        <v>5853</v>
      </c>
      <c r="F107" s="1946">
        <f t="shared" si="18"/>
        <v>5853</v>
      </c>
      <c r="G107" s="1947">
        <f t="shared" si="19"/>
        <v>0</v>
      </c>
    </row>
    <row r="108" spans="1:7" x14ac:dyDescent="0.25">
      <c r="A108" s="1942" t="s">
        <v>2269</v>
      </c>
      <c r="B108" s="1948" t="s">
        <v>2508</v>
      </c>
      <c r="C108" s="1963" t="s">
        <v>2311</v>
      </c>
      <c r="D108" s="1944">
        <v>44200</v>
      </c>
      <c r="E108" s="1945">
        <f t="shared" ref="E108:E113" si="20">IF(D108&lt;=25000,D108,IF(D108&gt;25000,25000,0))</f>
        <v>25000</v>
      </c>
      <c r="F108" s="1946">
        <f t="shared" ref="F108:F113" si="21">IF(OR(B108="10-1000-100",B108="10-1000-200",B108="10-1000-300",B108="10-1000-400",B108="10-1000-600",B108="10-1000-800",B108="50-1000-200",B108="10-2100-100",B108="10-2100-200",B108="10-2100-300",B108="10-2100-400",B108="10-2100-600",B108="10-2100-800",B108="20-2100-200",B108="20-2190-100",B108="20-2190-200",B108="20-2190-300",B108="20-2190-400",B108="20-2190-600",B108="20-2190-800",B108="40-2190-100",B108="40-2190-200",B108="40-2190-300",B108="40-2190-400",B108="40-2190-600",B108="40-2190-800",B108="50-2190-200",B108="10-2200-100",B108="10-2200-200",B108="10-2200-300",B108="10-2200-400",B108="10-2200-600",B108="10-2200-800",B108="50-2200-200",B108="10-2300-100",B108="10-2300-200",B108="10-2300-300",B108="10-2300-400",B108="10-2300-600",B108="10-2300-800",B108="50-2300-200",B108="80-2300-100",B108="80-2300-200",B108="80-2300-300",B108="80-2300-400",B108="80-2300-600",B108="80-2300-800",B108="10-2400-100",B108="10-2400-200",B108="10-2400-300",B108="10-2400-400",B108="10-2400-600",B108="10-2400-800",B108="50-2400-200",B108="10-2510-100",B108="10-2510-200",B108="10-2510-300",B108="10-2510-400",B108="10-2510-600",B108="10-2510-800",B108="20-2510-100",B108="20-2510-200",B108="20-2510-300",B108="20-2510-400",B108="20-2510-600",B108="20-2510-800",B108="50-2510-200",B108="10-2520-100",B108="10-2520-200",B108="10-2520-300",B108="10-2520-400",B108="10-2520-600",B108="10-2520-800",B108="50-2520-200",B108="10-2540-100",B108="10-2540-200",B108="10-2540-300",B108="10-2540-400",B108="10-2540-600",B108="20-2540-800",B108="20-2540-100",B108="20-2540-200",B108="20-2540-300",B108="20-2540-400",B108="20-2540-600",B108="50-2540-200",B108="90-2540-100",B108="90-2540-200",B108="90-2540-300",B108="90-2540-400",B108="90-2540-600",B108="90-2540-800",B108="90-2540-800",B108="10-2550-100",B108="10-2550-200",B108="10-2550-300",B108="10-2550-400",B108="10-2550-600",B108="10-2550-800",B108="20-2550-100",B108="20-2550-200",B108="20-2550-300",B108="20-2550-400",B108="20-2550-600",B108="20-2550-800",B108="40-2550-100",B108="40-2550-200",B108="40-2550-300",B108="40-2550-400",B108="40-2550-600",B108="40-2550-800",B108="50-2550-200",B108="10-2560-100",B108="10-2560-200",B108="10-2560-300",B108="10-2560-400",B108="10-2560-600",B108="10-2560-800",B108="20-2560-100",B108="20-2560-200",B108="20-2560-300",B108="20-2560-400",B108="20-2560-600",B108="20-2560-800",B108="50-2560-200",B108="10-2570-100",B108="10-2570-200",B108="10-2570-300",B108="10-2570-400",B108="10-2570-600",B108="10-2570-800",B108="50-2570-200",B108="10-2610-100",B108="10-2610-200",B108="10-2610-300",B108="10-2610-400",B108="10-2610-600",B108="10-2610-800",B108="50-2610-200",B108="10-2620-100",B108="10-2620-200",B108="10-2620-300",B108="10-2620-400",B108="10-2620-600",B108="10-2620-800",B108="50-2620-200",B108="10-2630-100",B108="10-2630-200",B108="10-2630-300",B108="10-2630-400",B108="10-2630-600",B108="10-2630-800",B108="50-2630-200",B108="10-2640-100",B108="10-2640-200",B108="10-2640-300",B108="10-2640-400",B108="10-2640-600",B108="10-2640-800",B108="50-2640-200",B108="10-2660-100",B108="10-2660-200",B108="10-2660-300",B108="10-2660-400",B108="10-2660-600",B108="10-2660-800",B108="50-2660-200",B108="10-2900-100",B108="10-2900-200",B108="10-2900-300",B108="10-2900-400",B108="10-2900-600",B108="10-2900-800",B108="20-2900-100",B108="20-2900-200",B108="20-2900-300",B108="20-2900-400",B108="20-2900-600",B108="20-2900-800",B108="40-2900-100",B108="40-2900-200",B108="40-2900-300",B108="40-2900-400",B108="40-2900-600",B108="40-2900-800",B108="50-2900-200",B108="60-2900-100",B108="60-2900-200",B108="60-2900-300",B108="60-2900-400",B108="60-2900-600",B108="60-2900-800",B108="90-2900-100",B108="90-2900-200",B108="90-2900-300",B108="90-2900-400",B108="90-2900-600",B108="90-2900-800",B108="10-3000-100",B108="10-3000-200",B108="10-3000-300",B108="10-3000-400",B108="10-3000-600",B108="10-3000-800",B108="20-3000-100",B108="20-3000-200",B108="20-3000-300",B108="20-3000-400",B108="20-3000-600",B108="20-3000-800",B108="40-3000-100",B108="40-3000-200",B108="40-3000-300",B108="40-3000-400",B108="40-3000-600",B108="40-3000-800",B108="50-3000-200"),E108,0)</f>
        <v>25000</v>
      </c>
      <c r="G108" s="1947">
        <f t="shared" ref="G108:G113" si="22">IF(F108=0,0,D108-F108)</f>
        <v>19200</v>
      </c>
    </row>
    <row r="109" spans="1:7" ht="30" x14ac:dyDescent="0.25">
      <c r="A109" s="1942" t="s">
        <v>2313</v>
      </c>
      <c r="B109" s="1948" t="s">
        <v>2497</v>
      </c>
      <c r="C109" s="1963" t="s">
        <v>2311</v>
      </c>
      <c r="D109" s="1944">
        <v>8901</v>
      </c>
      <c r="E109" s="1945">
        <f t="shared" si="20"/>
        <v>8901</v>
      </c>
      <c r="F109" s="1946">
        <f t="shared" si="21"/>
        <v>8901</v>
      </c>
      <c r="G109" s="1947">
        <f t="shared" si="22"/>
        <v>0</v>
      </c>
    </row>
    <row r="110" spans="1:7" x14ac:dyDescent="0.25">
      <c r="A110" s="1942" t="s">
        <v>2314</v>
      </c>
      <c r="B110" s="1948" t="s">
        <v>2503</v>
      </c>
      <c r="C110" s="1963" t="s">
        <v>2311</v>
      </c>
      <c r="D110" s="1944">
        <v>38700</v>
      </c>
      <c r="E110" s="1945">
        <f t="shared" si="20"/>
        <v>25000</v>
      </c>
      <c r="F110" s="1946">
        <f t="shared" si="21"/>
        <v>25000</v>
      </c>
      <c r="G110" s="1947">
        <f t="shared" si="22"/>
        <v>13700</v>
      </c>
    </row>
    <row r="111" spans="1:7" x14ac:dyDescent="0.25">
      <c r="A111" s="1942" t="s">
        <v>2315</v>
      </c>
      <c r="B111" s="1948" t="s">
        <v>2499</v>
      </c>
      <c r="C111" s="1963" t="s">
        <v>2316</v>
      </c>
      <c r="D111" s="1944">
        <v>2500</v>
      </c>
      <c r="E111" s="1945">
        <f t="shared" si="20"/>
        <v>2500</v>
      </c>
      <c r="F111" s="1946">
        <f t="shared" si="21"/>
        <v>2500</v>
      </c>
      <c r="G111" s="1947">
        <f t="shared" si="22"/>
        <v>0</v>
      </c>
    </row>
    <row r="112" spans="1:7" x14ac:dyDescent="0.25">
      <c r="A112" s="1942" t="s">
        <v>2191</v>
      </c>
      <c r="B112" s="1948" t="s">
        <v>2499</v>
      </c>
      <c r="C112" s="1963" t="s">
        <v>2316</v>
      </c>
      <c r="D112" s="1944">
        <v>1500</v>
      </c>
      <c r="E112" s="1945">
        <f t="shared" si="20"/>
        <v>1500</v>
      </c>
      <c r="F112" s="1946">
        <f t="shared" si="21"/>
        <v>1500</v>
      </c>
      <c r="G112" s="1947">
        <f t="shared" si="22"/>
        <v>0</v>
      </c>
    </row>
    <row r="113" spans="1:7" x14ac:dyDescent="0.25">
      <c r="A113" s="1942" t="s">
        <v>2317</v>
      </c>
      <c r="B113" s="1948" t="s">
        <v>2499</v>
      </c>
      <c r="C113" s="1963" t="s">
        <v>2316</v>
      </c>
      <c r="D113" s="1944">
        <v>142326</v>
      </c>
      <c r="E113" s="1945">
        <f t="shared" si="20"/>
        <v>25000</v>
      </c>
      <c r="F113" s="1946">
        <f t="shared" si="21"/>
        <v>25000</v>
      </c>
      <c r="G113" s="1947">
        <f t="shared" si="22"/>
        <v>117326</v>
      </c>
    </row>
    <row r="114" spans="1:7" ht="30" x14ac:dyDescent="0.25">
      <c r="A114" s="1942" t="s">
        <v>2319</v>
      </c>
      <c r="B114" s="1948" t="s">
        <v>1928</v>
      </c>
      <c r="C114" s="1963" t="s">
        <v>2320</v>
      </c>
      <c r="D114" s="1944">
        <v>65615</v>
      </c>
      <c r="E114" s="1945">
        <f t="shared" ref="E114:E115" si="23">IF(D114&lt;=25000,D114,IF(D114&gt;25000,25000,0))</f>
        <v>25000</v>
      </c>
      <c r="F114" s="1946">
        <f t="shared" ref="F114:F115" si="24">IF(OR(B114="10-1000-100",B114="10-1000-200",B114="10-1000-300",B114="10-1000-400",B114="10-1000-600",B114="10-1000-800",B114="50-1000-200",B114="10-2100-100",B114="10-2100-200",B114="10-2100-300",B114="10-2100-400",B114="10-2100-600",B114="10-2100-800",B114="20-2100-200",B114="20-2190-100",B114="20-2190-200",B114="20-2190-300",B114="20-2190-400",B114="20-2190-600",B114="20-2190-800",B114="40-2190-100",B114="40-2190-200",B114="40-2190-300",B114="40-2190-400",B114="40-2190-600",B114="40-2190-800",B114="50-2190-200",B114="10-2200-100",B114="10-2200-200",B114="10-2200-300",B114="10-2200-400",B114="10-2200-600",B114="10-2200-800",B114="50-2200-200",B114="10-2300-100",B114="10-2300-200",B114="10-2300-300",B114="10-2300-400",B114="10-2300-600",B114="10-2300-800",B114="50-2300-200",B114="80-2300-100",B114="80-2300-200",B114="80-2300-300",B114="80-2300-400",B114="80-2300-600",B114="80-2300-800",B114="10-2400-100",B114="10-2400-200",B114="10-2400-300",B114="10-2400-400",B114="10-2400-600",B114="10-2400-800",B114="50-2400-200",B114="10-2510-100",B114="10-2510-200",B114="10-2510-300",B114="10-2510-400",B114="10-2510-600",B114="10-2510-800",B114="20-2510-100",B114="20-2510-200",B114="20-2510-300",B114="20-2510-400",B114="20-2510-600",B114="20-2510-800",B114="50-2510-200",B114="10-2520-100",B114="10-2520-200",B114="10-2520-300",B114="10-2520-400",B114="10-2520-600",B114="10-2520-800",B114="50-2520-200",B114="10-2540-100",B114="10-2540-200",B114="10-2540-300",B114="10-2540-400",B114="10-2540-600",B114="20-2540-800",B114="20-2540-100",B114="20-2540-200",B114="20-2540-300",B114="20-2540-400",B114="20-2540-600",B114="50-2540-200",B114="90-2540-100",B114="90-2540-200",B114="90-2540-300",B114="90-2540-400",B114="90-2540-600",B114="90-2540-800",B114="90-2540-800",B114="10-2550-100",B114="10-2550-200",B114="10-2550-300",B114="10-2550-400",B114="10-2550-600",B114="10-2550-800",B114="20-2550-100",B114="20-2550-200",B114="20-2550-300",B114="20-2550-400",B114="20-2550-600",B114="20-2550-800",B114="40-2550-100",B114="40-2550-200",B114="40-2550-300",B114="40-2550-400",B114="40-2550-600",B114="40-2550-800",B114="50-2550-200",B114="10-2560-100",B114="10-2560-200",B114="10-2560-300",B114="10-2560-400",B114="10-2560-600",B114="10-2560-800",B114="20-2560-100",B114="20-2560-200",B114="20-2560-300",B114="20-2560-400",B114="20-2560-600",B114="20-2560-800",B114="50-2560-200",B114="10-2570-100",B114="10-2570-200",B114="10-2570-300",B114="10-2570-400",B114="10-2570-600",B114="10-2570-800",B114="50-2570-200",B114="10-2610-100",B114="10-2610-200",B114="10-2610-300",B114="10-2610-400",B114="10-2610-600",B114="10-2610-800",B114="50-2610-200",B114="10-2620-100",B114="10-2620-200",B114="10-2620-300",B114="10-2620-400",B114="10-2620-600",B114="10-2620-800",B114="50-2620-200",B114="10-2630-100",B114="10-2630-200",B114="10-2630-300",B114="10-2630-400",B114="10-2630-600",B114="10-2630-800",B114="50-2630-200",B114="10-2640-100",B114="10-2640-200",B114="10-2640-300",B114="10-2640-400",B114="10-2640-600",B114="10-2640-800",B114="50-2640-200",B114="10-2660-100",B114="10-2660-200",B114="10-2660-300",B114="10-2660-400",B114="10-2660-600",B114="10-2660-800",B114="50-2660-200",B114="10-2900-100",B114="10-2900-200",B114="10-2900-300",B114="10-2900-400",B114="10-2900-600",B114="10-2900-800",B114="20-2900-100",B114="20-2900-200",B114="20-2900-300",B114="20-2900-400",B114="20-2900-600",B114="20-2900-800",B114="40-2900-100",B114="40-2900-200",B114="40-2900-300",B114="40-2900-400",B114="40-2900-600",B114="40-2900-800",B114="50-2900-200",B114="60-2900-100",B114="60-2900-200",B114="60-2900-300",B114="60-2900-400",B114="60-2900-600",B114="60-2900-800",B114="90-2900-100",B114="90-2900-200",B114="90-2900-300",B114="90-2900-400",B114="90-2900-600",B114="90-2900-800",B114="10-3000-100",B114="10-3000-200",B114="10-3000-300",B114="10-3000-400",B114="10-3000-600",B114="10-3000-800",B114="20-3000-100",B114="20-3000-200",B114="20-3000-300",B114="20-3000-400",B114="20-3000-600",B114="20-3000-800",B114="40-3000-100",B114="40-3000-200",B114="40-3000-300",B114="40-3000-400",B114="40-3000-600",B114="40-3000-800",B114="50-3000-200"),E114,0)</f>
        <v>25000</v>
      </c>
      <c r="G114" s="1947">
        <f t="shared" ref="G114:G115" si="25">IF(F114=0,0,D114-F114)</f>
        <v>40615</v>
      </c>
    </row>
    <row r="115" spans="1:7" x14ac:dyDescent="0.25">
      <c r="A115" s="1942" t="s">
        <v>2321</v>
      </c>
      <c r="B115" s="1948" t="s">
        <v>2512</v>
      </c>
      <c r="C115" s="1963" t="s">
        <v>2322</v>
      </c>
      <c r="D115" s="1944">
        <v>65500</v>
      </c>
      <c r="E115" s="1945">
        <f t="shared" si="23"/>
        <v>25000</v>
      </c>
      <c r="F115" s="1946">
        <f t="shared" si="24"/>
        <v>25000</v>
      </c>
      <c r="G115" s="1947">
        <f t="shared" si="25"/>
        <v>40500</v>
      </c>
    </row>
    <row r="116" spans="1:7" ht="30" x14ac:dyDescent="0.25">
      <c r="A116" s="1942" t="s">
        <v>2197</v>
      </c>
      <c r="B116" s="1948" t="s">
        <v>2496</v>
      </c>
      <c r="C116" s="1963" t="s">
        <v>2323</v>
      </c>
      <c r="D116" s="1944">
        <v>65227</v>
      </c>
      <c r="E116" s="1945">
        <f t="shared" si="2"/>
        <v>25000</v>
      </c>
      <c r="F116" s="1946">
        <f t="shared" si="3"/>
        <v>25000</v>
      </c>
      <c r="G116" s="1947">
        <f t="shared" si="4"/>
        <v>40227</v>
      </c>
    </row>
    <row r="117" spans="1:7" ht="30" x14ac:dyDescent="0.25">
      <c r="A117" s="1953" t="s">
        <v>2224</v>
      </c>
      <c r="B117" s="1954" t="s">
        <v>1928</v>
      </c>
      <c r="C117" s="1953" t="s">
        <v>2324</v>
      </c>
      <c r="D117" s="1955">
        <v>58160</v>
      </c>
      <c r="E117" s="1945">
        <f t="shared" si="1"/>
        <v>25000</v>
      </c>
      <c r="F117" s="1946">
        <f t="shared" ref="F117:F175" si="26">IF(OR(B117="10-1000-100",B117="10-1000-200",B117="10-1000-300",B117="10-1000-400",B117="10-1000-600",B117="10-1000-800",B117="50-1000-200",B117="10-2100-100",B117="10-2100-200",B117="10-2100-300",B117="10-2100-400",B117="10-2100-600",B117="10-2100-800",B117="20-2100-200",B117="20-2190-100",B117="20-2190-200",B117="20-2190-300",B117="20-2190-400",B117="20-2190-600",B117="20-2190-800",B117="40-2190-100",B117="40-2190-200",B117="40-2190-300",B117="40-2190-400",B117="40-2190-600",B117="40-2190-800",B117="50-2190-200",B117="10-2200-100",B117="10-2200-200",B117="10-2200-300",B117="10-2200-400",B117="10-2200-600",B117="10-2200-800",B117="50-2200-200",B117="10-2300-100",B117="10-2300-200",B117="10-2300-300",B117="10-2300-400",B117="10-2300-600",B117="10-2300-800",B117="50-2300-200",B117="80-2300-100",B117="80-2300-200",B117="80-2300-300",B117="80-2300-400",B117="80-2300-600",B117="80-2300-800",B117="10-2400-100",B117="10-2400-200",B117="10-2400-300",B117="10-2400-400",B117="10-2400-600",B117="10-2400-800",B117="50-2400-200",B117="10-2510-100",B117="10-2510-200",B117="10-2510-300",B117="10-2510-400",B117="10-2510-600",B117="10-2510-800",B117="20-2510-100",B117="20-2510-200",B117="20-2510-300",B117="20-2510-400",B117="20-2510-600",B117="20-2510-800",B117="50-2510-200",B117="10-2520-100",B117="10-2520-200",B117="10-2520-300",B117="10-2520-400",B117="10-2520-600",B117="10-2520-800",B117="50-2520-200",B117="10-2540-100",B117="10-2540-200",B117="10-2540-300",B117="10-2540-400",B117="10-2540-600",B117="20-2540-800",B117="20-2540-100",B117="20-2540-200",B117="20-2540-300",B117="20-2540-400",B117="20-2540-600",B117="50-2540-200",B117="90-2540-100",B117="90-2540-200",B117="90-2540-300",B117="90-2540-400",B117="90-2540-600",B117="90-2540-800",B117="90-2540-800",B117="10-2550-100",B117="10-2550-200",B117="10-2550-300",B117="10-2550-400",B117="10-2550-600",B117="10-2550-800",B117="20-2550-100",B117="20-2550-200",B117="20-2550-300",B117="20-2550-400",B117="20-2550-600",B117="20-2550-800",B117="40-2550-100",B117="40-2550-200",B117="40-2550-300",B117="40-2550-400",B117="40-2550-600",B117="40-2550-800",B117="50-2550-200",B117="10-2560-100",B117="10-2560-200",B117="10-2560-300",B117="10-2560-400",B117="10-2560-600",B117="10-2560-800",B117="20-2560-100",B117="20-2560-200",B117="20-2560-300",B117="20-2560-400",B117="20-2560-600",B117="20-2560-800",B117="50-2560-200",B117="10-2570-100",B117="10-2570-200",B117="10-2570-300",B117="10-2570-400",B117="10-2570-600",B117="10-2570-800",B117="50-2570-200",B117="10-2610-100",B117="10-2610-200",B117="10-2610-300",B117="10-2610-400",B117="10-2610-600",B117="10-2610-800",B117="50-2610-200",B117="10-2620-100",B117="10-2620-200",B117="10-2620-300",B117="10-2620-400",B117="10-2620-600",B117="10-2620-800",B117="50-2620-200",B117="10-2630-100",B117="10-2630-200",B117="10-2630-300",B117="10-2630-400",B117="10-2630-600",B117="10-2630-800",B117="50-2630-200",B117="10-2640-100",B117="10-2640-200",B117="10-2640-300",B117="10-2640-400",B117="10-2640-600",B117="10-2640-800",B117="50-2640-200",B117="10-2660-100",B117="10-2660-200",B117="10-2660-300",B117="10-2660-400",B117="10-2660-600",B117="10-2660-800",B117="50-2660-200",B117="10-2900-100",B117="10-2900-200",B117="10-2900-300",B117="10-2900-400",B117="10-2900-600",B117="10-2900-800",B117="20-2900-100",B117="20-2900-200",B117="20-2900-300",B117="20-2900-400",B117="20-2900-600",B117="20-2900-800",B117="40-2900-100",B117="40-2900-200",B117="40-2900-300",B117="40-2900-400",B117="40-2900-600",B117="40-2900-800",B117="50-2900-200",B117="60-2900-100",B117="60-2900-200",B117="60-2900-300",B117="60-2900-400",B117="60-2900-600",B117="60-2900-800",B117="90-2900-100",B117="90-2900-200",B117="90-2900-300",B117="90-2900-400",B117="90-2900-600",B117="90-2900-800",B117="10-3000-100",B117="10-3000-200",B117="10-3000-300",B117="10-3000-400",B117="10-3000-600",B117="10-3000-800",B117="20-3000-100",B117="20-3000-200",B117="20-3000-300",B117="20-3000-400",B117="20-3000-600",B117="20-3000-800",B117="40-3000-100",B117="40-3000-200",B117="40-3000-300",B117="40-3000-400",B117="40-3000-600",B117="40-3000-800",B117="50-3000-200"),E117,0)</f>
        <v>25000</v>
      </c>
      <c r="G117" s="1947">
        <f>IF(F117=0,0,D117-F117)</f>
        <v>33160</v>
      </c>
    </row>
    <row r="118" spans="1:7" ht="30" x14ac:dyDescent="0.25">
      <c r="A118" s="1953" t="s">
        <v>2325</v>
      </c>
      <c r="B118" s="1954" t="s">
        <v>2514</v>
      </c>
      <c r="C118" s="1953" t="s">
        <v>2326</v>
      </c>
      <c r="D118" s="1955">
        <v>57834</v>
      </c>
      <c r="E118" s="1945">
        <f t="shared" si="2"/>
        <v>25000</v>
      </c>
      <c r="F118" s="1946">
        <f t="shared" si="26"/>
        <v>0</v>
      </c>
      <c r="G118" s="1947">
        <f t="shared" ref="G118:G232" si="27">IF(F118=0,0,D118-F118)</f>
        <v>0</v>
      </c>
    </row>
    <row r="119" spans="1:7" ht="30" x14ac:dyDescent="0.25">
      <c r="A119" s="1953" t="s">
        <v>2327</v>
      </c>
      <c r="B119" s="1954" t="s">
        <v>2504</v>
      </c>
      <c r="C119" s="1953" t="s">
        <v>2328</v>
      </c>
      <c r="D119" s="1955">
        <v>4344</v>
      </c>
      <c r="E119" s="1945">
        <f t="shared" ref="E119:E227" si="28">IF(D119&lt;=25000,D119,IF(D119&gt;25000,25000,0))</f>
        <v>4344</v>
      </c>
      <c r="F119" s="1946">
        <f t="shared" si="26"/>
        <v>4344</v>
      </c>
      <c r="G119" s="1947">
        <f t="shared" si="27"/>
        <v>0</v>
      </c>
    </row>
    <row r="120" spans="1:7" ht="30" x14ac:dyDescent="0.25">
      <c r="A120" s="1953" t="s">
        <v>2329</v>
      </c>
      <c r="B120" s="1954" t="s">
        <v>2504</v>
      </c>
      <c r="C120" s="1953" t="s">
        <v>2328</v>
      </c>
      <c r="D120" s="1955">
        <v>5116</v>
      </c>
      <c r="E120" s="1945">
        <f t="shared" si="28"/>
        <v>5116</v>
      </c>
      <c r="F120" s="1946">
        <f t="shared" si="26"/>
        <v>5116</v>
      </c>
      <c r="G120" s="1947">
        <f t="shared" si="27"/>
        <v>0</v>
      </c>
    </row>
    <row r="121" spans="1:7" ht="30" x14ac:dyDescent="0.25">
      <c r="A121" s="1953" t="s">
        <v>2330</v>
      </c>
      <c r="B121" s="1954" t="s">
        <v>2511</v>
      </c>
      <c r="C121" s="1953" t="s">
        <v>2328</v>
      </c>
      <c r="D121" s="1955">
        <v>46910</v>
      </c>
      <c r="E121" s="1945">
        <f t="shared" si="28"/>
        <v>25000</v>
      </c>
      <c r="F121" s="1946">
        <f t="shared" si="26"/>
        <v>25000</v>
      </c>
      <c r="G121" s="1947">
        <f t="shared" si="27"/>
        <v>21910</v>
      </c>
    </row>
    <row r="122" spans="1:7" ht="30" x14ac:dyDescent="0.25">
      <c r="A122" s="1953" t="s">
        <v>2224</v>
      </c>
      <c r="B122" s="1954" t="s">
        <v>1928</v>
      </c>
      <c r="C122" s="1953" t="s">
        <v>2331</v>
      </c>
      <c r="D122" s="1955">
        <v>55399</v>
      </c>
      <c r="E122" s="1945">
        <f t="shared" si="28"/>
        <v>25000</v>
      </c>
      <c r="F122" s="1946">
        <f t="shared" si="26"/>
        <v>25000</v>
      </c>
      <c r="G122" s="1947">
        <f t="shared" si="27"/>
        <v>30399</v>
      </c>
    </row>
    <row r="123" spans="1:7" x14ac:dyDescent="0.25">
      <c r="A123" s="1953" t="s">
        <v>2332</v>
      </c>
      <c r="B123" s="1954" t="s">
        <v>2503</v>
      </c>
      <c r="C123" s="1953" t="s">
        <v>2333</v>
      </c>
      <c r="D123" s="1955">
        <v>54411</v>
      </c>
      <c r="E123" s="1945">
        <f t="shared" si="28"/>
        <v>25000</v>
      </c>
      <c r="F123" s="1946">
        <f t="shared" si="26"/>
        <v>25000</v>
      </c>
      <c r="G123" s="1947">
        <f t="shared" si="27"/>
        <v>29411</v>
      </c>
    </row>
    <row r="124" spans="1:7" x14ac:dyDescent="0.25">
      <c r="A124" s="1953" t="s">
        <v>2334</v>
      </c>
      <c r="B124" s="1954" t="s">
        <v>2499</v>
      </c>
      <c r="C124" s="1953" t="s">
        <v>2335</v>
      </c>
      <c r="D124" s="1955">
        <v>16000</v>
      </c>
      <c r="E124" s="1945">
        <f t="shared" si="28"/>
        <v>16000</v>
      </c>
      <c r="F124" s="1946">
        <f t="shared" si="26"/>
        <v>16000</v>
      </c>
      <c r="G124" s="1947">
        <f t="shared" si="27"/>
        <v>0</v>
      </c>
    </row>
    <row r="125" spans="1:7" x14ac:dyDescent="0.25">
      <c r="A125" s="1953" t="s">
        <v>2191</v>
      </c>
      <c r="B125" s="1954" t="s">
        <v>2499</v>
      </c>
      <c r="C125" s="1953" t="s">
        <v>2335</v>
      </c>
      <c r="D125" s="1955">
        <v>33000</v>
      </c>
      <c r="E125" s="1945">
        <f t="shared" si="28"/>
        <v>25000</v>
      </c>
      <c r="F125" s="1946">
        <f t="shared" si="26"/>
        <v>25000</v>
      </c>
      <c r="G125" s="1947">
        <f t="shared" si="27"/>
        <v>8000</v>
      </c>
    </row>
    <row r="126" spans="1:7" x14ac:dyDescent="0.25">
      <c r="A126" s="1953" t="s">
        <v>2336</v>
      </c>
      <c r="B126" s="1954" t="s">
        <v>2500</v>
      </c>
      <c r="C126" s="1953" t="s">
        <v>2335</v>
      </c>
      <c r="D126" s="1955">
        <v>3000</v>
      </c>
      <c r="E126" s="1945">
        <f t="shared" si="28"/>
        <v>3000</v>
      </c>
      <c r="F126" s="1946">
        <f t="shared" si="26"/>
        <v>3000</v>
      </c>
      <c r="G126" s="1947">
        <f t="shared" si="27"/>
        <v>0</v>
      </c>
    </row>
    <row r="127" spans="1:7" x14ac:dyDescent="0.25">
      <c r="A127" s="1953" t="s">
        <v>2337</v>
      </c>
      <c r="B127" s="1954" t="s">
        <v>2495</v>
      </c>
      <c r="C127" s="1953" t="s">
        <v>2338</v>
      </c>
      <c r="D127" s="1956">
        <v>300</v>
      </c>
      <c r="E127" s="1945">
        <f t="shared" si="28"/>
        <v>300</v>
      </c>
      <c r="F127" s="1946">
        <f t="shared" si="26"/>
        <v>300</v>
      </c>
      <c r="G127" s="1947">
        <f t="shared" si="27"/>
        <v>0</v>
      </c>
    </row>
    <row r="128" spans="1:7" x14ac:dyDescent="0.25">
      <c r="A128" s="1953" t="s">
        <v>2339</v>
      </c>
      <c r="B128" s="1954" t="s">
        <v>2495</v>
      </c>
      <c r="C128" s="1953" t="s">
        <v>2338</v>
      </c>
      <c r="D128" s="1955">
        <v>9000</v>
      </c>
      <c r="E128" s="1945">
        <f t="shared" si="28"/>
        <v>9000</v>
      </c>
      <c r="F128" s="1946">
        <f t="shared" si="26"/>
        <v>9000</v>
      </c>
      <c r="G128" s="1947">
        <f t="shared" si="27"/>
        <v>0</v>
      </c>
    </row>
    <row r="129" spans="1:7" x14ac:dyDescent="0.25">
      <c r="A129" s="1953" t="s">
        <v>2340</v>
      </c>
      <c r="B129" s="1954" t="s">
        <v>2503</v>
      </c>
      <c r="C129" s="1953" t="s">
        <v>2341</v>
      </c>
      <c r="D129" s="1955">
        <v>41618</v>
      </c>
      <c r="E129" s="1945">
        <f t="shared" si="28"/>
        <v>25000</v>
      </c>
      <c r="F129" s="1946">
        <f t="shared" si="26"/>
        <v>25000</v>
      </c>
      <c r="G129" s="1947">
        <f t="shared" si="27"/>
        <v>16618</v>
      </c>
    </row>
    <row r="130" spans="1:7" x14ac:dyDescent="0.25">
      <c r="A130" s="1953" t="s">
        <v>2342</v>
      </c>
      <c r="B130" s="1954" t="s">
        <v>2503</v>
      </c>
      <c r="C130" s="1953" t="s">
        <v>2341</v>
      </c>
      <c r="D130" s="1955">
        <v>9055</v>
      </c>
      <c r="E130" s="1945">
        <f t="shared" si="28"/>
        <v>9055</v>
      </c>
      <c r="F130" s="1946">
        <f t="shared" si="26"/>
        <v>9055</v>
      </c>
      <c r="G130" s="1947">
        <f t="shared" si="27"/>
        <v>0</v>
      </c>
    </row>
    <row r="131" spans="1:7" x14ac:dyDescent="0.25">
      <c r="A131" s="1953" t="s">
        <v>2191</v>
      </c>
      <c r="B131" s="1954" t="s">
        <v>2499</v>
      </c>
      <c r="C131" s="1953" t="s">
        <v>2343</v>
      </c>
      <c r="D131" s="1955">
        <v>50320</v>
      </c>
      <c r="E131" s="1945">
        <f t="shared" si="28"/>
        <v>25000</v>
      </c>
      <c r="F131" s="1946">
        <f t="shared" si="26"/>
        <v>25000</v>
      </c>
      <c r="G131" s="1947">
        <f t="shared" si="27"/>
        <v>25320</v>
      </c>
    </row>
    <row r="132" spans="1:7" x14ac:dyDescent="0.25">
      <c r="A132" s="1953" t="s">
        <v>2344</v>
      </c>
      <c r="B132" s="1954" t="s">
        <v>2515</v>
      </c>
      <c r="C132" s="1953" t="s">
        <v>2345</v>
      </c>
      <c r="D132" s="1956">
        <v>25</v>
      </c>
      <c r="E132" s="1945">
        <f t="shared" si="28"/>
        <v>25</v>
      </c>
      <c r="F132" s="1946">
        <f t="shared" si="26"/>
        <v>25</v>
      </c>
      <c r="G132" s="1947">
        <f t="shared" si="27"/>
        <v>0</v>
      </c>
    </row>
    <row r="133" spans="1:7" ht="30" x14ac:dyDescent="0.25">
      <c r="A133" s="1953" t="s">
        <v>2346</v>
      </c>
      <c r="B133" s="1954" t="s">
        <v>2494</v>
      </c>
      <c r="C133" s="1953" t="s">
        <v>2345</v>
      </c>
      <c r="D133" s="1955">
        <v>9778</v>
      </c>
      <c r="E133" s="1945">
        <f t="shared" si="28"/>
        <v>9778</v>
      </c>
      <c r="F133" s="1946">
        <f t="shared" si="26"/>
        <v>9778</v>
      </c>
      <c r="G133" s="1947">
        <f t="shared" si="27"/>
        <v>0</v>
      </c>
    </row>
    <row r="134" spans="1:7" ht="30" x14ac:dyDescent="0.25">
      <c r="A134" s="1953" t="s">
        <v>2347</v>
      </c>
      <c r="B134" s="1954" t="s">
        <v>2511</v>
      </c>
      <c r="C134" s="1953" t="s">
        <v>2345</v>
      </c>
      <c r="D134" s="1955">
        <v>37145</v>
      </c>
      <c r="E134" s="1945">
        <f t="shared" si="28"/>
        <v>25000</v>
      </c>
      <c r="F134" s="1946">
        <f t="shared" si="26"/>
        <v>25000</v>
      </c>
      <c r="G134" s="1947">
        <f t="shared" si="27"/>
        <v>12145</v>
      </c>
    </row>
    <row r="135" spans="1:7" x14ac:dyDescent="0.25">
      <c r="A135" s="1953" t="s">
        <v>2348</v>
      </c>
      <c r="B135" s="1954" t="s">
        <v>2516</v>
      </c>
      <c r="C135" s="1953" t="s">
        <v>2349</v>
      </c>
      <c r="D135" s="1955">
        <v>13976</v>
      </c>
      <c r="E135" s="1945">
        <f t="shared" si="28"/>
        <v>13976</v>
      </c>
      <c r="F135" s="1946">
        <f t="shared" si="26"/>
        <v>13976</v>
      </c>
      <c r="G135" s="1947">
        <f t="shared" si="27"/>
        <v>0</v>
      </c>
    </row>
    <row r="136" spans="1:7" x14ac:dyDescent="0.25">
      <c r="A136" s="1953" t="s">
        <v>2350</v>
      </c>
      <c r="B136" s="1954" t="s">
        <v>2493</v>
      </c>
      <c r="C136" s="1953" t="s">
        <v>2349</v>
      </c>
      <c r="D136" s="1955">
        <v>8583</v>
      </c>
      <c r="E136" s="1945">
        <f t="shared" si="28"/>
        <v>8583</v>
      </c>
      <c r="F136" s="1946">
        <f t="shared" si="26"/>
        <v>8583</v>
      </c>
      <c r="G136" s="1947">
        <f t="shared" si="27"/>
        <v>0</v>
      </c>
    </row>
    <row r="137" spans="1:7" x14ac:dyDescent="0.25">
      <c r="A137" s="1953" t="s">
        <v>2351</v>
      </c>
      <c r="B137" s="1954" t="s">
        <v>2517</v>
      </c>
      <c r="C137" s="1953" t="s">
        <v>2349</v>
      </c>
      <c r="D137" s="1955">
        <v>25360</v>
      </c>
      <c r="E137" s="1945">
        <f t="shared" si="28"/>
        <v>25000</v>
      </c>
      <c r="F137" s="1946">
        <f t="shared" si="26"/>
        <v>25000</v>
      </c>
      <c r="G137" s="1947">
        <f t="shared" si="27"/>
        <v>360</v>
      </c>
    </row>
    <row r="138" spans="1:7" x14ac:dyDescent="0.25">
      <c r="A138" s="1953" t="s">
        <v>2352</v>
      </c>
      <c r="B138" s="1954" t="s">
        <v>2495</v>
      </c>
      <c r="C138" s="1953" t="s">
        <v>2353</v>
      </c>
      <c r="D138" s="1956">
        <v>879</v>
      </c>
      <c r="E138" s="1945">
        <f t="shared" si="28"/>
        <v>879</v>
      </c>
      <c r="F138" s="1946">
        <f t="shared" si="26"/>
        <v>879</v>
      </c>
      <c r="G138" s="1947">
        <f t="shared" si="27"/>
        <v>0</v>
      </c>
    </row>
    <row r="139" spans="1:7" x14ac:dyDescent="0.25">
      <c r="A139" s="1953" t="s">
        <v>2339</v>
      </c>
      <c r="B139" s="1954" t="s">
        <v>2495</v>
      </c>
      <c r="C139" s="1953" t="s">
        <v>2353</v>
      </c>
      <c r="D139" s="1955">
        <v>46500</v>
      </c>
      <c r="E139" s="1945">
        <f t="shared" si="28"/>
        <v>25000</v>
      </c>
      <c r="F139" s="1946">
        <f t="shared" si="26"/>
        <v>25000</v>
      </c>
      <c r="G139" s="1947">
        <f t="shared" si="27"/>
        <v>21500</v>
      </c>
    </row>
    <row r="140" spans="1:7" x14ac:dyDescent="0.25">
      <c r="A140" s="1953" t="s">
        <v>2354</v>
      </c>
      <c r="B140" s="1954" t="s">
        <v>2493</v>
      </c>
      <c r="C140" s="1953" t="s">
        <v>2355</v>
      </c>
      <c r="D140" s="1955">
        <v>11960</v>
      </c>
      <c r="E140" s="1945">
        <f t="shared" si="28"/>
        <v>11960</v>
      </c>
      <c r="F140" s="1946">
        <f t="shared" si="26"/>
        <v>11960</v>
      </c>
      <c r="G140" s="1947">
        <f t="shared" si="27"/>
        <v>0</v>
      </c>
    </row>
    <row r="141" spans="1:7" x14ac:dyDescent="0.25">
      <c r="A141" s="1953" t="s">
        <v>2356</v>
      </c>
      <c r="B141" s="1954" t="s">
        <v>2493</v>
      </c>
      <c r="C141" s="1953" t="s">
        <v>2355</v>
      </c>
      <c r="D141" s="1955">
        <v>1407</v>
      </c>
      <c r="E141" s="1945">
        <f t="shared" si="28"/>
        <v>1407</v>
      </c>
      <c r="F141" s="1946">
        <f t="shared" si="26"/>
        <v>1407</v>
      </c>
      <c r="G141" s="1947">
        <f t="shared" si="27"/>
        <v>0</v>
      </c>
    </row>
    <row r="142" spans="1:7" x14ac:dyDescent="0.25">
      <c r="A142" s="1953" t="s">
        <v>2357</v>
      </c>
      <c r="B142" s="1954" t="s">
        <v>2497</v>
      </c>
      <c r="C142" s="1953" t="s">
        <v>2355</v>
      </c>
      <c r="D142" s="1956">
        <v>149</v>
      </c>
      <c r="E142" s="1945">
        <f t="shared" si="28"/>
        <v>149</v>
      </c>
      <c r="F142" s="1946">
        <f t="shared" si="26"/>
        <v>149</v>
      </c>
      <c r="G142" s="1947">
        <f t="shared" si="27"/>
        <v>0</v>
      </c>
    </row>
    <row r="143" spans="1:7" x14ac:dyDescent="0.25">
      <c r="A143" s="1953" t="s">
        <v>2358</v>
      </c>
      <c r="B143" s="1954" t="s">
        <v>2493</v>
      </c>
      <c r="C143" s="1953" t="s">
        <v>2355</v>
      </c>
      <c r="D143" s="1956">
        <v>99</v>
      </c>
      <c r="E143" s="1945">
        <f t="shared" si="28"/>
        <v>99</v>
      </c>
      <c r="F143" s="1946">
        <f t="shared" si="26"/>
        <v>99</v>
      </c>
      <c r="G143" s="1947">
        <f t="shared" si="27"/>
        <v>0</v>
      </c>
    </row>
    <row r="144" spans="1:7" x14ac:dyDescent="0.25">
      <c r="A144" s="1953" t="s">
        <v>2359</v>
      </c>
      <c r="B144" s="1954" t="s">
        <v>2493</v>
      </c>
      <c r="C144" s="1953" t="s">
        <v>2355</v>
      </c>
      <c r="D144" s="1955">
        <v>6145</v>
      </c>
      <c r="E144" s="1945">
        <f t="shared" si="28"/>
        <v>6145</v>
      </c>
      <c r="F144" s="1946">
        <f t="shared" si="26"/>
        <v>6145</v>
      </c>
      <c r="G144" s="1947">
        <f t="shared" si="27"/>
        <v>0</v>
      </c>
    </row>
    <row r="145" spans="1:7" x14ac:dyDescent="0.25">
      <c r="A145" s="1953" t="s">
        <v>2360</v>
      </c>
      <c r="B145" s="1954" t="s">
        <v>2493</v>
      </c>
      <c r="C145" s="1953" t="s">
        <v>2355</v>
      </c>
      <c r="D145" s="1955">
        <v>1328</v>
      </c>
      <c r="E145" s="1945">
        <f t="shared" si="28"/>
        <v>1328</v>
      </c>
      <c r="F145" s="1946">
        <f t="shared" si="26"/>
        <v>1328</v>
      </c>
      <c r="G145" s="1947">
        <f t="shared" si="27"/>
        <v>0</v>
      </c>
    </row>
    <row r="146" spans="1:7" x14ac:dyDescent="0.25">
      <c r="A146" s="1953" t="s">
        <v>2361</v>
      </c>
      <c r="B146" s="1954" t="s">
        <v>2516</v>
      </c>
      <c r="C146" s="1953" t="s">
        <v>2355</v>
      </c>
      <c r="D146" s="1955">
        <v>2780</v>
      </c>
      <c r="E146" s="1945">
        <f t="shared" si="28"/>
        <v>2780</v>
      </c>
      <c r="F146" s="1946">
        <f t="shared" si="26"/>
        <v>2780</v>
      </c>
      <c r="G146" s="1947">
        <f t="shared" si="27"/>
        <v>0</v>
      </c>
    </row>
    <row r="147" spans="1:7" x14ac:dyDescent="0.25">
      <c r="A147" s="1953" t="s">
        <v>2261</v>
      </c>
      <c r="B147" s="1954" t="s">
        <v>2503</v>
      </c>
      <c r="C147" s="1953" t="s">
        <v>2355</v>
      </c>
      <c r="D147" s="1955">
        <v>3144</v>
      </c>
      <c r="E147" s="1945">
        <f t="shared" si="28"/>
        <v>3144</v>
      </c>
      <c r="F147" s="1946">
        <f t="shared" si="26"/>
        <v>3144</v>
      </c>
      <c r="G147" s="1947">
        <f t="shared" si="27"/>
        <v>0</v>
      </c>
    </row>
    <row r="148" spans="1:7" x14ac:dyDescent="0.25">
      <c r="A148" s="1953" t="s">
        <v>2362</v>
      </c>
      <c r="B148" s="1954" t="s">
        <v>2493</v>
      </c>
      <c r="C148" s="1953" t="s">
        <v>2355</v>
      </c>
      <c r="D148" s="1956">
        <v>270</v>
      </c>
      <c r="E148" s="1945">
        <f t="shared" si="28"/>
        <v>270</v>
      </c>
      <c r="F148" s="1946">
        <f t="shared" si="26"/>
        <v>270</v>
      </c>
      <c r="G148" s="1947">
        <f t="shared" si="27"/>
        <v>0</v>
      </c>
    </row>
    <row r="149" spans="1:7" x14ac:dyDescent="0.25">
      <c r="A149" s="1953" t="s">
        <v>2363</v>
      </c>
      <c r="B149" s="1954" t="s">
        <v>2493</v>
      </c>
      <c r="C149" s="1953" t="s">
        <v>2355</v>
      </c>
      <c r="D149" s="1955">
        <v>1278</v>
      </c>
      <c r="E149" s="1945">
        <f t="shared" si="28"/>
        <v>1278</v>
      </c>
      <c r="F149" s="1946">
        <f t="shared" si="26"/>
        <v>1278</v>
      </c>
      <c r="G149" s="1947">
        <f t="shared" si="27"/>
        <v>0</v>
      </c>
    </row>
    <row r="150" spans="1:7" x14ac:dyDescent="0.25">
      <c r="A150" s="1953" t="s">
        <v>2364</v>
      </c>
      <c r="B150" s="1954" t="s">
        <v>2519</v>
      </c>
      <c r="C150" s="1953" t="s">
        <v>2355</v>
      </c>
      <c r="D150" s="1955">
        <v>4990</v>
      </c>
      <c r="E150" s="1945">
        <f t="shared" si="28"/>
        <v>4990</v>
      </c>
      <c r="F150" s="1946">
        <f t="shared" si="26"/>
        <v>4990</v>
      </c>
      <c r="G150" s="1947">
        <f t="shared" si="27"/>
        <v>0</v>
      </c>
    </row>
    <row r="151" spans="1:7" ht="30" x14ac:dyDescent="0.25">
      <c r="A151" s="1953" t="s">
        <v>2325</v>
      </c>
      <c r="B151" s="1954" t="s">
        <v>2514</v>
      </c>
      <c r="C151" s="1953" t="s">
        <v>2365</v>
      </c>
      <c r="D151" s="1955">
        <v>2252</v>
      </c>
      <c r="E151" s="1945">
        <f t="shared" si="28"/>
        <v>2252</v>
      </c>
      <c r="F151" s="1946">
        <f t="shared" si="26"/>
        <v>0</v>
      </c>
      <c r="G151" s="1947">
        <f t="shared" si="27"/>
        <v>0</v>
      </c>
    </row>
    <row r="152" spans="1:7" ht="30" x14ac:dyDescent="0.25">
      <c r="A152" s="1953" t="s">
        <v>2330</v>
      </c>
      <c r="B152" s="1954" t="s">
        <v>2511</v>
      </c>
      <c r="C152" s="1953" t="s">
        <v>2366</v>
      </c>
      <c r="D152" s="1955">
        <v>22576</v>
      </c>
      <c r="E152" s="1945">
        <f t="shared" si="28"/>
        <v>22576</v>
      </c>
      <c r="F152" s="1946">
        <f t="shared" si="26"/>
        <v>22576</v>
      </c>
      <c r="G152" s="1947">
        <f t="shared" si="27"/>
        <v>0</v>
      </c>
    </row>
    <row r="153" spans="1:7" ht="30" x14ac:dyDescent="0.25">
      <c r="A153" s="1953" t="s">
        <v>2327</v>
      </c>
      <c r="B153" s="1954" t="s">
        <v>2504</v>
      </c>
      <c r="C153" s="1953" t="s">
        <v>2366</v>
      </c>
      <c r="D153" s="1955">
        <v>21872</v>
      </c>
      <c r="E153" s="1945">
        <f t="shared" si="28"/>
        <v>21872</v>
      </c>
      <c r="F153" s="1946">
        <f t="shared" si="26"/>
        <v>21872</v>
      </c>
      <c r="G153" s="1947">
        <f t="shared" si="27"/>
        <v>0</v>
      </c>
    </row>
    <row r="154" spans="1:7" ht="30" x14ac:dyDescent="0.25">
      <c r="A154" s="1953" t="s">
        <v>2224</v>
      </c>
      <c r="B154" s="1954" t="s">
        <v>1928</v>
      </c>
      <c r="C154" s="1953" t="s">
        <v>2367</v>
      </c>
      <c r="D154" s="1955">
        <v>43801</v>
      </c>
      <c r="E154" s="1945">
        <f t="shared" si="28"/>
        <v>25000</v>
      </c>
      <c r="F154" s="1946">
        <f t="shared" si="26"/>
        <v>25000</v>
      </c>
      <c r="G154" s="1947">
        <f t="shared" si="27"/>
        <v>18801</v>
      </c>
    </row>
    <row r="155" spans="1:7" ht="30" x14ac:dyDescent="0.25">
      <c r="A155" s="1953" t="s">
        <v>2368</v>
      </c>
      <c r="B155" s="1954" t="s">
        <v>2511</v>
      </c>
      <c r="C155" s="1953" t="s">
        <v>2369</v>
      </c>
      <c r="D155" s="1955">
        <v>31700</v>
      </c>
      <c r="E155" s="1945">
        <f t="shared" si="28"/>
        <v>25000</v>
      </c>
      <c r="F155" s="1946">
        <f t="shared" si="26"/>
        <v>25000</v>
      </c>
      <c r="G155" s="1947">
        <f t="shared" si="27"/>
        <v>6700</v>
      </c>
    </row>
    <row r="156" spans="1:7" ht="30" x14ac:dyDescent="0.25">
      <c r="A156" s="1953" t="s">
        <v>2370</v>
      </c>
      <c r="B156" s="1954" t="s">
        <v>2505</v>
      </c>
      <c r="C156" s="1953" t="s">
        <v>2369</v>
      </c>
      <c r="D156" s="1955">
        <v>5380</v>
      </c>
      <c r="E156" s="1945">
        <f t="shared" si="28"/>
        <v>5380</v>
      </c>
      <c r="F156" s="1946">
        <f t="shared" si="26"/>
        <v>0</v>
      </c>
      <c r="G156" s="1947">
        <f t="shared" si="27"/>
        <v>0</v>
      </c>
    </row>
    <row r="157" spans="1:7" ht="30" x14ac:dyDescent="0.25">
      <c r="A157" s="1953" t="s">
        <v>2371</v>
      </c>
      <c r="B157" s="1954" t="s">
        <v>2511</v>
      </c>
      <c r="C157" s="1953" t="s">
        <v>2369</v>
      </c>
      <c r="D157" s="1955">
        <v>3875</v>
      </c>
      <c r="E157" s="1945">
        <f t="shared" si="28"/>
        <v>3875</v>
      </c>
      <c r="F157" s="1946">
        <f t="shared" si="26"/>
        <v>3875</v>
      </c>
      <c r="G157" s="1947">
        <f t="shared" si="27"/>
        <v>0</v>
      </c>
    </row>
    <row r="158" spans="1:7" ht="30" x14ac:dyDescent="0.25">
      <c r="A158" s="1953" t="s">
        <v>2370</v>
      </c>
      <c r="B158" s="1954" t="s">
        <v>2505</v>
      </c>
      <c r="C158" s="1953" t="s">
        <v>2369</v>
      </c>
      <c r="D158" s="1955">
        <v>25200</v>
      </c>
      <c r="E158" s="1945">
        <f t="shared" si="28"/>
        <v>25000</v>
      </c>
      <c r="F158" s="1946">
        <f t="shared" si="26"/>
        <v>0</v>
      </c>
      <c r="G158" s="1947">
        <f t="shared" si="27"/>
        <v>0</v>
      </c>
    </row>
    <row r="159" spans="1:7" ht="30" x14ac:dyDescent="0.25">
      <c r="A159" s="1953" t="s">
        <v>2327</v>
      </c>
      <c r="B159" s="1954" t="s">
        <v>2504</v>
      </c>
      <c r="C159" s="1953" t="s">
        <v>2372</v>
      </c>
      <c r="D159" s="1955">
        <v>1661</v>
      </c>
      <c r="E159" s="1945">
        <f t="shared" si="28"/>
        <v>1661</v>
      </c>
      <c r="F159" s="1946">
        <f t="shared" si="26"/>
        <v>1661</v>
      </c>
      <c r="G159" s="1947">
        <f t="shared" si="27"/>
        <v>0</v>
      </c>
    </row>
    <row r="160" spans="1:7" ht="30" x14ac:dyDescent="0.25">
      <c r="A160" s="1953" t="s">
        <v>2368</v>
      </c>
      <c r="B160" s="1954" t="s">
        <v>2511</v>
      </c>
      <c r="C160" s="1953" t="s">
        <v>2372</v>
      </c>
      <c r="D160" s="1955">
        <v>4398</v>
      </c>
      <c r="E160" s="1945">
        <f t="shared" si="28"/>
        <v>4398</v>
      </c>
      <c r="F160" s="1946">
        <f t="shared" si="26"/>
        <v>4398</v>
      </c>
      <c r="G160" s="1947">
        <f t="shared" si="27"/>
        <v>0</v>
      </c>
    </row>
    <row r="161" spans="1:7" x14ac:dyDescent="0.25">
      <c r="A161" s="1953" t="s">
        <v>2373</v>
      </c>
      <c r="B161" s="1954" t="s">
        <v>2500</v>
      </c>
      <c r="C161" s="1953" t="s">
        <v>2374</v>
      </c>
      <c r="D161" s="1955">
        <v>42388</v>
      </c>
      <c r="E161" s="1945">
        <f t="shared" si="28"/>
        <v>25000</v>
      </c>
      <c r="F161" s="1946">
        <f t="shared" si="26"/>
        <v>25000</v>
      </c>
      <c r="G161" s="1947">
        <f t="shared" si="27"/>
        <v>17388</v>
      </c>
    </row>
    <row r="162" spans="1:7" x14ac:dyDescent="0.25">
      <c r="A162" s="1953" t="s">
        <v>2375</v>
      </c>
      <c r="B162" s="1954" t="s">
        <v>2500</v>
      </c>
      <c r="C162" s="1953" t="s">
        <v>2376</v>
      </c>
      <c r="D162" s="1955">
        <v>42351</v>
      </c>
      <c r="E162" s="1945">
        <f t="shared" si="28"/>
        <v>25000</v>
      </c>
      <c r="F162" s="1946">
        <f t="shared" si="26"/>
        <v>25000</v>
      </c>
      <c r="G162" s="1947">
        <f t="shared" si="27"/>
        <v>17351</v>
      </c>
    </row>
    <row r="163" spans="1:7" x14ac:dyDescent="0.25">
      <c r="A163" s="1953" t="s">
        <v>2288</v>
      </c>
      <c r="B163" s="1954" t="s">
        <v>2493</v>
      </c>
      <c r="C163" s="1953" t="s">
        <v>2377</v>
      </c>
      <c r="D163" s="1956">
        <v>482</v>
      </c>
      <c r="E163" s="1945">
        <f t="shared" si="28"/>
        <v>482</v>
      </c>
      <c r="F163" s="1946">
        <f t="shared" si="26"/>
        <v>482</v>
      </c>
      <c r="G163" s="1947">
        <f t="shared" si="27"/>
        <v>0</v>
      </c>
    </row>
    <row r="164" spans="1:7" x14ac:dyDescent="0.25">
      <c r="A164" s="1953" t="s">
        <v>2378</v>
      </c>
      <c r="B164" s="1954" t="s">
        <v>2493</v>
      </c>
      <c r="C164" s="1953" t="s">
        <v>2377</v>
      </c>
      <c r="D164" s="1956">
        <v>187</v>
      </c>
      <c r="E164" s="1945">
        <f t="shared" si="28"/>
        <v>187</v>
      </c>
      <c r="F164" s="1946">
        <f t="shared" si="26"/>
        <v>187</v>
      </c>
      <c r="G164" s="1947">
        <f t="shared" si="27"/>
        <v>0</v>
      </c>
    </row>
    <row r="165" spans="1:7" x14ac:dyDescent="0.25">
      <c r="A165" s="1953" t="s">
        <v>2379</v>
      </c>
      <c r="B165" s="1954" t="s">
        <v>2516</v>
      </c>
      <c r="C165" s="1953" t="s">
        <v>2377</v>
      </c>
      <c r="D165" s="1955">
        <v>1160</v>
      </c>
      <c r="E165" s="1945">
        <f t="shared" si="28"/>
        <v>1160</v>
      </c>
      <c r="F165" s="1946">
        <f t="shared" si="26"/>
        <v>1160</v>
      </c>
      <c r="G165" s="1947">
        <f t="shared" si="27"/>
        <v>0</v>
      </c>
    </row>
    <row r="166" spans="1:7" x14ac:dyDescent="0.25">
      <c r="A166" s="1953" t="s">
        <v>2288</v>
      </c>
      <c r="B166" s="1954" t="s">
        <v>2493</v>
      </c>
      <c r="C166" s="1953" t="s">
        <v>2377</v>
      </c>
      <c r="D166" s="1956">
        <v>602</v>
      </c>
      <c r="E166" s="1945">
        <f t="shared" si="28"/>
        <v>602</v>
      </c>
      <c r="F166" s="1946">
        <f t="shared" si="26"/>
        <v>602</v>
      </c>
      <c r="G166" s="1947">
        <f t="shared" si="27"/>
        <v>0</v>
      </c>
    </row>
    <row r="167" spans="1:7" x14ac:dyDescent="0.25">
      <c r="A167" s="1953" t="s">
        <v>2380</v>
      </c>
      <c r="B167" s="1954" t="s">
        <v>2493</v>
      </c>
      <c r="C167" s="1953" t="s">
        <v>2377</v>
      </c>
      <c r="D167" s="1955">
        <v>3520</v>
      </c>
      <c r="E167" s="1945">
        <f t="shared" si="28"/>
        <v>3520</v>
      </c>
      <c r="F167" s="1946">
        <f t="shared" si="26"/>
        <v>3520</v>
      </c>
      <c r="G167" s="1947">
        <f t="shared" si="27"/>
        <v>0</v>
      </c>
    </row>
    <row r="168" spans="1:7" x14ac:dyDescent="0.25">
      <c r="A168" s="1953" t="s">
        <v>2381</v>
      </c>
      <c r="B168" s="1954" t="s">
        <v>2493</v>
      </c>
      <c r="C168" s="1953" t="s">
        <v>2377</v>
      </c>
      <c r="D168" s="1955">
        <v>1077</v>
      </c>
      <c r="E168" s="1945">
        <f t="shared" si="28"/>
        <v>1077</v>
      </c>
      <c r="F168" s="1946">
        <f t="shared" si="26"/>
        <v>1077</v>
      </c>
      <c r="G168" s="1947">
        <f t="shared" si="27"/>
        <v>0</v>
      </c>
    </row>
    <row r="169" spans="1:7" x14ac:dyDescent="0.25">
      <c r="A169" s="1953" t="s">
        <v>2382</v>
      </c>
      <c r="B169" s="1954" t="s">
        <v>2493</v>
      </c>
      <c r="C169" s="1953" t="s">
        <v>2377</v>
      </c>
      <c r="D169" s="1956">
        <v>95</v>
      </c>
      <c r="E169" s="1945">
        <f t="shared" si="28"/>
        <v>95</v>
      </c>
      <c r="F169" s="1946">
        <f t="shared" si="26"/>
        <v>95</v>
      </c>
      <c r="G169" s="1947">
        <f t="shared" si="27"/>
        <v>0</v>
      </c>
    </row>
    <row r="170" spans="1:7" x14ac:dyDescent="0.25">
      <c r="A170" s="1953" t="s">
        <v>2350</v>
      </c>
      <c r="B170" s="1954" t="s">
        <v>2493</v>
      </c>
      <c r="C170" s="1953" t="s">
        <v>2377</v>
      </c>
      <c r="D170" s="1955">
        <v>4148</v>
      </c>
      <c r="E170" s="1945">
        <f t="shared" si="28"/>
        <v>4148</v>
      </c>
      <c r="F170" s="1946">
        <f t="shared" si="26"/>
        <v>4148</v>
      </c>
      <c r="G170" s="1947">
        <f t="shared" si="27"/>
        <v>0</v>
      </c>
    </row>
    <row r="171" spans="1:7" x14ac:dyDescent="0.25">
      <c r="A171" s="1953" t="s">
        <v>2383</v>
      </c>
      <c r="B171" s="1954" t="s">
        <v>2513</v>
      </c>
      <c r="C171" s="1953" t="s">
        <v>2377</v>
      </c>
      <c r="D171" s="1956">
        <v>197</v>
      </c>
      <c r="E171" s="1945">
        <f t="shared" si="28"/>
        <v>197</v>
      </c>
      <c r="F171" s="1946">
        <f t="shared" si="26"/>
        <v>197</v>
      </c>
      <c r="G171" s="1947">
        <f t="shared" si="27"/>
        <v>0</v>
      </c>
    </row>
    <row r="172" spans="1:7" x14ac:dyDescent="0.25">
      <c r="A172" s="1953" t="s">
        <v>2364</v>
      </c>
      <c r="B172" s="1954" t="s">
        <v>2518</v>
      </c>
      <c r="C172" s="1953" t="s">
        <v>2377</v>
      </c>
      <c r="D172" s="1956">
        <v>850</v>
      </c>
      <c r="E172" s="1945">
        <f t="shared" si="28"/>
        <v>850</v>
      </c>
      <c r="F172" s="1946">
        <f t="shared" si="26"/>
        <v>0</v>
      </c>
      <c r="G172" s="1947">
        <f t="shared" si="27"/>
        <v>0</v>
      </c>
    </row>
    <row r="173" spans="1:7" x14ac:dyDescent="0.25">
      <c r="A173" s="1953" t="s">
        <v>2384</v>
      </c>
      <c r="B173" s="1954" t="s">
        <v>2493</v>
      </c>
      <c r="C173" s="1953" t="s">
        <v>2377</v>
      </c>
      <c r="D173" s="1955">
        <v>1479</v>
      </c>
      <c r="E173" s="1945">
        <f t="shared" si="28"/>
        <v>1479</v>
      </c>
      <c r="F173" s="1946">
        <f t="shared" si="26"/>
        <v>1479</v>
      </c>
      <c r="G173" s="1947">
        <f t="shared" si="27"/>
        <v>0</v>
      </c>
    </row>
    <row r="174" spans="1:7" ht="30" x14ac:dyDescent="0.25">
      <c r="A174" s="1953" t="s">
        <v>2261</v>
      </c>
      <c r="B174" s="1954" t="s">
        <v>2503</v>
      </c>
      <c r="C174" s="1953" t="s">
        <v>2385</v>
      </c>
      <c r="D174" s="1955">
        <v>39253</v>
      </c>
      <c r="E174" s="1945">
        <f t="shared" si="28"/>
        <v>25000</v>
      </c>
      <c r="F174" s="1946">
        <f t="shared" si="26"/>
        <v>25000</v>
      </c>
      <c r="G174" s="1947">
        <f t="shared" si="27"/>
        <v>14253</v>
      </c>
    </row>
    <row r="175" spans="1:7" x14ac:dyDescent="0.25">
      <c r="A175" s="1953" t="s">
        <v>2386</v>
      </c>
      <c r="B175" s="1954" t="s">
        <v>2503</v>
      </c>
      <c r="C175" s="1953" t="s">
        <v>2387</v>
      </c>
      <c r="D175" s="1955">
        <v>1614</v>
      </c>
      <c r="E175" s="1945">
        <f t="shared" si="28"/>
        <v>1614</v>
      </c>
      <c r="F175" s="1946">
        <f t="shared" si="26"/>
        <v>1614</v>
      </c>
      <c r="G175" s="1947">
        <f t="shared" si="27"/>
        <v>0</v>
      </c>
    </row>
    <row r="176" spans="1:7" x14ac:dyDescent="0.25">
      <c r="A176" s="1953" t="s">
        <v>2388</v>
      </c>
      <c r="B176" s="1954" t="s">
        <v>2504</v>
      </c>
      <c r="C176" s="1953" t="s">
        <v>2387</v>
      </c>
      <c r="D176" s="1955">
        <v>5732</v>
      </c>
      <c r="E176" s="1945">
        <f t="shared" si="28"/>
        <v>5732</v>
      </c>
      <c r="F176" s="1946">
        <f t="shared" ref="F176:F236" si="29">IF(OR(B176="10-1000-100",B176="10-1000-200",B176="10-1000-300",B176="10-1000-400",B176="10-1000-600",B176="10-1000-800",B176="50-1000-200",B176="10-2100-100",B176="10-2100-200",B176="10-2100-300",B176="10-2100-400",B176="10-2100-600",B176="10-2100-800",B176="20-2100-200",B176="20-2190-100",B176="20-2190-200",B176="20-2190-300",B176="20-2190-400",B176="20-2190-600",B176="20-2190-800",B176="40-2190-100",B176="40-2190-200",B176="40-2190-300",B176="40-2190-400",B176="40-2190-600",B176="40-2190-800",B176="50-2190-200",B176="10-2200-100",B176="10-2200-200",B176="10-2200-300",B176="10-2200-400",B176="10-2200-600",B176="10-2200-800",B176="50-2200-200",B176="10-2300-100",B176="10-2300-200",B176="10-2300-300",B176="10-2300-400",B176="10-2300-600",B176="10-2300-800",B176="50-2300-200",B176="80-2300-100",B176="80-2300-200",B176="80-2300-300",B176="80-2300-400",B176="80-2300-600",B176="80-2300-800",B176="10-2400-100",B176="10-2400-200",B176="10-2400-300",B176="10-2400-400",B176="10-2400-600",B176="10-2400-800",B176="50-2400-200",B176="10-2510-100",B176="10-2510-200",B176="10-2510-300",B176="10-2510-400",B176="10-2510-600",B176="10-2510-800",B176="20-2510-100",B176="20-2510-200",B176="20-2510-300",B176="20-2510-400",B176="20-2510-600",B176="20-2510-800",B176="50-2510-200",B176="10-2520-100",B176="10-2520-200",B176="10-2520-300",B176="10-2520-400",B176="10-2520-600",B176="10-2520-800",B176="50-2520-200",B176="10-2540-100",B176="10-2540-200",B176="10-2540-300",B176="10-2540-400",B176="10-2540-600",B176="20-2540-800",B176="20-2540-100",B176="20-2540-200",B176="20-2540-300",B176="20-2540-400",B176="20-2540-600",B176="50-2540-200",B176="90-2540-100",B176="90-2540-200",B176="90-2540-300",B176="90-2540-400",B176="90-2540-600",B176="90-2540-800",B176="90-2540-800",B176="10-2550-100",B176="10-2550-200",B176="10-2550-300",B176="10-2550-400",B176="10-2550-600",B176="10-2550-800",B176="20-2550-100",B176="20-2550-200",B176="20-2550-300",B176="20-2550-400",B176="20-2550-600",B176="20-2550-800",B176="40-2550-100",B176="40-2550-200",B176="40-2550-300",B176="40-2550-400",B176="40-2550-600",B176="40-2550-800",B176="50-2550-200",B176="10-2560-100",B176="10-2560-200",B176="10-2560-300",B176="10-2560-400",B176="10-2560-600",B176="10-2560-800",B176="20-2560-100",B176="20-2560-200",B176="20-2560-300",B176="20-2560-400",B176="20-2560-600",B176="20-2560-800",B176="50-2560-200",B176="10-2570-100",B176="10-2570-200",B176="10-2570-300",B176="10-2570-400",B176="10-2570-600",B176="10-2570-800",B176="50-2570-200",B176="10-2610-100",B176="10-2610-200",B176="10-2610-300",B176="10-2610-400",B176="10-2610-600",B176="10-2610-800",B176="50-2610-200",B176="10-2620-100",B176="10-2620-200",B176="10-2620-300",B176="10-2620-400",B176="10-2620-600",B176="10-2620-800",B176="50-2620-200",B176="10-2630-100",B176="10-2630-200",B176="10-2630-300",B176="10-2630-400",B176="10-2630-600",B176="10-2630-800",B176="50-2630-200",B176="10-2640-100",B176="10-2640-200",B176="10-2640-300",B176="10-2640-400",B176="10-2640-600",B176="10-2640-800",B176="50-2640-200",B176="10-2660-100",B176="10-2660-200",B176="10-2660-300",B176="10-2660-400",B176="10-2660-600",B176="10-2660-800",B176="50-2660-200",B176="10-2900-100",B176="10-2900-200",B176="10-2900-300",B176="10-2900-400",B176="10-2900-600",B176="10-2900-800",B176="20-2900-100",B176="20-2900-200",B176="20-2900-300",B176="20-2900-400",B176="20-2900-600",B176="20-2900-800",B176="40-2900-100",B176="40-2900-200",B176="40-2900-300",B176="40-2900-400",B176="40-2900-600",B176="40-2900-800",B176="50-2900-200",B176="60-2900-100",B176="60-2900-200",B176="60-2900-300",B176="60-2900-400",B176="60-2900-600",B176="60-2900-800",B176="90-2900-100",B176="90-2900-200",B176="90-2900-300",B176="90-2900-400",B176="90-2900-600",B176="90-2900-800",B176="10-3000-100",B176="10-3000-200",B176="10-3000-300",B176="10-3000-400",B176="10-3000-600",B176="10-3000-800",B176="20-3000-100",B176="20-3000-200",B176="20-3000-300",B176="20-3000-400",B176="20-3000-600",B176="20-3000-800",B176="40-3000-100",B176="40-3000-200",B176="40-3000-300",B176="40-3000-400",B176="40-3000-600",B176="40-3000-800",B176="50-3000-200"),E176,0)</f>
        <v>5732</v>
      </c>
      <c r="G176" s="1947">
        <f t="shared" si="27"/>
        <v>0</v>
      </c>
    </row>
    <row r="177" spans="1:7" ht="30" x14ac:dyDescent="0.25">
      <c r="A177" s="1953" t="s">
        <v>2327</v>
      </c>
      <c r="B177" s="1954" t="s">
        <v>2504</v>
      </c>
      <c r="C177" s="1953" t="s">
        <v>2387</v>
      </c>
      <c r="D177" s="1955">
        <v>29093</v>
      </c>
      <c r="E177" s="1945">
        <f t="shared" si="28"/>
        <v>25000</v>
      </c>
      <c r="F177" s="1946">
        <f t="shared" si="29"/>
        <v>25000</v>
      </c>
      <c r="G177" s="1947">
        <f t="shared" si="27"/>
        <v>4093</v>
      </c>
    </row>
    <row r="178" spans="1:7" ht="30" x14ac:dyDescent="0.25">
      <c r="A178" s="1953" t="s">
        <v>2370</v>
      </c>
      <c r="B178" s="1954" t="s">
        <v>2505</v>
      </c>
      <c r="C178" s="1953" t="s">
        <v>2387</v>
      </c>
      <c r="D178" s="1955">
        <v>1068</v>
      </c>
      <c r="E178" s="1945">
        <f t="shared" si="28"/>
        <v>1068</v>
      </c>
      <c r="F178" s="1946">
        <f t="shared" si="29"/>
        <v>0</v>
      </c>
      <c r="G178" s="1947">
        <f t="shared" si="27"/>
        <v>0</v>
      </c>
    </row>
    <row r="179" spans="1:7" ht="30" x14ac:dyDescent="0.25">
      <c r="A179" s="1953" t="s">
        <v>2329</v>
      </c>
      <c r="B179" s="1954" t="s">
        <v>2504</v>
      </c>
      <c r="C179" s="1953" t="s">
        <v>2389</v>
      </c>
      <c r="D179" s="1955">
        <v>26770</v>
      </c>
      <c r="E179" s="1945">
        <f t="shared" si="28"/>
        <v>25000</v>
      </c>
      <c r="F179" s="1946">
        <f t="shared" si="29"/>
        <v>25000</v>
      </c>
      <c r="G179" s="1947">
        <f t="shared" si="27"/>
        <v>1770</v>
      </c>
    </row>
    <row r="180" spans="1:7" ht="30" x14ac:dyDescent="0.25">
      <c r="A180" s="1953" t="s">
        <v>2330</v>
      </c>
      <c r="B180" s="1954" t="s">
        <v>2511</v>
      </c>
      <c r="C180" s="1953" t="s">
        <v>2389</v>
      </c>
      <c r="D180" s="1955">
        <v>2232</v>
      </c>
      <c r="E180" s="1945">
        <f t="shared" si="28"/>
        <v>2232</v>
      </c>
      <c r="F180" s="1946">
        <f t="shared" si="29"/>
        <v>2232</v>
      </c>
      <c r="G180" s="1947">
        <f t="shared" si="27"/>
        <v>0</v>
      </c>
    </row>
    <row r="181" spans="1:7" ht="30" x14ac:dyDescent="0.25">
      <c r="A181" s="1953" t="s">
        <v>2390</v>
      </c>
      <c r="B181" s="1954" t="s">
        <v>2520</v>
      </c>
      <c r="C181" s="1953" t="s">
        <v>2389</v>
      </c>
      <c r="D181" s="1955">
        <v>3928</v>
      </c>
      <c r="E181" s="1945">
        <f t="shared" si="28"/>
        <v>3928</v>
      </c>
      <c r="F181" s="1946">
        <f t="shared" si="29"/>
        <v>3928</v>
      </c>
      <c r="G181" s="1947">
        <f t="shared" si="27"/>
        <v>0</v>
      </c>
    </row>
    <row r="182" spans="1:7" ht="30" x14ac:dyDescent="0.25">
      <c r="A182" s="1953" t="s">
        <v>2330</v>
      </c>
      <c r="B182" s="1954" t="s">
        <v>2511</v>
      </c>
      <c r="C182" s="1953" t="s">
        <v>2391</v>
      </c>
      <c r="D182" s="1955">
        <v>9560</v>
      </c>
      <c r="E182" s="1945">
        <f t="shared" si="28"/>
        <v>9560</v>
      </c>
      <c r="F182" s="1946">
        <f t="shared" si="29"/>
        <v>9560</v>
      </c>
      <c r="G182" s="1947">
        <f t="shared" si="27"/>
        <v>0</v>
      </c>
    </row>
    <row r="183" spans="1:7" x14ac:dyDescent="0.25">
      <c r="A183" s="1953" t="s">
        <v>2392</v>
      </c>
      <c r="B183" s="1954" t="s">
        <v>2521</v>
      </c>
      <c r="C183" s="1953" t="s">
        <v>2393</v>
      </c>
      <c r="D183" s="1956">
        <v>324</v>
      </c>
      <c r="E183" s="1945">
        <f t="shared" si="28"/>
        <v>324</v>
      </c>
      <c r="F183" s="1946">
        <f t="shared" si="29"/>
        <v>324</v>
      </c>
      <c r="G183" s="1947">
        <f t="shared" si="27"/>
        <v>0</v>
      </c>
    </row>
    <row r="184" spans="1:7" x14ac:dyDescent="0.25">
      <c r="A184" s="1953" t="s">
        <v>2394</v>
      </c>
      <c r="B184" s="1954" t="s">
        <v>2521</v>
      </c>
      <c r="C184" s="1953" t="s">
        <v>2393</v>
      </c>
      <c r="D184" s="1955">
        <v>3986</v>
      </c>
      <c r="E184" s="1945">
        <f t="shared" si="28"/>
        <v>3986</v>
      </c>
      <c r="F184" s="1946">
        <f t="shared" si="29"/>
        <v>3986</v>
      </c>
      <c r="G184" s="1947">
        <f t="shared" si="27"/>
        <v>0</v>
      </c>
    </row>
    <row r="185" spans="1:7" x14ac:dyDescent="0.25">
      <c r="A185" s="1953" t="s">
        <v>2395</v>
      </c>
      <c r="B185" s="1954" t="s">
        <v>2521</v>
      </c>
      <c r="C185" s="1953" t="s">
        <v>2393</v>
      </c>
      <c r="D185" s="1955">
        <v>28889</v>
      </c>
      <c r="E185" s="1945">
        <f t="shared" si="28"/>
        <v>25000</v>
      </c>
      <c r="F185" s="1946">
        <f t="shared" si="29"/>
        <v>25000</v>
      </c>
      <c r="G185" s="1947">
        <f t="shared" si="27"/>
        <v>3889</v>
      </c>
    </row>
    <row r="186" spans="1:7" ht="30" x14ac:dyDescent="0.25">
      <c r="A186" s="1953" t="s">
        <v>2224</v>
      </c>
      <c r="B186" s="1954" t="s">
        <v>1928</v>
      </c>
      <c r="C186" s="1953" t="s">
        <v>2396</v>
      </c>
      <c r="D186" s="1955">
        <v>25665</v>
      </c>
      <c r="E186" s="1945">
        <f t="shared" si="28"/>
        <v>25000</v>
      </c>
      <c r="F186" s="1946">
        <f t="shared" si="29"/>
        <v>25000</v>
      </c>
      <c r="G186" s="1947">
        <f t="shared" si="27"/>
        <v>665</v>
      </c>
    </row>
    <row r="187" spans="1:7" x14ac:dyDescent="0.25">
      <c r="A187" s="1953" t="s">
        <v>2191</v>
      </c>
      <c r="B187" s="1954" t="s">
        <v>2499</v>
      </c>
      <c r="C187" s="1953" t="s">
        <v>2397</v>
      </c>
      <c r="D187" s="1955">
        <v>16400</v>
      </c>
      <c r="E187" s="1945">
        <f t="shared" si="28"/>
        <v>16400</v>
      </c>
      <c r="F187" s="1946">
        <f t="shared" si="29"/>
        <v>16400</v>
      </c>
      <c r="G187" s="1947">
        <f t="shared" si="27"/>
        <v>0</v>
      </c>
    </row>
    <row r="188" spans="1:7" ht="30" x14ac:dyDescent="0.25">
      <c r="A188" s="1953" t="s">
        <v>2224</v>
      </c>
      <c r="B188" s="1954" t="s">
        <v>1928</v>
      </c>
      <c r="C188" s="1953" t="s">
        <v>2398</v>
      </c>
      <c r="D188" s="1955">
        <v>30021</v>
      </c>
      <c r="E188" s="1945">
        <f t="shared" si="28"/>
        <v>25000</v>
      </c>
      <c r="F188" s="1946">
        <f t="shared" si="29"/>
        <v>25000</v>
      </c>
      <c r="G188" s="1947">
        <f t="shared" si="27"/>
        <v>5021</v>
      </c>
    </row>
    <row r="189" spans="1:7" ht="30" x14ac:dyDescent="0.25">
      <c r="A189" s="1953" t="s">
        <v>2390</v>
      </c>
      <c r="B189" s="1954" t="s">
        <v>2504</v>
      </c>
      <c r="C189" s="1953" t="s">
        <v>2399</v>
      </c>
      <c r="D189" s="1955">
        <v>27724</v>
      </c>
      <c r="E189" s="1945">
        <f t="shared" si="28"/>
        <v>25000</v>
      </c>
      <c r="F189" s="1946">
        <f t="shared" si="29"/>
        <v>25000</v>
      </c>
      <c r="G189" s="1947">
        <f t="shared" si="27"/>
        <v>2724</v>
      </c>
    </row>
    <row r="190" spans="1:7" x14ac:dyDescent="0.25">
      <c r="A190" s="1953" t="s">
        <v>2400</v>
      </c>
      <c r="B190" s="1954" t="s">
        <v>2497</v>
      </c>
      <c r="C190" s="1953" t="s">
        <v>2401</v>
      </c>
      <c r="D190" s="1955">
        <v>25000</v>
      </c>
      <c r="E190" s="1945">
        <f t="shared" si="28"/>
        <v>25000</v>
      </c>
      <c r="F190" s="1946">
        <f t="shared" si="29"/>
        <v>25000</v>
      </c>
      <c r="G190" s="1947">
        <f t="shared" si="27"/>
        <v>0</v>
      </c>
    </row>
    <row r="191" spans="1:7" x14ac:dyDescent="0.25">
      <c r="A191" s="1953" t="s">
        <v>2288</v>
      </c>
      <c r="B191" s="1954" t="s">
        <v>2493</v>
      </c>
      <c r="C191" s="1953" t="s">
        <v>2402</v>
      </c>
      <c r="D191" s="1955">
        <v>4770</v>
      </c>
      <c r="E191" s="1945">
        <f t="shared" si="28"/>
        <v>4770</v>
      </c>
      <c r="F191" s="1946">
        <f t="shared" si="29"/>
        <v>4770</v>
      </c>
      <c r="G191" s="1947">
        <f t="shared" si="27"/>
        <v>0</v>
      </c>
    </row>
    <row r="192" spans="1:7" x14ac:dyDescent="0.25">
      <c r="A192" s="1953" t="s">
        <v>2403</v>
      </c>
      <c r="B192" s="1954" t="s">
        <v>2493</v>
      </c>
      <c r="C192" s="1953" t="s">
        <v>2402</v>
      </c>
      <c r="D192" s="1956">
        <v>740</v>
      </c>
      <c r="E192" s="1945">
        <f t="shared" si="28"/>
        <v>740</v>
      </c>
      <c r="F192" s="1946">
        <f t="shared" si="29"/>
        <v>740</v>
      </c>
      <c r="G192" s="1947">
        <f t="shared" si="27"/>
        <v>0</v>
      </c>
    </row>
    <row r="193" spans="1:7" x14ac:dyDescent="0.25">
      <c r="A193" s="1953" t="s">
        <v>2404</v>
      </c>
      <c r="B193" s="1954" t="s">
        <v>2499</v>
      </c>
      <c r="C193" s="1953" t="s">
        <v>2402</v>
      </c>
      <c r="D193" s="1956">
        <v>319</v>
      </c>
      <c r="E193" s="1945">
        <f t="shared" si="28"/>
        <v>319</v>
      </c>
      <c r="F193" s="1946">
        <f t="shared" si="29"/>
        <v>319</v>
      </c>
      <c r="G193" s="1947">
        <f t="shared" si="27"/>
        <v>0</v>
      </c>
    </row>
    <row r="194" spans="1:7" x14ac:dyDescent="0.25">
      <c r="A194" s="1953" t="s">
        <v>2405</v>
      </c>
      <c r="B194" s="1954" t="s">
        <v>2499</v>
      </c>
      <c r="C194" s="1953" t="s">
        <v>2402</v>
      </c>
      <c r="D194" s="1955">
        <v>6150</v>
      </c>
      <c r="E194" s="1945">
        <f t="shared" si="28"/>
        <v>6150</v>
      </c>
      <c r="F194" s="1946">
        <f t="shared" si="29"/>
        <v>6150</v>
      </c>
      <c r="G194" s="1947">
        <f t="shared" si="27"/>
        <v>0</v>
      </c>
    </row>
    <row r="195" spans="1:7" x14ac:dyDescent="0.25">
      <c r="A195" s="1953" t="s">
        <v>2406</v>
      </c>
      <c r="B195" s="1954" t="s">
        <v>2497</v>
      </c>
      <c r="C195" s="1953" t="s">
        <v>2402</v>
      </c>
      <c r="D195" s="1955">
        <v>2720</v>
      </c>
      <c r="E195" s="1945">
        <f t="shared" si="28"/>
        <v>2720</v>
      </c>
      <c r="F195" s="1946">
        <f t="shared" si="29"/>
        <v>2720</v>
      </c>
      <c r="G195" s="1947">
        <f t="shared" si="27"/>
        <v>0</v>
      </c>
    </row>
    <row r="196" spans="1:7" x14ac:dyDescent="0.25">
      <c r="A196" s="1953" t="s">
        <v>2407</v>
      </c>
      <c r="B196" s="1954" t="s">
        <v>2497</v>
      </c>
      <c r="C196" s="1953" t="s">
        <v>2402</v>
      </c>
      <c r="D196" s="1956">
        <v>467</v>
      </c>
      <c r="E196" s="1945">
        <f t="shared" si="28"/>
        <v>467</v>
      </c>
      <c r="F196" s="1946">
        <f t="shared" si="29"/>
        <v>467</v>
      </c>
      <c r="G196" s="1947">
        <f t="shared" si="27"/>
        <v>0</v>
      </c>
    </row>
    <row r="197" spans="1:7" x14ac:dyDescent="0.25">
      <c r="A197" s="1953" t="s">
        <v>2408</v>
      </c>
      <c r="B197" s="1954" t="s">
        <v>2497</v>
      </c>
      <c r="C197" s="1953" t="s">
        <v>2402</v>
      </c>
      <c r="D197" s="1955">
        <v>5133</v>
      </c>
      <c r="E197" s="1945">
        <f t="shared" si="28"/>
        <v>5133</v>
      </c>
      <c r="F197" s="1946">
        <f t="shared" si="29"/>
        <v>5133</v>
      </c>
      <c r="G197" s="1947">
        <f t="shared" si="27"/>
        <v>0</v>
      </c>
    </row>
    <row r="198" spans="1:7" x14ac:dyDescent="0.25">
      <c r="A198" s="1953" t="s">
        <v>2409</v>
      </c>
      <c r="B198" s="1954" t="s">
        <v>2522</v>
      </c>
      <c r="C198" s="1953" t="s">
        <v>2402</v>
      </c>
      <c r="D198" s="1955">
        <v>4159</v>
      </c>
      <c r="E198" s="1945">
        <f t="shared" si="28"/>
        <v>4159</v>
      </c>
      <c r="F198" s="1946">
        <f t="shared" si="29"/>
        <v>4159</v>
      </c>
      <c r="G198" s="1947">
        <f t="shared" si="27"/>
        <v>0</v>
      </c>
    </row>
    <row r="199" spans="1:7" x14ac:dyDescent="0.25">
      <c r="A199" s="1953" t="s">
        <v>2410</v>
      </c>
      <c r="B199" s="1954" t="s">
        <v>2506</v>
      </c>
      <c r="C199" s="1953" t="s">
        <v>2402</v>
      </c>
      <c r="D199" s="1955">
        <v>5960</v>
      </c>
      <c r="E199" s="1945">
        <f t="shared" si="28"/>
        <v>5960</v>
      </c>
      <c r="F199" s="1946">
        <f t="shared" si="29"/>
        <v>5960</v>
      </c>
      <c r="G199" s="1947">
        <f t="shared" si="27"/>
        <v>0</v>
      </c>
    </row>
    <row r="200" spans="1:7" x14ac:dyDescent="0.25">
      <c r="A200" s="1953" t="s">
        <v>2411</v>
      </c>
      <c r="B200" s="1954" t="s">
        <v>2513</v>
      </c>
      <c r="C200" s="1953" t="s">
        <v>2402</v>
      </c>
      <c r="D200" s="1955">
        <v>1676</v>
      </c>
      <c r="E200" s="1945">
        <f t="shared" si="28"/>
        <v>1676</v>
      </c>
      <c r="F200" s="1946">
        <f t="shared" si="29"/>
        <v>1676</v>
      </c>
      <c r="G200" s="1947">
        <f t="shared" si="27"/>
        <v>0</v>
      </c>
    </row>
    <row r="201" spans="1:7" x14ac:dyDescent="0.25">
      <c r="A201" s="1953" t="s">
        <v>2409</v>
      </c>
      <c r="B201" s="1954" t="s">
        <v>2522</v>
      </c>
      <c r="C201" s="1953" t="s">
        <v>2402</v>
      </c>
      <c r="D201" s="1955">
        <v>31997</v>
      </c>
      <c r="E201" s="1945">
        <f t="shared" si="28"/>
        <v>25000</v>
      </c>
      <c r="F201" s="1946">
        <f t="shared" si="29"/>
        <v>25000</v>
      </c>
      <c r="G201" s="1947">
        <f t="shared" si="27"/>
        <v>6997</v>
      </c>
    </row>
    <row r="202" spans="1:7" x14ac:dyDescent="0.25">
      <c r="A202" s="1953" t="s">
        <v>2412</v>
      </c>
      <c r="B202" s="1954" t="s">
        <v>2522</v>
      </c>
      <c r="C202" s="1953" t="s">
        <v>2402</v>
      </c>
      <c r="D202" s="1955">
        <v>3758</v>
      </c>
      <c r="E202" s="1945">
        <f t="shared" si="28"/>
        <v>3758</v>
      </c>
      <c r="F202" s="1946">
        <f t="shared" si="29"/>
        <v>3758</v>
      </c>
      <c r="G202" s="1947">
        <f t="shared" si="27"/>
        <v>0</v>
      </c>
    </row>
    <row r="203" spans="1:7" x14ac:dyDescent="0.25">
      <c r="A203" s="1953" t="s">
        <v>2413</v>
      </c>
      <c r="B203" s="1954" t="s">
        <v>2523</v>
      </c>
      <c r="C203" s="1953" t="s">
        <v>2402</v>
      </c>
      <c r="D203" s="1955">
        <v>1199</v>
      </c>
      <c r="E203" s="1945">
        <f t="shared" si="28"/>
        <v>1199</v>
      </c>
      <c r="F203" s="1946">
        <f t="shared" si="29"/>
        <v>1199</v>
      </c>
      <c r="G203" s="1947">
        <f t="shared" si="27"/>
        <v>0</v>
      </c>
    </row>
    <row r="204" spans="1:7" x14ac:dyDescent="0.25">
      <c r="A204" s="1953" t="s">
        <v>2415</v>
      </c>
      <c r="B204" s="1954" t="s">
        <v>2497</v>
      </c>
      <c r="C204" s="1953" t="s">
        <v>2416</v>
      </c>
      <c r="D204" s="1955">
        <v>4075</v>
      </c>
      <c r="E204" s="1945">
        <f t="shared" si="28"/>
        <v>4075</v>
      </c>
      <c r="F204" s="1946">
        <f t="shared" si="29"/>
        <v>4075</v>
      </c>
      <c r="G204" s="1947">
        <f t="shared" si="27"/>
        <v>0</v>
      </c>
    </row>
    <row r="205" spans="1:7" x14ac:dyDescent="0.25">
      <c r="A205" s="1953" t="s">
        <v>2417</v>
      </c>
      <c r="B205" s="1954" t="s">
        <v>2509</v>
      </c>
      <c r="C205" s="1953" t="s">
        <v>2418</v>
      </c>
      <c r="D205" s="1955">
        <v>17358</v>
      </c>
      <c r="E205" s="1945">
        <f t="shared" si="28"/>
        <v>17358</v>
      </c>
      <c r="F205" s="1946">
        <f t="shared" si="29"/>
        <v>17358</v>
      </c>
      <c r="G205" s="1947">
        <f t="shared" si="27"/>
        <v>0</v>
      </c>
    </row>
    <row r="206" spans="1:7" x14ac:dyDescent="0.25">
      <c r="A206" s="1953" t="s">
        <v>2261</v>
      </c>
      <c r="B206" s="1954" t="s">
        <v>2503</v>
      </c>
      <c r="C206" s="1953" t="s">
        <v>2418</v>
      </c>
      <c r="D206" s="1955">
        <v>60581</v>
      </c>
      <c r="E206" s="1945">
        <f t="shared" si="28"/>
        <v>25000</v>
      </c>
      <c r="F206" s="1946">
        <f t="shared" si="29"/>
        <v>25000</v>
      </c>
      <c r="G206" s="1947">
        <f t="shared" si="27"/>
        <v>35581</v>
      </c>
    </row>
    <row r="207" spans="1:7" ht="30" x14ac:dyDescent="0.25">
      <c r="A207" s="1953" t="s">
        <v>2327</v>
      </c>
      <c r="B207" s="1954" t="s">
        <v>2504</v>
      </c>
      <c r="C207" s="1953" t="s">
        <v>2419</v>
      </c>
      <c r="D207" s="1955">
        <v>4404</v>
      </c>
      <c r="E207" s="1945">
        <f t="shared" si="28"/>
        <v>4404</v>
      </c>
      <c r="F207" s="1946">
        <f t="shared" si="29"/>
        <v>4404</v>
      </c>
      <c r="G207" s="1947">
        <f t="shared" si="27"/>
        <v>0</v>
      </c>
    </row>
    <row r="208" spans="1:7" ht="30" x14ac:dyDescent="0.25">
      <c r="A208" s="1953" t="s">
        <v>2329</v>
      </c>
      <c r="B208" s="1954" t="s">
        <v>2504</v>
      </c>
      <c r="C208" s="1953" t="s">
        <v>2419</v>
      </c>
      <c r="D208" s="1955">
        <v>15483</v>
      </c>
      <c r="E208" s="1945">
        <f t="shared" si="28"/>
        <v>15483</v>
      </c>
      <c r="F208" s="1946">
        <f t="shared" si="29"/>
        <v>15483</v>
      </c>
      <c r="G208" s="1947">
        <f t="shared" si="27"/>
        <v>0</v>
      </c>
    </row>
    <row r="209" spans="1:7" ht="30" x14ac:dyDescent="0.25">
      <c r="A209" s="1953" t="s">
        <v>2420</v>
      </c>
      <c r="B209" s="1954" t="s">
        <v>2504</v>
      </c>
      <c r="C209" s="1953" t="s">
        <v>2419</v>
      </c>
      <c r="D209" s="1955">
        <v>1145</v>
      </c>
      <c r="E209" s="1945">
        <f t="shared" si="28"/>
        <v>1145</v>
      </c>
      <c r="F209" s="1946">
        <f t="shared" si="29"/>
        <v>1145</v>
      </c>
      <c r="G209" s="1947">
        <f t="shared" si="27"/>
        <v>0</v>
      </c>
    </row>
    <row r="210" spans="1:7" ht="30" x14ac:dyDescent="0.25">
      <c r="A210" s="1953" t="s">
        <v>2330</v>
      </c>
      <c r="B210" s="1954" t="s">
        <v>2511</v>
      </c>
      <c r="C210" s="1953" t="s">
        <v>2421</v>
      </c>
      <c r="D210" s="1955">
        <v>3300</v>
      </c>
      <c r="E210" s="1945">
        <f t="shared" si="28"/>
        <v>3300</v>
      </c>
      <c r="F210" s="1946">
        <f t="shared" si="29"/>
        <v>3300</v>
      </c>
      <c r="G210" s="1947">
        <f t="shared" si="27"/>
        <v>0</v>
      </c>
    </row>
    <row r="211" spans="1:7" x14ac:dyDescent="0.25">
      <c r="A211" s="1953" t="s">
        <v>2350</v>
      </c>
      <c r="B211" s="1954" t="s">
        <v>2493</v>
      </c>
      <c r="C211" s="1953" t="s">
        <v>2422</v>
      </c>
      <c r="D211" s="1955">
        <v>2404</v>
      </c>
      <c r="E211" s="1945">
        <f t="shared" si="28"/>
        <v>2404</v>
      </c>
      <c r="F211" s="1946">
        <f t="shared" si="29"/>
        <v>2404</v>
      </c>
      <c r="G211" s="1947">
        <f t="shared" si="27"/>
        <v>0</v>
      </c>
    </row>
    <row r="212" spans="1:7" x14ac:dyDescent="0.25">
      <c r="A212" s="1953" t="s">
        <v>2423</v>
      </c>
      <c r="B212" s="1954" t="s">
        <v>2493</v>
      </c>
      <c r="C212" s="1953" t="s">
        <v>2422</v>
      </c>
      <c r="D212" s="1955">
        <v>3759</v>
      </c>
      <c r="E212" s="1945">
        <f t="shared" si="28"/>
        <v>3759</v>
      </c>
      <c r="F212" s="1946">
        <f t="shared" si="29"/>
        <v>3759</v>
      </c>
      <c r="G212" s="1947">
        <f t="shared" si="27"/>
        <v>0</v>
      </c>
    </row>
    <row r="213" spans="1:7" x14ac:dyDescent="0.25">
      <c r="A213" s="1953" t="s">
        <v>2356</v>
      </c>
      <c r="B213" s="1954" t="s">
        <v>2493</v>
      </c>
      <c r="C213" s="1953" t="s">
        <v>2190</v>
      </c>
      <c r="D213" s="1956">
        <v>774</v>
      </c>
      <c r="E213" s="1945">
        <f t="shared" si="28"/>
        <v>774</v>
      </c>
      <c r="F213" s="1946">
        <f t="shared" si="29"/>
        <v>774</v>
      </c>
      <c r="G213" s="1947">
        <f t="shared" si="27"/>
        <v>0</v>
      </c>
    </row>
    <row r="214" spans="1:7" x14ac:dyDescent="0.25">
      <c r="A214" s="1953" t="s">
        <v>2424</v>
      </c>
      <c r="B214" s="1954" t="s">
        <v>2493</v>
      </c>
      <c r="C214" s="1953" t="s">
        <v>2190</v>
      </c>
      <c r="D214" s="1956">
        <v>679</v>
      </c>
      <c r="E214" s="1945">
        <f t="shared" si="28"/>
        <v>679</v>
      </c>
      <c r="F214" s="1946">
        <f t="shared" si="29"/>
        <v>679</v>
      </c>
      <c r="G214" s="1947">
        <f t="shared" si="27"/>
        <v>0</v>
      </c>
    </row>
    <row r="215" spans="1:7" x14ac:dyDescent="0.25">
      <c r="A215" s="1953" t="s">
        <v>2425</v>
      </c>
      <c r="B215" s="1954" t="s">
        <v>2497</v>
      </c>
      <c r="C215" s="1953" t="s">
        <v>2190</v>
      </c>
      <c r="D215" s="1956">
        <v>927</v>
      </c>
      <c r="E215" s="1945">
        <f t="shared" si="28"/>
        <v>927</v>
      </c>
      <c r="F215" s="1946">
        <f t="shared" si="29"/>
        <v>927</v>
      </c>
      <c r="G215" s="1947">
        <f t="shared" si="27"/>
        <v>0</v>
      </c>
    </row>
    <row r="216" spans="1:7" ht="30" x14ac:dyDescent="0.25">
      <c r="A216" s="1953" t="s">
        <v>2426</v>
      </c>
      <c r="B216" s="1954" t="s">
        <v>2504</v>
      </c>
      <c r="C216" s="1953" t="s">
        <v>2427</v>
      </c>
      <c r="D216" s="1955">
        <v>2500</v>
      </c>
      <c r="E216" s="1945">
        <f t="shared" si="28"/>
        <v>2500</v>
      </c>
      <c r="F216" s="1946">
        <f t="shared" si="29"/>
        <v>2500</v>
      </c>
      <c r="G216" s="1947">
        <f t="shared" si="27"/>
        <v>0</v>
      </c>
    </row>
    <row r="217" spans="1:7" ht="30" x14ac:dyDescent="0.25">
      <c r="A217" s="1953" t="s">
        <v>2390</v>
      </c>
      <c r="B217" s="1954" t="s">
        <v>2504</v>
      </c>
      <c r="C217" s="1953" t="s">
        <v>2427</v>
      </c>
      <c r="D217" s="1955">
        <v>3600</v>
      </c>
      <c r="E217" s="1945">
        <f t="shared" si="28"/>
        <v>3600</v>
      </c>
      <c r="F217" s="1946">
        <f t="shared" si="29"/>
        <v>3600</v>
      </c>
      <c r="G217" s="1947">
        <f t="shared" si="27"/>
        <v>0</v>
      </c>
    </row>
    <row r="218" spans="1:7" x14ac:dyDescent="0.25">
      <c r="A218" s="1953" t="s">
        <v>2417</v>
      </c>
      <c r="B218" s="1954" t="s">
        <v>2509</v>
      </c>
      <c r="C218" s="1953" t="s">
        <v>2428</v>
      </c>
      <c r="D218" s="1955">
        <v>7200</v>
      </c>
      <c r="E218" s="1945">
        <f t="shared" si="28"/>
        <v>7200</v>
      </c>
      <c r="F218" s="1946">
        <f t="shared" si="29"/>
        <v>7200</v>
      </c>
      <c r="G218" s="1947">
        <f t="shared" si="27"/>
        <v>0</v>
      </c>
    </row>
    <row r="219" spans="1:7" ht="30" x14ac:dyDescent="0.25">
      <c r="A219" s="1953" t="s">
        <v>2327</v>
      </c>
      <c r="B219" s="1954" t="s">
        <v>2504</v>
      </c>
      <c r="C219" s="1953" t="s">
        <v>2429</v>
      </c>
      <c r="D219" s="1956">
        <v>487</v>
      </c>
      <c r="E219" s="1945">
        <f t="shared" si="28"/>
        <v>487</v>
      </c>
      <c r="F219" s="1946">
        <f t="shared" si="29"/>
        <v>487</v>
      </c>
      <c r="G219" s="1947">
        <f t="shared" si="27"/>
        <v>0</v>
      </c>
    </row>
    <row r="220" spans="1:7" ht="30" x14ac:dyDescent="0.25">
      <c r="A220" s="1953" t="s">
        <v>2420</v>
      </c>
      <c r="B220" s="1954" t="s">
        <v>2504</v>
      </c>
      <c r="C220" s="1953" t="s">
        <v>2429</v>
      </c>
      <c r="D220" s="1956">
        <v>623</v>
      </c>
      <c r="E220" s="1945">
        <f t="shared" si="28"/>
        <v>623</v>
      </c>
      <c r="F220" s="1946">
        <f t="shared" si="29"/>
        <v>623</v>
      </c>
      <c r="G220" s="1947">
        <f t="shared" si="27"/>
        <v>0</v>
      </c>
    </row>
    <row r="221" spans="1:7" ht="30" x14ac:dyDescent="0.25">
      <c r="A221" s="1953" t="s">
        <v>2430</v>
      </c>
      <c r="B221" s="1954" t="s">
        <v>2511</v>
      </c>
      <c r="C221" s="1953" t="s">
        <v>2429</v>
      </c>
      <c r="D221" s="1956">
        <v>249</v>
      </c>
      <c r="E221" s="1945">
        <f t="shared" si="28"/>
        <v>249</v>
      </c>
      <c r="F221" s="1946">
        <f t="shared" si="29"/>
        <v>249</v>
      </c>
      <c r="G221" s="1947">
        <f t="shared" si="27"/>
        <v>0</v>
      </c>
    </row>
    <row r="222" spans="1:7" ht="30" x14ac:dyDescent="0.25">
      <c r="A222" s="1953" t="s">
        <v>2426</v>
      </c>
      <c r="B222" s="1954" t="s">
        <v>2504</v>
      </c>
      <c r="C222" s="1953" t="s">
        <v>2429</v>
      </c>
      <c r="D222" s="1956">
        <v>578</v>
      </c>
      <c r="E222" s="1945">
        <f t="shared" si="28"/>
        <v>578</v>
      </c>
      <c r="F222" s="1946">
        <f t="shared" si="29"/>
        <v>578</v>
      </c>
      <c r="G222" s="1947">
        <f t="shared" si="27"/>
        <v>0</v>
      </c>
    </row>
    <row r="223" spans="1:7" ht="30" x14ac:dyDescent="0.25">
      <c r="A223" s="1953" t="s">
        <v>2330</v>
      </c>
      <c r="B223" s="1954" t="s">
        <v>2511</v>
      </c>
      <c r="C223" s="1953" t="s">
        <v>2429</v>
      </c>
      <c r="D223" s="1956">
        <v>489</v>
      </c>
      <c r="E223" s="1945">
        <f t="shared" si="28"/>
        <v>489</v>
      </c>
      <c r="F223" s="1946">
        <f t="shared" si="29"/>
        <v>489</v>
      </c>
      <c r="G223" s="1947">
        <f t="shared" si="27"/>
        <v>0</v>
      </c>
    </row>
    <row r="224" spans="1:7" ht="30" x14ac:dyDescent="0.25">
      <c r="A224" s="1953" t="s">
        <v>2431</v>
      </c>
      <c r="B224" s="1954" t="s">
        <v>2504</v>
      </c>
      <c r="C224" s="1953" t="s">
        <v>2429</v>
      </c>
      <c r="D224" s="1955">
        <v>3645</v>
      </c>
      <c r="E224" s="1945">
        <f t="shared" si="28"/>
        <v>3645</v>
      </c>
      <c r="F224" s="1946">
        <f t="shared" si="29"/>
        <v>3645</v>
      </c>
      <c r="G224" s="1947">
        <f t="shared" si="27"/>
        <v>0</v>
      </c>
    </row>
    <row r="225" spans="1:7" x14ac:dyDescent="0.25">
      <c r="A225" s="1953" t="s">
        <v>2424</v>
      </c>
      <c r="B225" s="1954" t="s">
        <v>2493</v>
      </c>
      <c r="C225" s="1953" t="s">
        <v>2432</v>
      </c>
      <c r="D225" s="1956">
        <v>232</v>
      </c>
      <c r="E225" s="1945">
        <f t="shared" si="28"/>
        <v>232</v>
      </c>
      <c r="F225" s="1946">
        <f t="shared" si="29"/>
        <v>232</v>
      </c>
      <c r="G225" s="1947">
        <f t="shared" si="27"/>
        <v>0</v>
      </c>
    </row>
    <row r="226" spans="1:7" x14ac:dyDescent="0.25">
      <c r="A226" s="1953" t="s">
        <v>2433</v>
      </c>
      <c r="B226" s="1954" t="s">
        <v>2499</v>
      </c>
      <c r="C226" s="1953" t="s">
        <v>2432</v>
      </c>
      <c r="D226" s="1956">
        <v>561</v>
      </c>
      <c r="E226" s="1945">
        <f t="shared" si="28"/>
        <v>561</v>
      </c>
      <c r="F226" s="1946">
        <f t="shared" si="29"/>
        <v>561</v>
      </c>
      <c r="G226" s="1947">
        <f t="shared" si="27"/>
        <v>0</v>
      </c>
    </row>
    <row r="227" spans="1:7" x14ac:dyDescent="0.25">
      <c r="A227" s="1953" t="s">
        <v>2434</v>
      </c>
      <c r="B227" s="1954" t="s">
        <v>2495</v>
      </c>
      <c r="C227" s="1953" t="s">
        <v>2432</v>
      </c>
      <c r="D227" s="1955">
        <v>2043</v>
      </c>
      <c r="E227" s="1945">
        <f t="shared" si="28"/>
        <v>2043</v>
      </c>
      <c r="F227" s="1946">
        <f t="shared" si="29"/>
        <v>2043</v>
      </c>
      <c r="G227" s="1947">
        <f t="shared" si="27"/>
        <v>0</v>
      </c>
    </row>
    <row r="228" spans="1:7" ht="30" x14ac:dyDescent="0.25">
      <c r="A228" s="1953" t="s">
        <v>2327</v>
      </c>
      <c r="B228" s="1954" t="s">
        <v>2504</v>
      </c>
      <c r="C228" s="1953" t="s">
        <v>2435</v>
      </c>
      <c r="D228" s="1956">
        <v>481</v>
      </c>
      <c r="E228" s="1945">
        <f t="shared" si="1"/>
        <v>481</v>
      </c>
      <c r="F228" s="1946">
        <f t="shared" si="29"/>
        <v>481</v>
      </c>
      <c r="G228" s="1947">
        <f t="shared" si="27"/>
        <v>0</v>
      </c>
    </row>
    <row r="229" spans="1:7" x14ac:dyDescent="0.25">
      <c r="A229" s="1953" t="s">
        <v>2436</v>
      </c>
      <c r="B229" s="1954" t="s">
        <v>2523</v>
      </c>
      <c r="C229" s="1953" t="s">
        <v>2437</v>
      </c>
      <c r="D229" s="1956">
        <v>783</v>
      </c>
      <c r="E229" s="1945">
        <f t="shared" si="1"/>
        <v>783</v>
      </c>
      <c r="F229" s="1946">
        <f t="shared" si="29"/>
        <v>783</v>
      </c>
      <c r="G229" s="1947">
        <f t="shared" si="27"/>
        <v>0</v>
      </c>
    </row>
    <row r="230" spans="1:7" x14ac:dyDescent="0.25">
      <c r="A230" s="1953" t="s">
        <v>2438</v>
      </c>
      <c r="B230" s="1954" t="s">
        <v>2498</v>
      </c>
      <c r="C230" s="1953" t="s">
        <v>2437</v>
      </c>
      <c r="D230" s="1955">
        <v>18401</v>
      </c>
      <c r="E230" s="1945">
        <f t="shared" si="1"/>
        <v>18401</v>
      </c>
      <c r="F230" s="1946">
        <f t="shared" si="29"/>
        <v>18401</v>
      </c>
      <c r="G230" s="1947">
        <f t="shared" si="27"/>
        <v>0</v>
      </c>
    </row>
    <row r="231" spans="1:7" ht="30" x14ac:dyDescent="0.25">
      <c r="A231" s="1953" t="s">
        <v>2426</v>
      </c>
      <c r="B231" s="1954" t="s">
        <v>2504</v>
      </c>
      <c r="C231" s="1953" t="s">
        <v>2439</v>
      </c>
      <c r="D231" s="1955">
        <v>4861</v>
      </c>
      <c r="E231" s="1945">
        <f t="shared" si="1"/>
        <v>4861</v>
      </c>
      <c r="F231" s="1946">
        <f t="shared" si="29"/>
        <v>4861</v>
      </c>
      <c r="G231" s="1947">
        <f t="shared" si="27"/>
        <v>0</v>
      </c>
    </row>
    <row r="232" spans="1:7" x14ac:dyDescent="0.25">
      <c r="A232" s="1953" t="s">
        <v>2348</v>
      </c>
      <c r="B232" s="1954" t="s">
        <v>2516</v>
      </c>
      <c r="C232" s="1953" t="s">
        <v>2440</v>
      </c>
      <c r="D232" s="1955">
        <v>6250</v>
      </c>
      <c r="E232" s="1945">
        <f t="shared" si="1"/>
        <v>6250</v>
      </c>
      <c r="F232" s="1946">
        <f t="shared" si="29"/>
        <v>6250</v>
      </c>
      <c r="G232" s="1947">
        <f t="shared" si="27"/>
        <v>0</v>
      </c>
    </row>
    <row r="233" spans="1:7" x14ac:dyDescent="0.25">
      <c r="A233" s="1953" t="s">
        <v>2441</v>
      </c>
      <c r="B233" s="1954" t="s">
        <v>2524</v>
      </c>
      <c r="C233" s="1953" t="s">
        <v>2442</v>
      </c>
      <c r="D233" s="1956">
        <v>463</v>
      </c>
      <c r="E233" s="1945">
        <f t="shared" si="1"/>
        <v>463</v>
      </c>
      <c r="F233" s="1946">
        <f t="shared" si="29"/>
        <v>463</v>
      </c>
      <c r="G233" s="1947">
        <f t="shared" ref="G233:G273" si="30">IF(F233=0,0,D233-F233)</f>
        <v>0</v>
      </c>
    </row>
    <row r="234" spans="1:7" x14ac:dyDescent="0.25">
      <c r="A234" s="1953" t="s">
        <v>2443</v>
      </c>
      <c r="B234" s="1954" t="s">
        <v>2493</v>
      </c>
      <c r="C234" s="1953" t="s">
        <v>2442</v>
      </c>
      <c r="D234" s="1955">
        <v>7669</v>
      </c>
      <c r="E234" s="1945">
        <f t="shared" si="1"/>
        <v>7669</v>
      </c>
      <c r="F234" s="1946">
        <f t="shared" si="29"/>
        <v>7669</v>
      </c>
      <c r="G234" s="1947">
        <f t="shared" si="30"/>
        <v>0</v>
      </c>
    </row>
    <row r="235" spans="1:7" x14ac:dyDescent="0.25">
      <c r="A235" s="1953" t="s">
        <v>2318</v>
      </c>
      <c r="B235" s="1954" t="s">
        <v>2493</v>
      </c>
      <c r="C235" s="1953" t="s">
        <v>2442</v>
      </c>
      <c r="D235" s="1955">
        <v>14124</v>
      </c>
      <c r="E235" s="1945">
        <f t="shared" si="1"/>
        <v>14124</v>
      </c>
      <c r="F235" s="1946">
        <f t="shared" si="29"/>
        <v>14124</v>
      </c>
      <c r="G235" s="1947">
        <f t="shared" si="30"/>
        <v>0</v>
      </c>
    </row>
    <row r="236" spans="1:7" x14ac:dyDescent="0.25">
      <c r="A236" s="1953" t="s">
        <v>2444</v>
      </c>
      <c r="B236" s="1954" t="s">
        <v>2493</v>
      </c>
      <c r="C236" s="1953" t="s">
        <v>2442</v>
      </c>
      <c r="D236" s="1956">
        <v>223</v>
      </c>
      <c r="E236" s="1945">
        <f t="shared" si="1"/>
        <v>223</v>
      </c>
      <c r="F236" s="1946">
        <f t="shared" si="29"/>
        <v>223</v>
      </c>
      <c r="G236" s="1947">
        <f t="shared" si="30"/>
        <v>0</v>
      </c>
    </row>
    <row r="237" spans="1:7" x14ac:dyDescent="0.25">
      <c r="A237" s="1953" t="s">
        <v>2415</v>
      </c>
      <c r="B237" s="1954" t="s">
        <v>2497</v>
      </c>
      <c r="C237" s="1953" t="s">
        <v>2446</v>
      </c>
      <c r="D237" s="1955">
        <v>122825</v>
      </c>
      <c r="E237" s="1945">
        <f t="shared" si="1"/>
        <v>25000</v>
      </c>
      <c r="F237" s="1946">
        <f t="shared" ref="F237:F268" si="31">IF(OR(B237="10-1000-100",B237="10-1000-200",B237="10-1000-300",B237="10-1000-400",B237="10-1000-600",B237="10-1000-800",B237="50-1000-200",B237="10-2100-100",B237="10-2100-200",B237="10-2100-300",B237="10-2100-400",B237="10-2100-600",B237="10-2100-800",B237="20-2100-200",B237="20-2190-100",B237="20-2190-200",B237="20-2190-300",B237="20-2190-400",B237="20-2190-600",B237="20-2190-800",B237="40-2190-100",B237="40-2190-200",B237="40-2190-300",B237="40-2190-400",B237="40-2190-600",B237="40-2190-800",B237="50-2190-200",B237="10-2200-100",B237="10-2200-200",B237="10-2200-300",B237="10-2200-400",B237="10-2200-600",B237="10-2200-800",B237="50-2200-200",B237="10-2300-100",B237="10-2300-200",B237="10-2300-300",B237="10-2300-400",B237="10-2300-600",B237="10-2300-800",B237="50-2300-200",B237="80-2300-100",B237="80-2300-200",B237="80-2300-300",B237="80-2300-400",B237="80-2300-600",B237="80-2300-800",B237="10-2400-100",B237="10-2400-200",B237="10-2400-300",B237="10-2400-400",B237="10-2400-600",B237="10-2400-800",B237="50-2400-200",B237="10-2510-100",B237="10-2510-200",B237="10-2510-300",B237="10-2510-400",B237="10-2510-600",B237="10-2510-800",B237="20-2510-100",B237="20-2510-200",B237="20-2510-300",B237="20-2510-400",B237="20-2510-600",B237="20-2510-800",B237="50-2510-200",B237="10-2520-100",B237="10-2520-200",B237="10-2520-300",B237="10-2520-400",B237="10-2520-600",B237="10-2520-800",B237="50-2520-200",B237="10-2540-100",B237="10-2540-200",B237="10-2540-300",B237="10-2540-400",B237="10-2540-600",B237="20-2540-800",B237="20-2540-100",B237="20-2540-200",B237="20-2540-300",B237="20-2540-400",B237="20-2540-600",B237="50-2540-200",B237="90-2540-100",B237="90-2540-200",B237="90-2540-300",B237="90-2540-400",B237="90-2540-600",B237="90-2540-800",B237="90-2540-800",B237="10-2550-100",B237="10-2550-200",B237="10-2550-300",B237="10-2550-400",B237="10-2550-600",B237="10-2550-800",B237="20-2550-100",B237="20-2550-200",B237="20-2550-300",B237="20-2550-400",B237="20-2550-600",B237="20-2550-800",B237="40-2550-100",B237="40-2550-200",B237="40-2550-300",B237="40-2550-400",B237="40-2550-600",B237="40-2550-800",B237="50-2550-200",B237="10-2560-100",B237="10-2560-200",B237="10-2560-300",B237="10-2560-400",B237="10-2560-600",B237="10-2560-800",B237="20-2560-100",B237="20-2560-200",B237="20-2560-300",B237="20-2560-400",B237="20-2560-600",B237="20-2560-800",B237="50-2560-200",B237="10-2570-100",B237="10-2570-200",B237="10-2570-300",B237="10-2570-400",B237="10-2570-600",B237="10-2570-800",B237="50-2570-200",B237="10-2610-100",B237="10-2610-200",B237="10-2610-300",B237="10-2610-400",B237="10-2610-600",B237="10-2610-800",B237="50-2610-200",B237="10-2620-100",B237="10-2620-200",B237="10-2620-300",B237="10-2620-400",B237="10-2620-600",B237="10-2620-800",B237="50-2620-200",B237="10-2630-100",B237="10-2630-200",B237="10-2630-300",B237="10-2630-400",B237="10-2630-600",B237="10-2630-800",B237="50-2630-200",B237="10-2640-100",B237="10-2640-200",B237="10-2640-300",B237="10-2640-400",B237="10-2640-600",B237="10-2640-800",B237="50-2640-200",B237="10-2660-100",B237="10-2660-200",B237="10-2660-300",B237="10-2660-400",B237="10-2660-600",B237="10-2660-800",B237="50-2660-200",B237="10-2900-100",B237="10-2900-200",B237="10-2900-300",B237="10-2900-400",B237="10-2900-600",B237="10-2900-800",B237="20-2900-100",B237="20-2900-200",B237="20-2900-300",B237="20-2900-400",B237="20-2900-600",B237="20-2900-800",B237="40-2900-100",B237="40-2900-200",B237="40-2900-300",B237="40-2900-400",B237="40-2900-600",B237="40-2900-800",B237="50-2900-200",B237="60-2900-100",B237="60-2900-200",B237="60-2900-300",B237="60-2900-400",B237="60-2900-600",B237="60-2900-800",B237="90-2900-100",B237="90-2900-200",B237="90-2900-300",B237="90-2900-400",B237="90-2900-600",B237="90-2900-800",B237="10-3000-100",B237="10-3000-200",B237="10-3000-300",B237="10-3000-400",B237="10-3000-600",B237="10-3000-800",B237="20-3000-100",B237="20-3000-200",B237="20-3000-300",B237="20-3000-400",B237="20-3000-600",B237="20-3000-800",B237="40-3000-100",B237="40-3000-200",B237="40-3000-300",B237="40-3000-400",B237="40-3000-600",B237="40-3000-800",B237="50-3000-200"),E237,0)</f>
        <v>25000</v>
      </c>
      <c r="G237" s="1947">
        <f t="shared" si="30"/>
        <v>97825</v>
      </c>
    </row>
    <row r="238" spans="1:7" x14ac:dyDescent="0.25">
      <c r="A238" s="1953" t="s">
        <v>2447</v>
      </c>
      <c r="B238" s="1954" t="s">
        <v>2498</v>
      </c>
      <c r="C238" s="1953" t="s">
        <v>2448</v>
      </c>
      <c r="D238" s="1955">
        <v>75611</v>
      </c>
      <c r="E238" s="1945">
        <f t="shared" si="1"/>
        <v>25000</v>
      </c>
      <c r="F238" s="1946">
        <f t="shared" si="31"/>
        <v>25000</v>
      </c>
      <c r="G238" s="1947">
        <f t="shared" si="30"/>
        <v>50611</v>
      </c>
    </row>
    <row r="239" spans="1:7" x14ac:dyDescent="0.25">
      <c r="A239" s="1953" t="s">
        <v>2362</v>
      </c>
      <c r="B239" s="1954" t="s">
        <v>2493</v>
      </c>
      <c r="C239" s="1953" t="s">
        <v>2449</v>
      </c>
      <c r="D239" s="1955">
        <v>1868</v>
      </c>
      <c r="E239" s="1945">
        <f t="shared" si="1"/>
        <v>1868</v>
      </c>
      <c r="F239" s="1946">
        <f t="shared" si="31"/>
        <v>1868</v>
      </c>
      <c r="G239" s="1947">
        <f t="shared" si="30"/>
        <v>0</v>
      </c>
    </row>
    <row r="240" spans="1:7" x14ac:dyDescent="0.25">
      <c r="A240" s="1953" t="s">
        <v>2450</v>
      </c>
      <c r="B240" s="1954" t="s">
        <v>2516</v>
      </c>
      <c r="C240" s="1953" t="s">
        <v>2449</v>
      </c>
      <c r="D240" s="1955">
        <v>1560</v>
      </c>
      <c r="E240" s="1945">
        <f t="shared" si="1"/>
        <v>1560</v>
      </c>
      <c r="F240" s="1946">
        <f t="shared" si="31"/>
        <v>1560</v>
      </c>
      <c r="G240" s="1947">
        <f t="shared" si="30"/>
        <v>0</v>
      </c>
    </row>
    <row r="241" spans="1:7" x14ac:dyDescent="0.25">
      <c r="A241" s="1953" t="s">
        <v>2445</v>
      </c>
      <c r="B241" s="1954" t="s">
        <v>2503</v>
      </c>
      <c r="C241" s="1953" t="s">
        <v>2451</v>
      </c>
      <c r="D241" s="1955">
        <v>44545</v>
      </c>
      <c r="E241" s="1945">
        <f t="shared" si="1"/>
        <v>25000</v>
      </c>
      <c r="F241" s="1946">
        <f t="shared" si="31"/>
        <v>25000</v>
      </c>
      <c r="G241" s="1947">
        <f t="shared" si="30"/>
        <v>19545</v>
      </c>
    </row>
    <row r="242" spans="1:7" ht="30" x14ac:dyDescent="0.25">
      <c r="A242" s="1953" t="s">
        <v>2452</v>
      </c>
      <c r="B242" s="1954" t="s">
        <v>2525</v>
      </c>
      <c r="C242" s="1953" t="s">
        <v>2453</v>
      </c>
      <c r="D242" s="1955">
        <v>62062</v>
      </c>
      <c r="E242" s="1945">
        <f t="shared" si="1"/>
        <v>25000</v>
      </c>
      <c r="F242" s="1946">
        <f t="shared" si="31"/>
        <v>0</v>
      </c>
      <c r="G242" s="1947">
        <f t="shared" si="30"/>
        <v>0</v>
      </c>
    </row>
    <row r="243" spans="1:7" ht="30" x14ac:dyDescent="0.25">
      <c r="A243" s="1953" t="s">
        <v>2414</v>
      </c>
      <c r="B243" s="1954" t="s">
        <v>2496</v>
      </c>
      <c r="C243" s="1953" t="s">
        <v>2454</v>
      </c>
      <c r="D243" s="1955">
        <v>35129</v>
      </c>
      <c r="E243" s="1945">
        <f t="shared" si="1"/>
        <v>25000</v>
      </c>
      <c r="F243" s="1946">
        <f t="shared" si="31"/>
        <v>25000</v>
      </c>
      <c r="G243" s="1947">
        <f t="shared" si="30"/>
        <v>10129</v>
      </c>
    </row>
    <row r="244" spans="1:7" x14ac:dyDescent="0.25">
      <c r="A244" s="1953" t="s">
        <v>2445</v>
      </c>
      <c r="B244" s="1954" t="s">
        <v>2503</v>
      </c>
      <c r="C244" s="1953" t="s">
        <v>2455</v>
      </c>
      <c r="D244" s="1955">
        <v>5009</v>
      </c>
      <c r="E244" s="1945">
        <f t="shared" si="1"/>
        <v>5009</v>
      </c>
      <c r="F244" s="1946">
        <f t="shared" si="31"/>
        <v>5009</v>
      </c>
      <c r="G244" s="1947">
        <f t="shared" si="30"/>
        <v>0</v>
      </c>
    </row>
    <row r="245" spans="1:7" x14ac:dyDescent="0.25">
      <c r="A245" s="1953" t="s">
        <v>2386</v>
      </c>
      <c r="B245" s="1954" t="s">
        <v>2503</v>
      </c>
      <c r="C245" s="1953" t="s">
        <v>2455</v>
      </c>
      <c r="D245" s="1955">
        <v>13735</v>
      </c>
      <c r="E245" s="1945">
        <f t="shared" si="1"/>
        <v>13735</v>
      </c>
      <c r="F245" s="1946">
        <f t="shared" si="31"/>
        <v>13735</v>
      </c>
      <c r="G245" s="1947">
        <f t="shared" si="30"/>
        <v>0</v>
      </c>
    </row>
    <row r="246" spans="1:7" x14ac:dyDescent="0.25">
      <c r="A246" s="1953" t="s">
        <v>2456</v>
      </c>
      <c r="B246" s="1954" t="s">
        <v>2493</v>
      </c>
      <c r="C246" s="1953" t="s">
        <v>2455</v>
      </c>
      <c r="D246" s="1956">
        <v>870</v>
      </c>
      <c r="E246" s="1945">
        <f t="shared" si="1"/>
        <v>870</v>
      </c>
      <c r="F246" s="1946">
        <f t="shared" si="31"/>
        <v>870</v>
      </c>
      <c r="G246" s="1947">
        <f t="shared" si="30"/>
        <v>0</v>
      </c>
    </row>
    <row r="247" spans="1:7" x14ac:dyDescent="0.25">
      <c r="A247" s="1953" t="s">
        <v>2288</v>
      </c>
      <c r="B247" s="1954" t="s">
        <v>2493</v>
      </c>
      <c r="C247" s="1953" t="s">
        <v>2457</v>
      </c>
      <c r="D247" s="1955">
        <v>1320</v>
      </c>
      <c r="E247" s="1945">
        <f t="shared" si="1"/>
        <v>1320</v>
      </c>
      <c r="F247" s="1946">
        <f t="shared" si="31"/>
        <v>1320</v>
      </c>
      <c r="G247" s="1947">
        <f t="shared" si="30"/>
        <v>0</v>
      </c>
    </row>
    <row r="248" spans="1:7" ht="30" x14ac:dyDescent="0.25">
      <c r="A248" s="1953" t="s">
        <v>2371</v>
      </c>
      <c r="B248" s="1954" t="s">
        <v>2511</v>
      </c>
      <c r="C248" s="1953" t="s">
        <v>2458</v>
      </c>
      <c r="D248" s="1955">
        <v>8972</v>
      </c>
      <c r="E248" s="1945">
        <f t="shared" si="1"/>
        <v>8972</v>
      </c>
      <c r="F248" s="1946">
        <f t="shared" si="31"/>
        <v>8972</v>
      </c>
      <c r="G248" s="1947">
        <f t="shared" si="30"/>
        <v>0</v>
      </c>
    </row>
    <row r="249" spans="1:7" x14ac:dyDescent="0.25">
      <c r="A249" s="1953" t="s">
        <v>2459</v>
      </c>
      <c r="B249" s="1954" t="s">
        <v>2500</v>
      </c>
      <c r="C249" s="1953" t="s">
        <v>2460</v>
      </c>
      <c r="D249" s="1955">
        <v>61950</v>
      </c>
      <c r="E249" s="1945">
        <f t="shared" si="1"/>
        <v>25000</v>
      </c>
      <c r="F249" s="1946">
        <f t="shared" si="31"/>
        <v>25000</v>
      </c>
      <c r="G249" s="1947">
        <f t="shared" si="30"/>
        <v>36950</v>
      </c>
    </row>
    <row r="250" spans="1:7" ht="30" x14ac:dyDescent="0.25">
      <c r="A250" s="1953" t="s">
        <v>2461</v>
      </c>
      <c r="B250" s="1954" t="s">
        <v>2504</v>
      </c>
      <c r="C250" s="1953" t="s">
        <v>2462</v>
      </c>
      <c r="D250" s="1955">
        <v>64979</v>
      </c>
      <c r="E250" s="1945">
        <f t="shared" si="1"/>
        <v>25000</v>
      </c>
      <c r="F250" s="1946">
        <f t="shared" si="31"/>
        <v>25000</v>
      </c>
      <c r="G250" s="1947">
        <f t="shared" si="30"/>
        <v>39979</v>
      </c>
    </row>
    <row r="251" spans="1:7" x14ac:dyDescent="0.25">
      <c r="A251" s="1953" t="s">
        <v>2463</v>
      </c>
      <c r="B251" s="1954" t="s">
        <v>2497</v>
      </c>
      <c r="C251" s="1953" t="s">
        <v>2464</v>
      </c>
      <c r="D251" s="1955">
        <v>57825</v>
      </c>
      <c r="E251" s="1945">
        <f t="shared" si="1"/>
        <v>25000</v>
      </c>
      <c r="F251" s="1946">
        <f t="shared" si="31"/>
        <v>25000</v>
      </c>
      <c r="G251" s="1947">
        <f t="shared" si="30"/>
        <v>32825</v>
      </c>
    </row>
    <row r="252" spans="1:7" x14ac:dyDescent="0.25">
      <c r="A252" s="1953" t="s">
        <v>2332</v>
      </c>
      <c r="B252" s="1954" t="s">
        <v>2503</v>
      </c>
      <c r="C252" s="1953" t="s">
        <v>2333</v>
      </c>
      <c r="D252" s="1955">
        <v>54411</v>
      </c>
      <c r="E252" s="1945">
        <f t="shared" si="1"/>
        <v>25000</v>
      </c>
      <c r="F252" s="1946">
        <f t="shared" si="31"/>
        <v>25000</v>
      </c>
      <c r="G252" s="1947">
        <f t="shared" si="30"/>
        <v>29411</v>
      </c>
    </row>
    <row r="253" spans="1:7" ht="30" x14ac:dyDescent="0.25">
      <c r="A253" s="1953" t="s">
        <v>2430</v>
      </c>
      <c r="B253" s="1954" t="s">
        <v>2511</v>
      </c>
      <c r="C253" s="1953" t="s">
        <v>2465</v>
      </c>
      <c r="D253" s="1955">
        <v>2775</v>
      </c>
      <c r="E253" s="1945">
        <f t="shared" si="1"/>
        <v>2775</v>
      </c>
      <c r="F253" s="1946">
        <f t="shared" si="31"/>
        <v>2775</v>
      </c>
      <c r="G253" s="1947">
        <f t="shared" si="30"/>
        <v>0</v>
      </c>
    </row>
    <row r="254" spans="1:7" ht="30" x14ac:dyDescent="0.25">
      <c r="A254" s="1953" t="s">
        <v>2330</v>
      </c>
      <c r="B254" s="1954" t="s">
        <v>2511</v>
      </c>
      <c r="C254" s="1953" t="s">
        <v>2466</v>
      </c>
      <c r="D254" s="1955">
        <v>21600</v>
      </c>
      <c r="E254" s="1945">
        <f t="shared" si="1"/>
        <v>21600</v>
      </c>
      <c r="F254" s="1946">
        <f t="shared" si="31"/>
        <v>21600</v>
      </c>
      <c r="G254" s="1947">
        <f t="shared" si="30"/>
        <v>0</v>
      </c>
    </row>
    <row r="255" spans="1:7" ht="30" x14ac:dyDescent="0.25">
      <c r="A255" s="1953" t="s">
        <v>2327</v>
      </c>
      <c r="B255" s="1954" t="s">
        <v>2504</v>
      </c>
      <c r="C255" s="1953" t="s">
        <v>2467</v>
      </c>
      <c r="D255" s="1955">
        <v>31941</v>
      </c>
      <c r="E255" s="1945">
        <f t="shared" si="1"/>
        <v>25000</v>
      </c>
      <c r="F255" s="1946">
        <f t="shared" si="31"/>
        <v>25000</v>
      </c>
      <c r="G255" s="1947">
        <f t="shared" si="30"/>
        <v>6941</v>
      </c>
    </row>
    <row r="256" spans="1:7" ht="30" x14ac:dyDescent="0.25">
      <c r="A256" s="1953" t="s">
        <v>2329</v>
      </c>
      <c r="B256" s="1954" t="s">
        <v>2504</v>
      </c>
      <c r="C256" s="1953" t="s">
        <v>2467</v>
      </c>
      <c r="D256" s="1955">
        <v>9154</v>
      </c>
      <c r="E256" s="1945">
        <f t="shared" si="1"/>
        <v>9154</v>
      </c>
      <c r="F256" s="1946">
        <f t="shared" si="31"/>
        <v>9154</v>
      </c>
      <c r="G256" s="1947">
        <f t="shared" si="30"/>
        <v>0</v>
      </c>
    </row>
    <row r="257" spans="1:7" ht="30" x14ac:dyDescent="0.25">
      <c r="A257" s="1953" t="s">
        <v>2420</v>
      </c>
      <c r="B257" s="1954" t="s">
        <v>2504</v>
      </c>
      <c r="C257" s="1953" t="s">
        <v>2467</v>
      </c>
      <c r="D257" s="1955">
        <v>14189</v>
      </c>
      <c r="E257" s="1945">
        <f t="shared" si="1"/>
        <v>14189</v>
      </c>
      <c r="F257" s="1946">
        <f t="shared" si="31"/>
        <v>14189</v>
      </c>
      <c r="G257" s="1947">
        <f t="shared" si="30"/>
        <v>0</v>
      </c>
    </row>
    <row r="258" spans="1:7" ht="30" x14ac:dyDescent="0.25">
      <c r="A258" s="1953" t="s">
        <v>2426</v>
      </c>
      <c r="B258" s="1954" t="s">
        <v>2504</v>
      </c>
      <c r="C258" s="1953" t="s">
        <v>2467</v>
      </c>
      <c r="D258" s="1956">
        <v>273</v>
      </c>
      <c r="E258" s="1945">
        <f t="shared" si="1"/>
        <v>273</v>
      </c>
      <c r="F258" s="1946">
        <f t="shared" si="31"/>
        <v>273</v>
      </c>
      <c r="G258" s="1947">
        <f t="shared" si="30"/>
        <v>0</v>
      </c>
    </row>
    <row r="259" spans="1:7" ht="30" x14ac:dyDescent="0.25">
      <c r="A259" s="1953" t="s">
        <v>2461</v>
      </c>
      <c r="B259" s="1954" t="s">
        <v>2504</v>
      </c>
      <c r="C259" s="1953" t="s">
        <v>2467</v>
      </c>
      <c r="D259" s="1955">
        <v>10396</v>
      </c>
      <c r="E259" s="1945">
        <f t="shared" si="1"/>
        <v>10396</v>
      </c>
      <c r="F259" s="1946">
        <f t="shared" si="31"/>
        <v>10396</v>
      </c>
      <c r="G259" s="1947">
        <f t="shared" si="30"/>
        <v>0</v>
      </c>
    </row>
    <row r="260" spans="1:7" ht="30" x14ac:dyDescent="0.25">
      <c r="A260" s="1953" t="s">
        <v>2330</v>
      </c>
      <c r="B260" s="1954" t="s">
        <v>2511</v>
      </c>
      <c r="C260" s="1953" t="s">
        <v>2468</v>
      </c>
      <c r="D260" s="1955">
        <v>2150</v>
      </c>
      <c r="E260" s="1945">
        <f t="shared" si="1"/>
        <v>2150</v>
      </c>
      <c r="F260" s="1946">
        <f t="shared" si="31"/>
        <v>2150</v>
      </c>
      <c r="G260" s="1947">
        <f t="shared" si="30"/>
        <v>0</v>
      </c>
    </row>
    <row r="261" spans="1:7" ht="30" x14ac:dyDescent="0.25">
      <c r="A261" s="1953" t="s">
        <v>2469</v>
      </c>
      <c r="B261" s="1954" t="s">
        <v>2499</v>
      </c>
      <c r="C261" s="1953" t="s">
        <v>2470</v>
      </c>
      <c r="D261" s="1955">
        <v>1500</v>
      </c>
      <c r="E261" s="1945">
        <f t="shared" si="1"/>
        <v>1500</v>
      </c>
      <c r="F261" s="1946">
        <f t="shared" si="31"/>
        <v>1500</v>
      </c>
      <c r="G261" s="1947">
        <f t="shared" si="30"/>
        <v>0</v>
      </c>
    </row>
    <row r="262" spans="1:7" x14ac:dyDescent="0.25">
      <c r="A262" s="1953" t="s">
        <v>2191</v>
      </c>
      <c r="B262" s="1954" t="s">
        <v>2499</v>
      </c>
      <c r="C262" s="1953" t="s">
        <v>2470</v>
      </c>
      <c r="D262" s="1955">
        <v>132500</v>
      </c>
      <c r="E262" s="1945">
        <f t="shared" si="1"/>
        <v>25000</v>
      </c>
      <c r="F262" s="1946">
        <f t="shared" si="31"/>
        <v>25000</v>
      </c>
      <c r="G262" s="1947">
        <f t="shared" si="30"/>
        <v>107500</v>
      </c>
    </row>
    <row r="263" spans="1:7" ht="30" x14ac:dyDescent="0.25">
      <c r="A263" s="1953" t="s">
        <v>2330</v>
      </c>
      <c r="B263" s="1954" t="s">
        <v>2511</v>
      </c>
      <c r="C263" s="1953" t="s">
        <v>2471</v>
      </c>
      <c r="D263" s="1955">
        <v>7128</v>
      </c>
      <c r="E263" s="1945">
        <f t="shared" si="1"/>
        <v>7128</v>
      </c>
      <c r="F263" s="1946">
        <f t="shared" si="31"/>
        <v>7128</v>
      </c>
      <c r="G263" s="1947">
        <f t="shared" si="30"/>
        <v>0</v>
      </c>
    </row>
    <row r="264" spans="1:7" x14ac:dyDescent="0.25">
      <c r="A264" s="1953" t="s">
        <v>2472</v>
      </c>
      <c r="B264" s="1954" t="s">
        <v>2497</v>
      </c>
      <c r="C264" s="1953" t="s">
        <v>2473</v>
      </c>
      <c r="D264" s="1955">
        <v>16224</v>
      </c>
      <c r="E264" s="1945">
        <f t="shared" si="1"/>
        <v>16224</v>
      </c>
      <c r="F264" s="1946">
        <f t="shared" si="31"/>
        <v>16224</v>
      </c>
      <c r="G264" s="1947">
        <f t="shared" si="30"/>
        <v>0</v>
      </c>
    </row>
    <row r="265" spans="1:7" x14ac:dyDescent="0.25">
      <c r="A265" s="1953" t="s">
        <v>2334</v>
      </c>
      <c r="B265" s="1954" t="s">
        <v>2499</v>
      </c>
      <c r="C265" s="1953" t="s">
        <v>2473</v>
      </c>
      <c r="D265" s="1956">
        <v>271</v>
      </c>
      <c r="E265" s="1945">
        <f t="shared" si="1"/>
        <v>271</v>
      </c>
      <c r="F265" s="1946">
        <f t="shared" si="31"/>
        <v>271</v>
      </c>
      <c r="G265" s="1947">
        <f t="shared" si="30"/>
        <v>0</v>
      </c>
    </row>
    <row r="266" spans="1:7" ht="30" x14ac:dyDescent="0.25">
      <c r="A266" s="1953" t="s">
        <v>2474</v>
      </c>
      <c r="B266" s="1954" t="s">
        <v>1928</v>
      </c>
      <c r="C266" s="1953" t="s">
        <v>2331</v>
      </c>
      <c r="D266" s="1955">
        <v>55399</v>
      </c>
      <c r="E266" s="1945">
        <f t="shared" si="1"/>
        <v>25000</v>
      </c>
      <c r="F266" s="1946">
        <f t="shared" si="31"/>
        <v>25000</v>
      </c>
      <c r="G266" s="1947">
        <f t="shared" si="30"/>
        <v>30399</v>
      </c>
    </row>
    <row r="267" spans="1:7" x14ac:dyDescent="0.25">
      <c r="A267" s="1953" t="s">
        <v>2425</v>
      </c>
      <c r="B267" s="1954" t="s">
        <v>2497</v>
      </c>
      <c r="C267" s="1953" t="s">
        <v>2475</v>
      </c>
      <c r="D267" s="1955">
        <v>38489</v>
      </c>
      <c r="E267" s="1945">
        <f t="shared" si="1"/>
        <v>25000</v>
      </c>
      <c r="F267" s="1946">
        <f t="shared" si="31"/>
        <v>25000</v>
      </c>
      <c r="G267" s="1947">
        <f t="shared" si="30"/>
        <v>13489</v>
      </c>
    </row>
    <row r="268" spans="1:7" x14ac:dyDescent="0.25">
      <c r="A268" s="1953" t="s">
        <v>2269</v>
      </c>
      <c r="B268" s="1954" t="s">
        <v>2508</v>
      </c>
      <c r="C268" s="1953" t="s">
        <v>2475</v>
      </c>
      <c r="D268" s="1956">
        <v>10</v>
      </c>
      <c r="E268" s="1945">
        <f t="shared" si="1"/>
        <v>10</v>
      </c>
      <c r="F268" s="1946">
        <f t="shared" si="31"/>
        <v>10</v>
      </c>
      <c r="G268" s="1947">
        <f t="shared" si="30"/>
        <v>0</v>
      </c>
    </row>
    <row r="269" spans="1:7" x14ac:dyDescent="0.25">
      <c r="A269" s="1953" t="s">
        <v>2476</v>
      </c>
      <c r="B269" s="1954" t="s">
        <v>2508</v>
      </c>
      <c r="C269" s="1953" t="s">
        <v>2475</v>
      </c>
      <c r="D269" s="1956">
        <v>30</v>
      </c>
      <c r="E269" s="1945">
        <f t="shared" si="1"/>
        <v>30</v>
      </c>
      <c r="F269" s="1946">
        <f t="shared" ref="F269:F289" si="32">IF(OR(B269="10-1000-100",B269="10-1000-200",B269="10-1000-300",B269="10-1000-400",B269="10-1000-600",B269="10-1000-800",B269="50-1000-200",B269="10-2100-100",B269="10-2100-200",B269="10-2100-300",B269="10-2100-400",B269="10-2100-600",B269="10-2100-800",B269="20-2100-200",B269="20-2190-100",B269="20-2190-200",B269="20-2190-300",B269="20-2190-400",B269="20-2190-600",B269="20-2190-800",B269="40-2190-100",B269="40-2190-200",B269="40-2190-300",B269="40-2190-400",B269="40-2190-600",B269="40-2190-800",B269="50-2190-200",B269="10-2200-100",B269="10-2200-200",B269="10-2200-300",B269="10-2200-400",B269="10-2200-600",B269="10-2200-800",B269="50-2200-200",B269="10-2300-100",B269="10-2300-200",B269="10-2300-300",B269="10-2300-400",B269="10-2300-600",B269="10-2300-800",B269="50-2300-200",B269="80-2300-100",B269="80-2300-200",B269="80-2300-300",B269="80-2300-400",B269="80-2300-600",B269="80-2300-800",B269="10-2400-100",B269="10-2400-200",B269="10-2400-300",B269="10-2400-400",B269="10-2400-600",B269="10-2400-800",B269="50-2400-200",B269="10-2510-100",B269="10-2510-200",B269="10-2510-300",B269="10-2510-400",B269="10-2510-600",B269="10-2510-800",B269="20-2510-100",B269="20-2510-200",B269="20-2510-300",B269="20-2510-400",B269="20-2510-600",B269="20-2510-800",B269="50-2510-200",B269="10-2520-100",B269="10-2520-200",B269="10-2520-300",B269="10-2520-400",B269="10-2520-600",B269="10-2520-800",B269="50-2520-200",B269="10-2540-100",B269="10-2540-200",B269="10-2540-300",B269="10-2540-400",B269="10-2540-600",B269="20-2540-800",B269="20-2540-100",B269="20-2540-200",B269="20-2540-300",B269="20-2540-400",B269="20-2540-600",B269="50-2540-200",B269="90-2540-100",B269="90-2540-200",B269="90-2540-300",B269="90-2540-400",B269="90-2540-600",B269="90-2540-800",B269="90-2540-800",B269="10-2550-100",B269="10-2550-200",B269="10-2550-300",B269="10-2550-400",B269="10-2550-600",B269="10-2550-800",B269="20-2550-100",B269="20-2550-200",B269="20-2550-300",B269="20-2550-400",B269="20-2550-600",B269="20-2550-800",B269="40-2550-100",B269="40-2550-200",B269="40-2550-300",B269="40-2550-400",B269="40-2550-600",B269="40-2550-800",B269="50-2550-200",B269="10-2560-100",B269="10-2560-200",B269="10-2560-300",B269="10-2560-400",B269="10-2560-600",B269="10-2560-800",B269="20-2560-100",B269="20-2560-200",B269="20-2560-300",B269="20-2560-400",B269="20-2560-600",B269="20-2560-800",B269="50-2560-200",B269="10-2570-100",B269="10-2570-200",B269="10-2570-300",B269="10-2570-400",B269="10-2570-600",B269="10-2570-800",B269="50-2570-200",B269="10-2610-100",B269="10-2610-200",B269="10-2610-300",B269="10-2610-400",B269="10-2610-600",B269="10-2610-800",B269="50-2610-200",B269="10-2620-100",B269="10-2620-200",B269="10-2620-300",B269="10-2620-400",B269="10-2620-600",B269="10-2620-800",B269="50-2620-200",B269="10-2630-100",B269="10-2630-200",B269="10-2630-300",B269="10-2630-400",B269="10-2630-600",B269="10-2630-800",B269="50-2630-200",B269="10-2640-100",B269="10-2640-200",B269="10-2640-300",B269="10-2640-400",B269="10-2640-600",B269="10-2640-800",B269="50-2640-200",B269="10-2660-100",B269="10-2660-200",B269="10-2660-300",B269="10-2660-400",B269="10-2660-600",B269="10-2660-800",B269="50-2660-200",B269="10-2900-100",B269="10-2900-200",B269="10-2900-300",B269="10-2900-400",B269="10-2900-600",B269="10-2900-800",B269="20-2900-100",B269="20-2900-200",B269="20-2900-300",B269="20-2900-400",B269="20-2900-600",B269="20-2900-800",B269="40-2900-100",B269="40-2900-200",B269="40-2900-300",B269="40-2900-400",B269="40-2900-600",B269="40-2900-800",B269="50-2900-200",B269="60-2900-100",B269="60-2900-200",B269="60-2900-300",B269="60-2900-400",B269="60-2900-600",B269="60-2900-800",B269="90-2900-100",B269="90-2900-200",B269="90-2900-300",B269="90-2900-400",B269="90-2900-600",B269="90-2900-800",B269="10-3000-100",B269="10-3000-200",B269="10-3000-300",B269="10-3000-400",B269="10-3000-600",B269="10-3000-800",B269="20-3000-100",B269="20-3000-200",B269="20-3000-300",B269="20-3000-400",B269="20-3000-600",B269="20-3000-800",B269="40-3000-100",B269="40-3000-200",B269="40-3000-300",B269="40-3000-400",B269="40-3000-600",B269="40-3000-800",B269="50-3000-200"),E269,0)</f>
        <v>30</v>
      </c>
      <c r="G269" s="1947">
        <f t="shared" si="30"/>
        <v>0</v>
      </c>
    </row>
    <row r="270" spans="1:7" x14ac:dyDescent="0.25">
      <c r="A270" s="1953" t="s">
        <v>2375</v>
      </c>
      <c r="B270" s="1954" t="s">
        <v>2500</v>
      </c>
      <c r="C270" s="1953" t="s">
        <v>2477</v>
      </c>
      <c r="D270" s="1955">
        <v>10496</v>
      </c>
      <c r="E270" s="1945">
        <f t="shared" si="1"/>
        <v>10496</v>
      </c>
      <c r="F270" s="1946">
        <f t="shared" si="32"/>
        <v>10496</v>
      </c>
      <c r="G270" s="1947">
        <f t="shared" si="30"/>
        <v>0</v>
      </c>
    </row>
    <row r="271" spans="1:7" x14ac:dyDescent="0.25">
      <c r="A271" s="1953" t="s">
        <v>2478</v>
      </c>
      <c r="B271" s="1954" t="s">
        <v>2500</v>
      </c>
      <c r="C271" s="1953" t="s">
        <v>2477</v>
      </c>
      <c r="D271" s="1955">
        <v>32987</v>
      </c>
      <c r="E271" s="1945">
        <f t="shared" si="1"/>
        <v>25000</v>
      </c>
      <c r="F271" s="1946">
        <f t="shared" si="32"/>
        <v>25000</v>
      </c>
      <c r="G271" s="1947">
        <f t="shared" si="30"/>
        <v>7987</v>
      </c>
    </row>
    <row r="272" spans="1:7" x14ac:dyDescent="0.25">
      <c r="A272" s="1953" t="s">
        <v>2269</v>
      </c>
      <c r="B272" s="1954" t="s">
        <v>2508</v>
      </c>
      <c r="C272" s="1953" t="s">
        <v>2479</v>
      </c>
      <c r="D272" s="1955">
        <v>1928</v>
      </c>
      <c r="E272" s="1945">
        <f t="shared" si="1"/>
        <v>1928</v>
      </c>
      <c r="F272" s="1946">
        <f t="shared" si="32"/>
        <v>1928</v>
      </c>
      <c r="G272" s="1947">
        <f t="shared" si="30"/>
        <v>0</v>
      </c>
    </row>
    <row r="273" spans="1:7" x14ac:dyDescent="0.25">
      <c r="A273" s="1953" t="s">
        <v>2456</v>
      </c>
      <c r="B273" s="1954" t="s">
        <v>2493</v>
      </c>
      <c r="C273" s="1953" t="s">
        <v>2481</v>
      </c>
      <c r="D273" s="1955">
        <v>19661</v>
      </c>
      <c r="E273" s="1945">
        <f t="shared" si="1"/>
        <v>19661</v>
      </c>
      <c r="F273" s="1946">
        <f t="shared" si="32"/>
        <v>19661</v>
      </c>
      <c r="G273" s="1947">
        <f t="shared" si="30"/>
        <v>0</v>
      </c>
    </row>
    <row r="274" spans="1:7" ht="30" x14ac:dyDescent="0.25">
      <c r="A274" s="1953" t="s">
        <v>2474</v>
      </c>
      <c r="B274" s="1954" t="s">
        <v>1928</v>
      </c>
      <c r="C274" s="1953" t="s">
        <v>2482</v>
      </c>
      <c r="D274" s="1955">
        <v>34008</v>
      </c>
      <c r="E274" s="1945">
        <f t="shared" si="1"/>
        <v>25000</v>
      </c>
      <c r="F274" s="1946">
        <f t="shared" si="32"/>
        <v>25000</v>
      </c>
      <c r="G274" s="1947">
        <f t="shared" ref="G274:G289" si="33">IF(F274=0,0,D274-F274)</f>
        <v>9008</v>
      </c>
    </row>
    <row r="275" spans="1:7" x14ac:dyDescent="0.25">
      <c r="A275" s="1953" t="s">
        <v>2288</v>
      </c>
      <c r="B275" s="1954" t="s">
        <v>2493</v>
      </c>
      <c r="C275" s="1953" t="s">
        <v>2483</v>
      </c>
      <c r="D275" s="1956">
        <v>413</v>
      </c>
      <c r="E275" s="1945">
        <f t="shared" si="1"/>
        <v>413</v>
      </c>
      <c r="F275" s="1946">
        <f t="shared" si="32"/>
        <v>413</v>
      </c>
      <c r="G275" s="1947">
        <f t="shared" si="33"/>
        <v>0</v>
      </c>
    </row>
    <row r="276" spans="1:7" ht="30" x14ac:dyDescent="0.25">
      <c r="A276" s="1953" t="s">
        <v>2371</v>
      </c>
      <c r="B276" s="1954" t="s">
        <v>2511</v>
      </c>
      <c r="C276" s="1953" t="s">
        <v>2484</v>
      </c>
      <c r="D276" s="1955">
        <v>22605</v>
      </c>
      <c r="E276" s="1945">
        <f t="shared" si="1"/>
        <v>22605</v>
      </c>
      <c r="F276" s="1946">
        <f t="shared" si="32"/>
        <v>22605</v>
      </c>
      <c r="G276" s="1947">
        <f t="shared" si="33"/>
        <v>0</v>
      </c>
    </row>
    <row r="277" spans="1:7" ht="30" x14ac:dyDescent="0.25">
      <c r="A277" s="1953" t="s">
        <v>2461</v>
      </c>
      <c r="B277" s="1954" t="s">
        <v>2504</v>
      </c>
      <c r="C277" s="1953" t="s">
        <v>2484</v>
      </c>
      <c r="D277" s="1955">
        <v>16914</v>
      </c>
      <c r="E277" s="1945">
        <f t="shared" si="1"/>
        <v>16914</v>
      </c>
      <c r="F277" s="1946">
        <f t="shared" si="32"/>
        <v>16914</v>
      </c>
      <c r="G277" s="1947">
        <f t="shared" si="33"/>
        <v>0</v>
      </c>
    </row>
    <row r="278" spans="1:7" x14ac:dyDescent="0.25">
      <c r="A278" s="1953" t="s">
        <v>2386</v>
      </c>
      <c r="B278" s="1954" t="s">
        <v>2503</v>
      </c>
      <c r="C278" s="1953" t="s">
        <v>2485</v>
      </c>
      <c r="D278" s="1955">
        <v>21600</v>
      </c>
      <c r="E278" s="1945">
        <f t="shared" si="1"/>
        <v>21600</v>
      </c>
      <c r="F278" s="1946">
        <f t="shared" si="32"/>
        <v>21600</v>
      </c>
      <c r="G278" s="1947">
        <f t="shared" si="33"/>
        <v>0</v>
      </c>
    </row>
    <row r="279" spans="1:7" x14ac:dyDescent="0.25">
      <c r="A279" s="1953" t="s">
        <v>2332</v>
      </c>
      <c r="B279" s="1954" t="s">
        <v>2503</v>
      </c>
      <c r="C279" s="1953" t="s">
        <v>2486</v>
      </c>
      <c r="D279" s="1955">
        <v>17648</v>
      </c>
      <c r="E279" s="1945">
        <f t="shared" si="1"/>
        <v>17648</v>
      </c>
      <c r="F279" s="1946">
        <f t="shared" si="32"/>
        <v>17648</v>
      </c>
      <c r="G279" s="1947">
        <f t="shared" si="33"/>
        <v>0</v>
      </c>
    </row>
    <row r="280" spans="1:7" ht="30" x14ac:dyDescent="0.25">
      <c r="A280" s="1953" t="s">
        <v>2420</v>
      </c>
      <c r="B280" s="1954" t="s">
        <v>2504</v>
      </c>
      <c r="C280" s="1953" t="s">
        <v>2487</v>
      </c>
      <c r="D280" s="1955">
        <v>8173</v>
      </c>
      <c r="E280" s="1945">
        <f t="shared" si="1"/>
        <v>8173</v>
      </c>
      <c r="F280" s="1946">
        <f t="shared" si="32"/>
        <v>8173</v>
      </c>
      <c r="G280" s="1947">
        <f t="shared" si="33"/>
        <v>0</v>
      </c>
    </row>
    <row r="281" spans="1:7" x14ac:dyDescent="0.25">
      <c r="A281" s="1953" t="s">
        <v>2445</v>
      </c>
      <c r="B281" s="1954" t="s">
        <v>2503</v>
      </c>
      <c r="C281" s="1953" t="s">
        <v>2488</v>
      </c>
      <c r="D281" s="1955">
        <v>52700</v>
      </c>
      <c r="E281" s="1945">
        <f t="shared" si="1"/>
        <v>25000</v>
      </c>
      <c r="F281" s="1946">
        <f t="shared" si="32"/>
        <v>25000</v>
      </c>
      <c r="G281" s="1947">
        <f t="shared" si="33"/>
        <v>27700</v>
      </c>
    </row>
    <row r="282" spans="1:7" x14ac:dyDescent="0.25">
      <c r="A282" s="1953" t="s">
        <v>2342</v>
      </c>
      <c r="B282" s="1954" t="s">
        <v>2503</v>
      </c>
      <c r="C282" s="1953" t="s">
        <v>2488</v>
      </c>
      <c r="D282" s="1955">
        <v>1047</v>
      </c>
      <c r="E282" s="1945">
        <f t="shared" si="1"/>
        <v>1047</v>
      </c>
      <c r="F282" s="1946">
        <f t="shared" si="32"/>
        <v>1047</v>
      </c>
      <c r="G282" s="1947">
        <f t="shared" si="33"/>
        <v>0</v>
      </c>
    </row>
    <row r="283" spans="1:7" ht="30" x14ac:dyDescent="0.25">
      <c r="A283" s="1953" t="s">
        <v>2390</v>
      </c>
      <c r="B283" s="1954" t="s">
        <v>2504</v>
      </c>
      <c r="C283" s="1953" t="s">
        <v>2489</v>
      </c>
      <c r="D283" s="1956">
        <v>154</v>
      </c>
      <c r="E283" s="1945">
        <f t="shared" si="1"/>
        <v>154</v>
      </c>
      <c r="F283" s="1946">
        <f t="shared" si="32"/>
        <v>154</v>
      </c>
      <c r="G283" s="1947">
        <f t="shared" si="33"/>
        <v>0</v>
      </c>
    </row>
    <row r="284" spans="1:7" x14ac:dyDescent="0.25">
      <c r="A284" s="1953" t="s">
        <v>2490</v>
      </c>
      <c r="B284" s="1954" t="s">
        <v>2494</v>
      </c>
      <c r="C284" s="1953" t="s">
        <v>2101</v>
      </c>
      <c r="D284" s="1955">
        <v>1286</v>
      </c>
      <c r="E284" s="1945">
        <f t="shared" si="1"/>
        <v>1286</v>
      </c>
      <c r="F284" s="1946">
        <f t="shared" si="32"/>
        <v>1286</v>
      </c>
      <c r="G284" s="1947">
        <f t="shared" si="33"/>
        <v>0</v>
      </c>
    </row>
    <row r="285" spans="1:7" x14ac:dyDescent="0.25">
      <c r="A285" s="1953" t="s">
        <v>2480</v>
      </c>
      <c r="B285" s="1954" t="s">
        <v>2493</v>
      </c>
      <c r="C285" s="1953" t="s">
        <v>2101</v>
      </c>
      <c r="D285" s="1956">
        <v>525</v>
      </c>
      <c r="E285" s="1945">
        <f t="shared" si="1"/>
        <v>525</v>
      </c>
      <c r="F285" s="1946">
        <f t="shared" si="32"/>
        <v>525</v>
      </c>
      <c r="G285" s="1947">
        <f t="shared" si="33"/>
        <v>0</v>
      </c>
    </row>
    <row r="286" spans="1:7" x14ac:dyDescent="0.25">
      <c r="A286" s="1957" t="s">
        <v>2356</v>
      </c>
      <c r="B286" s="1958" t="s">
        <v>2493</v>
      </c>
      <c r="C286" s="1957" t="s">
        <v>2457</v>
      </c>
      <c r="D286" s="1959">
        <v>1056</v>
      </c>
      <c r="E286" s="1945">
        <f t="shared" si="1"/>
        <v>1056</v>
      </c>
      <c r="F286" s="1946">
        <f t="shared" si="32"/>
        <v>1056</v>
      </c>
      <c r="G286" s="1947">
        <f t="shared" si="33"/>
        <v>0</v>
      </c>
    </row>
    <row r="287" spans="1:7" x14ac:dyDescent="0.25">
      <c r="A287" s="1957" t="s">
        <v>2405</v>
      </c>
      <c r="B287" s="1958" t="s">
        <v>2499</v>
      </c>
      <c r="C287" s="1957" t="s">
        <v>2457</v>
      </c>
      <c r="D287" s="1959">
        <v>1320</v>
      </c>
      <c r="E287" s="1945">
        <f t="shared" si="1"/>
        <v>1320</v>
      </c>
      <c r="F287" s="1946">
        <f t="shared" si="32"/>
        <v>1320</v>
      </c>
      <c r="G287" s="1947">
        <f t="shared" si="33"/>
        <v>0</v>
      </c>
    </row>
    <row r="288" spans="1:7" x14ac:dyDescent="0.25">
      <c r="A288" s="1957" t="s">
        <v>2491</v>
      </c>
      <c r="B288" s="1958" t="s">
        <v>2526</v>
      </c>
      <c r="C288" s="1957" t="s">
        <v>2457</v>
      </c>
      <c r="D288" s="1959">
        <v>5700</v>
      </c>
      <c r="E288" s="1945">
        <f t="shared" si="1"/>
        <v>5700</v>
      </c>
      <c r="F288" s="1946">
        <f t="shared" si="32"/>
        <v>5700</v>
      </c>
      <c r="G288" s="1947">
        <f t="shared" si="33"/>
        <v>0</v>
      </c>
    </row>
    <row r="289" spans="1:7" x14ac:dyDescent="0.25">
      <c r="A289" s="1957" t="s">
        <v>2492</v>
      </c>
      <c r="B289" s="1958" t="s">
        <v>2527</v>
      </c>
      <c r="C289" s="1957" t="s">
        <v>2457</v>
      </c>
      <c r="D289" s="1959">
        <v>1436</v>
      </c>
      <c r="E289" s="1945">
        <f t="shared" si="1"/>
        <v>1436</v>
      </c>
      <c r="F289" s="1946">
        <f t="shared" si="32"/>
        <v>1436</v>
      </c>
      <c r="G289" s="1947">
        <f t="shared" si="33"/>
        <v>0</v>
      </c>
    </row>
    <row r="290" spans="1:7" x14ac:dyDescent="0.25">
      <c r="A290" s="1960" t="s">
        <v>158</v>
      </c>
      <c r="B290" s="1961"/>
      <c r="C290" s="1962"/>
      <c r="D290" s="1946">
        <f>SUM(D17:D289)</f>
        <v>20510209</v>
      </c>
      <c r="E290" s="1945">
        <f>IF(D290&lt;=25000,D290,IF(D290&gt;25000,25000,0))</f>
        <v>25000</v>
      </c>
      <c r="F290" s="1946">
        <f>SUM(F17:F289)</f>
        <v>3273026</v>
      </c>
      <c r="G290" s="1947">
        <f>SUM(G17:G289)</f>
        <v>15319305</v>
      </c>
    </row>
  </sheetData>
  <sheetProtection selectLockedCells="1"/>
  <mergeCells count="6">
    <mergeCell ref="A13:G13"/>
    <mergeCell ref="A4:G5"/>
    <mergeCell ref="A11:G11"/>
    <mergeCell ref="A7:G7"/>
    <mergeCell ref="A8:G8"/>
    <mergeCell ref="A9:G9"/>
  </mergeCells>
  <pageMargins left="0.2" right="0.2" top="0.5" bottom="0.25" header="0.3" footer="0.3"/>
  <pageSetup scale="75" firstPageNumber="30" fitToHeight="0" orientation="landscape" r:id="rId1"/>
  <ignoredErrors>
    <ignoredError sqref="E290" formula="1"/>
    <ignoredError sqref="D290"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I47" sqref="I4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6" t="s">
        <v>1777</v>
      </c>
      <c r="B5" s="2307"/>
      <c r="C5" s="2307"/>
      <c r="D5" s="2307"/>
      <c r="E5" s="2307"/>
      <c r="F5" s="2307"/>
      <c r="G5" s="2308"/>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11" t="s">
        <v>1941</v>
      </c>
      <c r="B11" s="2312"/>
      <c r="C11" s="2312"/>
      <c r="D11" s="2313"/>
      <c r="E11" s="978">
        <v>1129431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8" t="s">
        <v>552</v>
      </c>
      <c r="E17" s="1659"/>
      <c r="F17" s="1658" t="s">
        <v>452</v>
      </c>
      <c r="G17" s="1660"/>
      <c r="H17" s="162"/>
      <c r="I17" s="162"/>
    </row>
    <row r="18" spans="1:9" s="259" customFormat="1" ht="11.25" x14ac:dyDescent="0.2">
      <c r="A18" s="989"/>
      <c r="C18" s="990" t="s">
        <v>453</v>
      </c>
      <c r="D18" s="1661" t="s">
        <v>454</v>
      </c>
      <c r="E18" s="1661" t="s">
        <v>55</v>
      </c>
      <c r="F18" s="1661" t="s">
        <v>454</v>
      </c>
      <c r="G18" s="1661" t="s">
        <v>55</v>
      </c>
      <c r="H18" s="178"/>
      <c r="I18" s="178"/>
    </row>
    <row r="19" spans="1:9" s="669" customFormat="1" ht="12" customHeight="1" x14ac:dyDescent="0.2">
      <c r="A19" s="991" t="s">
        <v>475</v>
      </c>
      <c r="B19" s="992"/>
      <c r="C19" s="993" t="s">
        <v>590</v>
      </c>
      <c r="D19" s="1802"/>
      <c r="E19" s="1803">
        <f>'Expenditures 15-22'!K33-SUM('Expenditures 15-22'!G33,'Expenditures 15-22'!I33)+'Expenditures 15-22'!D229</f>
        <v>107284270</v>
      </c>
      <c r="F19" s="1802"/>
      <c r="G19" s="1804">
        <f>'Expenditures 15-22'!K33-SUM('Expenditures 15-22'!G33,'Expenditures 15-22'!I33)+'Expenditures 15-22'!D229</f>
        <v>107284270</v>
      </c>
      <c r="H19" s="988"/>
      <c r="I19" s="162"/>
    </row>
    <row r="20" spans="1:9" s="669" customFormat="1" ht="12" customHeight="1" x14ac:dyDescent="0.2">
      <c r="A20" s="991" t="s">
        <v>56</v>
      </c>
      <c r="B20" s="992"/>
      <c r="C20" s="994"/>
      <c r="D20" s="1805"/>
      <c r="E20" s="1805"/>
      <c r="F20" s="1805"/>
      <c r="G20" s="1806"/>
      <c r="H20" s="988"/>
      <c r="I20" s="162"/>
    </row>
    <row r="21" spans="1:9" s="669" customFormat="1" ht="12" customHeight="1" x14ac:dyDescent="0.2">
      <c r="A21" s="995" t="s">
        <v>420</v>
      </c>
      <c r="B21" s="996"/>
      <c r="C21" s="994">
        <v>2100</v>
      </c>
      <c r="D21" s="1805"/>
      <c r="E21" s="1807">
        <f>'Expenditures 15-22'!K42-SUM('Expenditures 15-22'!G42,'Expenditures 15-22'!I42)+'Expenditures 15-22'!K120-SUM('Expenditures 15-22'!G120,'Expenditures 15-22'!I120)+'Expenditures 15-22'!K180-SUM('Expenditures 15-22'!G180,'Expenditures 15-22'!I180)+'Expenditures 15-22'!D238</f>
        <v>18960858</v>
      </c>
      <c r="F21" s="1805"/>
      <c r="G21" s="1808">
        <f>'Expenditures 15-22'!K42-SUM('Expenditures 15-22'!G42,'Expenditures 15-22'!I42)+'Expenditures 15-22'!K120-SUM('Expenditures 15-22'!G120,'Expenditures 15-22'!I120)+'Expenditures 15-22'!K180-SUM('Expenditures 15-22'!G180,'Expenditures 15-22'!I180)+'Expenditures 15-22'!D238</f>
        <v>18960858</v>
      </c>
      <c r="H21" s="988"/>
      <c r="I21" s="162"/>
    </row>
    <row r="22" spans="1:9" s="669" customFormat="1" ht="12" customHeight="1" x14ac:dyDescent="0.2">
      <c r="A22" s="995" t="s">
        <v>584</v>
      </c>
      <c r="B22" s="996"/>
      <c r="C22" s="994">
        <v>2200</v>
      </c>
      <c r="D22" s="1805"/>
      <c r="E22" s="1807">
        <f>'Expenditures 15-22'!K47-SUM('Expenditures 15-22'!G47,'Expenditures 15-22'!I47)+'Expenditures 15-22'!D243</f>
        <v>10582477</v>
      </c>
      <c r="F22" s="1805"/>
      <c r="G22" s="1808">
        <f>'Expenditures 15-22'!K47-SUM('Expenditures 15-22'!G47,'Expenditures 15-22'!I47)+'Expenditures 15-22'!D243</f>
        <v>10582477</v>
      </c>
      <c r="H22" s="988"/>
      <c r="I22" s="162"/>
    </row>
    <row r="23" spans="1:9" s="669" customFormat="1" ht="12" customHeight="1" x14ac:dyDescent="0.2">
      <c r="A23" s="995" t="s">
        <v>585</v>
      </c>
      <c r="B23" s="996"/>
      <c r="C23" s="994">
        <v>2300</v>
      </c>
      <c r="D23" s="1805"/>
      <c r="E23" s="1807">
        <f>'Expenditures 15-22'!K53-SUM('Expenditures 15-22'!G53,'Expenditures 15-22'!I53)+'Expenditures 15-22'!D257+'Expenditures 15-22'!K330-SUM('Expenditures 15-22'!G330,'Expenditures 15-22'!I330)</f>
        <v>4171298</v>
      </c>
      <c r="F23" s="1805"/>
      <c r="G23" s="1807">
        <f>'Expenditures 15-22'!K53-SUM('Expenditures 15-22'!G53,'Expenditures 15-22'!I53)+'Expenditures 15-22'!D257+'Expenditures 15-22'!K330-SUM('Expenditures 15-22'!G330,'Expenditures 15-22'!I330)</f>
        <v>4171298</v>
      </c>
      <c r="H23" s="988"/>
      <c r="I23" s="162"/>
    </row>
    <row r="24" spans="1:9" s="669" customFormat="1" ht="12" customHeight="1" x14ac:dyDescent="0.2">
      <c r="A24" s="995" t="s">
        <v>586</v>
      </c>
      <c r="B24" s="996"/>
      <c r="C24" s="994">
        <v>2400</v>
      </c>
      <c r="D24" s="1805"/>
      <c r="E24" s="1807">
        <f>'Expenditures 15-22'!K57-SUM('Expenditures 15-22'!G57,'Expenditures 15-22'!I57)+'Expenditures 15-22'!D261</f>
        <v>7135485</v>
      </c>
      <c r="F24" s="1805"/>
      <c r="G24" s="1808">
        <f>'Expenditures 15-22'!K57-SUM('Expenditures 15-22'!G57,'Expenditures 15-22'!I57)+'Expenditures 15-22'!D261</f>
        <v>7135485</v>
      </c>
      <c r="H24" s="988"/>
      <c r="I24" s="162"/>
    </row>
    <row r="25" spans="1:9" s="669" customFormat="1" ht="12" customHeight="1" x14ac:dyDescent="0.2">
      <c r="A25" s="991" t="s">
        <v>587</v>
      </c>
      <c r="B25" s="997"/>
      <c r="C25" s="994"/>
      <c r="D25" s="1805"/>
      <c r="E25" s="1807"/>
      <c r="F25" s="1805"/>
      <c r="G25" s="1808"/>
      <c r="H25" s="988"/>
      <c r="I25" s="162"/>
    </row>
    <row r="26" spans="1:9" s="669" customFormat="1" ht="12" customHeight="1" x14ac:dyDescent="0.2">
      <c r="A26" s="995" t="s">
        <v>535</v>
      </c>
      <c r="B26" s="998"/>
      <c r="C26" s="994">
        <v>2510</v>
      </c>
      <c r="D26" s="1807">
        <f>'Expenditures 15-22'!K59-SUM('Expenditures 15-22'!G59,'Expenditures 15-22'!I59)+'Expenditures 15-22'!D263-E7</f>
        <v>388588</v>
      </c>
      <c r="E26" s="1807">
        <f>'Expenditures 15-22'!K122-SUM('Expenditures 15-22'!G122,'Expenditures 15-22'!I122)+E7</f>
        <v>0</v>
      </c>
      <c r="F26" s="1807">
        <f>'Expenditures 15-22'!K59-SUM('Expenditures 15-22'!G59,'Expenditures 15-22'!I59)+'Expenditures 15-22'!D263-E7</f>
        <v>388588</v>
      </c>
      <c r="G26" s="1808">
        <f>'Expenditures 15-22'!K122-SUM('Expenditures 15-22'!G122,'Expenditures 15-22'!I122)+E7</f>
        <v>0</v>
      </c>
      <c r="H26" s="988"/>
      <c r="I26" s="162"/>
    </row>
    <row r="27" spans="1:9" s="669" customFormat="1" ht="12" customHeight="1" x14ac:dyDescent="0.2">
      <c r="A27" s="995" t="s">
        <v>482</v>
      </c>
      <c r="B27" s="998"/>
      <c r="C27" s="994">
        <v>2520</v>
      </c>
      <c r="D27" s="1807">
        <f>'Expenditures 15-22'!K60-SUM('Expenditures 15-22'!G60,'Expenditures 15-22'!I60)+'Expenditures 15-22'!D264-E8</f>
        <v>1714066</v>
      </c>
      <c r="E27" s="1807">
        <f>E8</f>
        <v>0</v>
      </c>
      <c r="F27" s="1807">
        <f>'Expenditures 15-22'!K60-SUM('Expenditures 15-22'!G60,'Expenditures 15-22'!I60)+'Expenditures 15-22'!D264-E8</f>
        <v>1714066</v>
      </c>
      <c r="G27" s="1808">
        <f>E8</f>
        <v>0</v>
      </c>
      <c r="H27" s="988"/>
      <c r="I27" s="162"/>
    </row>
    <row r="28" spans="1:9" s="669" customFormat="1" ht="12" customHeight="1" x14ac:dyDescent="0.2">
      <c r="A28" s="995" t="s">
        <v>536</v>
      </c>
      <c r="B28" s="998"/>
      <c r="C28" s="994">
        <v>2540</v>
      </c>
      <c r="D28" s="1809"/>
      <c r="E28" s="1807">
        <f>'Expenditures 15-22'!K61-SUM('Expenditures 15-22'!G61,'Expenditures 15-22'!I61)+'Expenditures 15-22'!K124-SUM('Expenditures 15-22'!G124,'Expenditures 15-22'!I124)+'Expenditures 15-22'!D266</f>
        <v>15018776</v>
      </c>
      <c r="F28" s="1809">
        <f>'Expenditures 15-22'!K61-SUM('Expenditures 15-22'!G61,'Expenditures 15-22'!I61)+'Expenditures 15-22'!K124-SUM('Expenditures 15-22'!G124,'Expenditures 15-22'!I124)+'Expenditures 15-22'!D266-E9</f>
        <v>15018776</v>
      </c>
      <c r="G28" s="1808">
        <f>E9</f>
        <v>0</v>
      </c>
      <c r="H28" s="988"/>
      <c r="I28" s="162"/>
    </row>
    <row r="29" spans="1:9" ht="12" customHeight="1" x14ac:dyDescent="0.2">
      <c r="A29" s="995" t="s">
        <v>537</v>
      </c>
      <c r="B29" s="998"/>
      <c r="C29" s="994">
        <v>2550</v>
      </c>
      <c r="D29" s="1805"/>
      <c r="E29" s="1807">
        <f>'Expenditures 15-22'!K62-SUM('Expenditures 15-22'!G62,'Expenditures 15-22'!I62)+'Expenditures 15-22'!K125-SUM('Expenditures 15-22'!G125,'Expenditures 15-22'!I125)+'Expenditures 15-22'!K182-SUM('Expenditures 15-22'!G182,'Expenditures 15-22'!I182)+'Expenditures 15-22'!D267</f>
        <v>11060920</v>
      </c>
      <c r="F29" s="1805"/>
      <c r="G29" s="1808">
        <f>'Expenditures 15-22'!K62-SUM('Expenditures 15-22'!G62,'Expenditures 15-22'!I62)+'Expenditures 15-22'!K125-SUM('Expenditures 15-22'!G125,'Expenditures 15-22'!I125)+'Expenditures 15-22'!K182-SUM('Expenditures 15-22'!G182,'Expenditures 15-22'!I182)+'Expenditures 15-22'!D267</f>
        <v>11060920</v>
      </c>
      <c r="H29" s="986"/>
    </row>
    <row r="30" spans="1:9" ht="12" customHeight="1" x14ac:dyDescent="0.2">
      <c r="A30" s="995" t="s">
        <v>102</v>
      </c>
      <c r="B30" s="998"/>
      <c r="C30" s="994">
        <v>2560</v>
      </c>
      <c r="D30" s="1805"/>
      <c r="E30" s="1807">
        <f>'Expenditures 15-22'!K63-SUM('Expenditures 15-22'!G63,'Expenditures 15-22'!I63)+'Expenditures 15-22'!D268-E10</f>
        <v>6810880</v>
      </c>
      <c r="F30" s="1805"/>
      <c r="G30" s="1807">
        <f>'Expenditures 15-22'!K63-SUM('Expenditures 15-22'!G63,'Expenditures 15-22'!I63)+'Expenditures 15-22'!D268-E10</f>
        <v>6810880</v>
      </c>
    </row>
    <row r="31" spans="1:9" ht="12" customHeight="1" x14ac:dyDescent="0.2">
      <c r="A31" s="995" t="s">
        <v>103</v>
      </c>
      <c r="B31" s="998"/>
      <c r="C31" s="994">
        <v>2570</v>
      </c>
      <c r="D31" s="1807">
        <f>'Expenditures 15-22'!K64-SUM('Expenditures 15-22'!G64,'Expenditures 15-22'!I64)+'Expenditures 15-22'!D269-E12</f>
        <v>638039</v>
      </c>
      <c r="E31" s="1807">
        <f>E12</f>
        <v>0</v>
      </c>
      <c r="F31" s="1807">
        <f>'Expenditures 15-22'!K64-SUM('Expenditures 15-22'!G64,'Expenditures 15-22'!I64)+'Expenditures 15-22'!D269-E12</f>
        <v>638039</v>
      </c>
      <c r="G31" s="1807">
        <f>E12</f>
        <v>0</v>
      </c>
    </row>
    <row r="32" spans="1:9" ht="12" customHeight="1" x14ac:dyDescent="0.2">
      <c r="A32" s="991" t="s">
        <v>538</v>
      </c>
      <c r="B32" s="997"/>
      <c r="C32" s="994"/>
      <c r="D32" s="1805"/>
      <c r="E32" s="1805"/>
      <c r="F32" s="1805"/>
      <c r="G32" s="1805"/>
    </row>
    <row r="33" spans="1:7" ht="12" customHeight="1" x14ac:dyDescent="0.2">
      <c r="A33" s="995" t="s">
        <v>539</v>
      </c>
      <c r="B33" s="998"/>
      <c r="C33" s="994">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995" t="s">
        <v>540</v>
      </c>
      <c r="B34" s="998"/>
      <c r="C34" s="994">
        <v>2620</v>
      </c>
      <c r="D34" s="1805"/>
      <c r="E34" s="1807">
        <f>'Expenditures 15-22'!K68-SUM('Expenditures 15-22'!G68,'Expenditures 15-22'!I68)+'Expenditures 15-22'!D273</f>
        <v>2574</v>
      </c>
      <c r="F34" s="1805"/>
      <c r="G34" s="1807">
        <f>'Expenditures 15-22'!K68-SUM('Expenditures 15-22'!G68,'Expenditures 15-22'!I68)+'Expenditures 15-22'!D273</f>
        <v>2574</v>
      </c>
    </row>
    <row r="35" spans="1:7" ht="12" customHeight="1" x14ac:dyDescent="0.2">
      <c r="A35" s="995" t="s">
        <v>1120</v>
      </c>
      <c r="B35" s="998"/>
      <c r="C35" s="994">
        <v>2630</v>
      </c>
      <c r="D35" s="1805"/>
      <c r="E35" s="1807">
        <f>'Expenditures 15-22'!K69-SUM('Expenditures 15-22'!G69,'Expenditures 15-22'!I69)+'Expenditures 15-22'!D274</f>
        <v>243986</v>
      </c>
      <c r="F35" s="1805"/>
      <c r="G35" s="1807">
        <f>'Expenditures 15-22'!K69-SUM('Expenditures 15-22'!G69,'Expenditures 15-22'!I69)+'Expenditures 15-22'!D274</f>
        <v>243986</v>
      </c>
    </row>
    <row r="36" spans="1:7" ht="12" customHeight="1" x14ac:dyDescent="0.2">
      <c r="A36" s="995" t="s">
        <v>422</v>
      </c>
      <c r="B36" s="998"/>
      <c r="C36" s="994">
        <v>2640</v>
      </c>
      <c r="D36" s="1807">
        <f>'Expenditures 15-22'!K70-SUM('Expenditures 15-22'!G70,'Expenditures 15-22'!I70)+'Expenditures 15-22'!D275-E13</f>
        <v>950156</v>
      </c>
      <c r="E36" s="1807">
        <f>E13</f>
        <v>0</v>
      </c>
      <c r="F36" s="1807">
        <f>'Expenditures 15-22'!K70-SUM('Expenditures 15-22'!G70,'Expenditures 15-22'!I70)+'Expenditures 15-22'!D275-E13</f>
        <v>950156</v>
      </c>
      <c r="G36" s="1807">
        <f>E13</f>
        <v>0</v>
      </c>
    </row>
    <row r="37" spans="1:7" ht="12" customHeight="1" x14ac:dyDescent="0.2">
      <c r="A37" s="995" t="s">
        <v>423</v>
      </c>
      <c r="B37" s="998"/>
      <c r="C37" s="994">
        <v>2660</v>
      </c>
      <c r="D37" s="1807">
        <f>'Expenditures 15-22'!K71-SUM('Expenditures 15-22'!G71,'Expenditures 15-22'!I71)+'Expenditures 15-22'!D276-E14</f>
        <v>5412708</v>
      </c>
      <c r="E37" s="1807">
        <f>E14</f>
        <v>0</v>
      </c>
      <c r="F37" s="1807">
        <f>'Expenditures 15-22'!K71-SUM('Expenditures 15-22'!G71,'Expenditures 15-22'!I71)+'Expenditures 15-22'!D276-E14</f>
        <v>5412708</v>
      </c>
      <c r="G37" s="1807">
        <f>E14</f>
        <v>0</v>
      </c>
    </row>
    <row r="38" spans="1:7" ht="12" customHeight="1" x14ac:dyDescent="0.2">
      <c r="A38" s="991" t="s">
        <v>541</v>
      </c>
      <c r="B38" s="992"/>
      <c r="C38" s="994">
        <v>2900</v>
      </c>
      <c r="D38" s="1805"/>
      <c r="E38" s="1807">
        <f>'Expenditures 15-22'!K73-SUM('Expenditures 15-22'!G73,'Expenditures 15-22'!I73)+'Expenditures 15-22'!K128-SUM('Expenditures 15-22'!G128,'Expenditures 15-22'!I128)+'Expenditures 15-22'!K183-SUM('Expenditures 15-22'!G183,'Expenditures 15-22'!I183)+'Expenditures 15-22'!D278</f>
        <v>896385</v>
      </c>
      <c r="F38" s="1805"/>
      <c r="G38" s="1807">
        <f>'Expenditures 15-22'!K73-SUM('Expenditures 15-22'!G73,'Expenditures 15-22'!I73)+'Expenditures 15-22'!K128-SUM('Expenditures 15-22'!G128,'Expenditures 15-22'!I128)+'Expenditures 15-22'!K183-SUM('Expenditures 15-22'!G183,'Expenditures 15-22'!I183)+'Expenditures 15-22'!D278</f>
        <v>896385</v>
      </c>
    </row>
    <row r="39" spans="1:7" ht="12" customHeight="1" x14ac:dyDescent="0.2">
      <c r="A39" s="991" t="s">
        <v>468</v>
      </c>
      <c r="B39" s="992"/>
      <c r="C39" s="994">
        <v>3000</v>
      </c>
      <c r="D39" s="1805"/>
      <c r="E39" s="1807">
        <f>'Expenditures 15-22'!K75-SUM('Expenditures 15-22'!G75,'Expenditures 15-22'!I75)+'Expenditures 15-22'!K130-SUM('Expenditures 15-22'!G130,'Expenditures 15-22'!I130)+'Expenditures 15-22'!K185-SUM('Expenditures 15-22'!G185,'Expenditures 15-22'!I185)+'Expenditures 15-22'!D280</f>
        <v>1056829</v>
      </c>
      <c r="F39" s="1805"/>
      <c r="G39" s="1807">
        <f>'Expenditures 15-22'!K75-SUM('Expenditures 15-22'!G75,'Expenditures 15-22'!I75)+'Expenditures 15-22'!K130-SUM('Expenditures 15-22'!G130,'Expenditures 15-22'!I130)+'Expenditures 15-22'!K185-SUM('Expenditures 15-22'!G185,'Expenditures 15-22'!I185)+'Expenditures 15-22'!D280</f>
        <v>1056829</v>
      </c>
    </row>
    <row r="40" spans="1:7" ht="12" customHeight="1" x14ac:dyDescent="0.2">
      <c r="A40" s="991" t="s">
        <v>1927</v>
      </c>
      <c r="B40" s="992"/>
      <c r="C40" s="994"/>
      <c r="D40" s="1805"/>
      <c r="E40" s="1809">
        <f>-'Contracts Paid in CY 29'!G290</f>
        <v>-15319305</v>
      </c>
      <c r="F40" s="1805"/>
      <c r="G40" s="1809">
        <f>-'Contracts Paid in CY 29'!G290</f>
        <v>-15319305</v>
      </c>
    </row>
    <row r="41" spans="1:7" ht="12" customHeight="1" x14ac:dyDescent="0.2">
      <c r="A41" s="999" t="s">
        <v>158</v>
      </c>
      <c r="B41" s="1000"/>
      <c r="C41" s="1001"/>
      <c r="D41" s="1809">
        <f>SUM(D19:D39)</f>
        <v>9103557</v>
      </c>
      <c r="E41" s="1809">
        <f>SUM(E19:E40)</f>
        <v>167905433</v>
      </c>
      <c r="F41" s="1809">
        <f>SUM(F19:F39)</f>
        <v>24122333</v>
      </c>
      <c r="G41" s="1809">
        <f>SUM(G19:G40)</f>
        <v>152886657</v>
      </c>
    </row>
    <row r="42" spans="1:7" x14ac:dyDescent="0.2">
      <c r="A42" s="988"/>
      <c r="B42" s="162"/>
      <c r="C42" s="1002"/>
      <c r="D42" s="2309" t="s">
        <v>542</v>
      </c>
      <c r="E42" s="2310"/>
      <c r="F42" s="1003" t="s">
        <v>543</v>
      </c>
      <c r="G42" s="1004"/>
    </row>
    <row r="43" spans="1:7" ht="12" customHeight="1" x14ac:dyDescent="0.2">
      <c r="A43" s="988"/>
      <c r="B43" s="162"/>
      <c r="C43" s="1002"/>
      <c r="D43" s="1810" t="s">
        <v>492</v>
      </c>
      <c r="E43" s="1811">
        <f>D41</f>
        <v>9103557</v>
      </c>
      <c r="F43" s="1810" t="s">
        <v>494</v>
      </c>
      <c r="G43" s="1811">
        <f>F41</f>
        <v>24122333</v>
      </c>
    </row>
    <row r="44" spans="1:7" ht="12" customHeight="1" x14ac:dyDescent="0.2">
      <c r="A44" s="988"/>
      <c r="B44" s="162"/>
      <c r="C44" s="1002"/>
      <c r="D44" s="1810" t="s">
        <v>493</v>
      </c>
      <c r="E44" s="1811">
        <f>E41</f>
        <v>167905433</v>
      </c>
      <c r="F44" s="1810" t="s">
        <v>493</v>
      </c>
      <c r="G44" s="1811">
        <f>G41</f>
        <v>152886657</v>
      </c>
    </row>
    <row r="45" spans="1:7" ht="12" customHeight="1" x14ac:dyDescent="0.2">
      <c r="A45" s="988"/>
      <c r="B45" s="162"/>
      <c r="C45" s="162"/>
      <c r="D45" s="1812" t="s">
        <v>1062</v>
      </c>
      <c r="E45" s="1813">
        <f>(E43/E44)</f>
        <v>5.4218358735300724E-2</v>
      </c>
      <c r="F45" s="1812" t="s">
        <v>1062</v>
      </c>
      <c r="G45" s="1813">
        <f>(G43/G44)</f>
        <v>0.15777919063270512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1" activePane="bottomLeft" state="frozen"/>
      <selection activeCell="I47" sqref="I47"/>
      <selection pane="bottomLeft" activeCell="I47" sqref="I47"/>
    </sheetView>
  </sheetViews>
  <sheetFormatPr defaultColWidth="9.140625" defaultRowHeight="12.75" x14ac:dyDescent="0.2"/>
  <cols>
    <col min="1" max="1" width="54.5703125" style="1877" customWidth="1"/>
    <col min="2" max="2" width="4.140625" style="1877" customWidth="1"/>
    <col min="3" max="4" width="9.85546875" style="1848" customWidth="1"/>
    <col min="5" max="5" width="12.5703125" style="1878" customWidth="1"/>
    <col min="6" max="6" width="67.5703125" style="1848" customWidth="1"/>
    <col min="7" max="7" width="9.140625" style="1848" customWidth="1"/>
    <col min="8" max="8" width="5.5703125" style="1879" bestFit="1" customWidth="1"/>
    <col min="9" max="10" width="2" style="1879" bestFit="1" customWidth="1"/>
    <col min="11" max="11" width="9" style="1879" customWidth="1"/>
    <col min="12" max="16384" width="9.140625" style="1848"/>
  </cols>
  <sheetData>
    <row r="1" spans="1:10" x14ac:dyDescent="0.2">
      <c r="A1" s="2317" t="s">
        <v>1445</v>
      </c>
      <c r="B1" s="2317"/>
      <c r="C1" s="2317"/>
      <c r="D1" s="2317"/>
      <c r="E1" s="2317"/>
      <c r="F1" s="2317"/>
    </row>
    <row r="2" spans="1:10" x14ac:dyDescent="0.2">
      <c r="A2" s="1888" t="s">
        <v>2043</v>
      </c>
      <c r="B2" s="1849"/>
      <c r="C2" s="1888"/>
      <c r="D2" s="1849"/>
      <c r="E2" s="1849"/>
      <c r="F2" s="1850"/>
    </row>
    <row r="3" spans="1:10" x14ac:dyDescent="0.2">
      <c r="A3" s="1888" t="s">
        <v>1699</v>
      </c>
      <c r="B3" s="1849"/>
      <c r="C3" s="1888"/>
      <c r="D3" s="1849"/>
      <c r="E3" s="1849"/>
      <c r="F3" s="1850"/>
    </row>
    <row r="4" spans="1:10" ht="3.75" customHeight="1" x14ac:dyDescent="0.2">
      <c r="A4" s="1849"/>
      <c r="B4" s="1849"/>
      <c r="C4" s="1849"/>
      <c r="D4" s="1849"/>
      <c r="E4" s="1849"/>
      <c r="F4" s="1850"/>
    </row>
    <row r="5" spans="1:10" ht="15" x14ac:dyDescent="0.25">
      <c r="A5" s="2318" t="s">
        <v>1626</v>
      </c>
      <c r="B5" s="2319"/>
      <c r="C5" s="2320"/>
      <c r="D5" s="2320"/>
      <c r="E5" s="2320"/>
      <c r="F5" s="2320"/>
    </row>
    <row r="6" spans="1:10" ht="12" customHeight="1" x14ac:dyDescent="0.25">
      <c r="A6" s="1851"/>
      <c r="B6" s="1852"/>
      <c r="C6" s="2321" t="str">
        <f>COVER!A17</f>
        <v>Waukegan CUSD 60</v>
      </c>
      <c r="D6" s="2321"/>
      <c r="E6" s="2321"/>
      <c r="F6" s="1853"/>
    </row>
    <row r="7" spans="1:10" ht="11.25" customHeight="1" thickBot="1" x14ac:dyDescent="0.3">
      <c r="A7" s="1851"/>
      <c r="B7" s="1852"/>
      <c r="C7" s="2322">
        <f>COVER!A13</f>
        <v>34049060026</v>
      </c>
      <c r="D7" s="2322"/>
      <c r="E7" s="2322"/>
      <c r="F7" s="1853"/>
    </row>
    <row r="8" spans="1:10" ht="25.5" customHeight="1" thickBot="1" x14ac:dyDescent="0.25">
      <c r="A8" s="1894" t="s">
        <v>2020</v>
      </c>
      <c r="B8" s="1854"/>
      <c r="C8" s="1890" t="s">
        <v>1779</v>
      </c>
      <c r="D8" s="1889" t="s">
        <v>1780</v>
      </c>
      <c r="E8" s="1891" t="s">
        <v>1446</v>
      </c>
      <c r="F8" s="1889" t="s">
        <v>1781</v>
      </c>
      <c r="H8" s="1855" t="b">
        <v>0</v>
      </c>
    </row>
    <row r="9" spans="1:10" ht="15.75" customHeight="1" x14ac:dyDescent="0.2">
      <c r="A9" s="1856" t="s">
        <v>1622</v>
      </c>
      <c r="B9" s="1857"/>
      <c r="C9" s="1858"/>
      <c r="D9" s="1858"/>
      <c r="E9" s="1859"/>
      <c r="F9" s="1860"/>
    </row>
    <row r="10" spans="1:10" ht="27.75" customHeight="1" x14ac:dyDescent="0.2">
      <c r="A10" s="1861" t="s">
        <v>1778</v>
      </c>
      <c r="B10" s="1862"/>
      <c r="C10" s="1863"/>
      <c r="D10" s="1863"/>
      <c r="E10" s="1892" t="s">
        <v>1447</v>
      </c>
      <c r="F10" s="1893" t="s">
        <v>1448</v>
      </c>
    </row>
    <row r="11" spans="1:10" ht="12" customHeight="1" x14ac:dyDescent="0.2">
      <c r="A11" s="1864" t="s">
        <v>1449</v>
      </c>
      <c r="B11" s="1865"/>
      <c r="C11" s="1866"/>
      <c r="D11" s="1866"/>
      <c r="E11" s="1867"/>
      <c r="F11" s="1868"/>
      <c r="H11" s="1879">
        <f>IF(C11="X",5,0)</f>
        <v>0</v>
      </c>
      <c r="I11" s="1879">
        <f>IF(D11="X",5,0)</f>
        <v>0</v>
      </c>
      <c r="J11" s="1879">
        <f>IF(E11="X",5,0)</f>
        <v>0</v>
      </c>
    </row>
    <row r="12" spans="1:10" ht="12" customHeight="1" x14ac:dyDescent="0.2">
      <c r="A12" s="1864" t="s">
        <v>1450</v>
      </c>
      <c r="B12" s="1865"/>
      <c r="C12" s="1866"/>
      <c r="D12" s="1866"/>
      <c r="E12" s="1869"/>
      <c r="F12" s="1868"/>
      <c r="H12" s="1879">
        <f t="shared" ref="H12:H33" si="0">IF(C12="X",5,0)</f>
        <v>0</v>
      </c>
      <c r="I12" s="1879">
        <f t="shared" ref="I12:I33" si="1">IF(D12="X",5,0)</f>
        <v>0</v>
      </c>
      <c r="J12" s="1879">
        <f t="shared" ref="J12:J33" si="2">IF(E12="X",5,0)</f>
        <v>0</v>
      </c>
    </row>
    <row r="13" spans="1:10" ht="12" customHeight="1" x14ac:dyDescent="0.2">
      <c r="A13" s="1864" t="s">
        <v>1451</v>
      </c>
      <c r="B13" s="1865"/>
      <c r="C13" s="1866" t="s">
        <v>2074</v>
      </c>
      <c r="D13" s="1866" t="s">
        <v>2074</v>
      </c>
      <c r="E13" s="1869" t="s">
        <v>2074</v>
      </c>
      <c r="F13" s="1868" t="s">
        <v>2529</v>
      </c>
      <c r="H13" s="1879">
        <f t="shared" si="0"/>
        <v>5</v>
      </c>
      <c r="I13" s="1879">
        <f t="shared" si="1"/>
        <v>5</v>
      </c>
      <c r="J13" s="1879">
        <f t="shared" si="2"/>
        <v>5</v>
      </c>
    </row>
    <row r="14" spans="1:10" ht="12" customHeight="1" x14ac:dyDescent="0.2">
      <c r="A14" s="1864" t="s">
        <v>1452</v>
      </c>
      <c r="B14" s="1865"/>
      <c r="C14" s="1866" t="s">
        <v>2074</v>
      </c>
      <c r="D14" s="1866" t="s">
        <v>2074</v>
      </c>
      <c r="E14" s="1869" t="s">
        <v>2074</v>
      </c>
      <c r="F14" s="1868" t="s">
        <v>2528</v>
      </c>
      <c r="H14" s="1879">
        <f t="shared" si="0"/>
        <v>5</v>
      </c>
      <c r="I14" s="1879">
        <f t="shared" si="1"/>
        <v>5</v>
      </c>
      <c r="J14" s="1879">
        <f t="shared" si="2"/>
        <v>5</v>
      </c>
    </row>
    <row r="15" spans="1:10" ht="12" customHeight="1" x14ac:dyDescent="0.2">
      <c r="A15" s="1864" t="s">
        <v>1453</v>
      </c>
      <c r="B15" s="1865"/>
      <c r="C15" s="1866" t="s">
        <v>2074</v>
      </c>
      <c r="D15" s="1866" t="s">
        <v>2074</v>
      </c>
      <c r="E15" s="1869" t="s">
        <v>2074</v>
      </c>
      <c r="F15" s="1868" t="s">
        <v>2100</v>
      </c>
      <c r="H15" s="1879">
        <f t="shared" si="0"/>
        <v>5</v>
      </c>
      <c r="I15" s="1879">
        <f t="shared" si="1"/>
        <v>5</v>
      </c>
      <c r="J15" s="1879">
        <f t="shared" si="2"/>
        <v>5</v>
      </c>
    </row>
    <row r="16" spans="1:10" ht="12" customHeight="1" x14ac:dyDescent="0.2">
      <c r="A16" s="1864" t="s">
        <v>1454</v>
      </c>
      <c r="B16" s="1865"/>
      <c r="C16" s="1866" t="s">
        <v>2074</v>
      </c>
      <c r="D16" s="1866" t="s">
        <v>2074</v>
      </c>
      <c r="E16" s="1869" t="s">
        <v>2074</v>
      </c>
      <c r="F16" s="1868" t="s">
        <v>2101</v>
      </c>
      <c r="H16" s="1879">
        <f t="shared" si="0"/>
        <v>5</v>
      </c>
      <c r="I16" s="1879">
        <f t="shared" si="1"/>
        <v>5</v>
      </c>
      <c r="J16" s="1879">
        <f t="shared" si="2"/>
        <v>5</v>
      </c>
    </row>
    <row r="17" spans="1:12" ht="12" customHeight="1" x14ac:dyDescent="0.2">
      <c r="A17" s="1864" t="s">
        <v>1455</v>
      </c>
      <c r="B17" s="1865"/>
      <c r="C17" s="1866"/>
      <c r="D17" s="1866"/>
      <c r="E17" s="1869"/>
      <c r="F17" s="1868"/>
      <c r="H17" s="1879">
        <f t="shared" si="0"/>
        <v>0</v>
      </c>
      <c r="I17" s="1879">
        <f t="shared" si="1"/>
        <v>0</v>
      </c>
      <c r="J17" s="1879">
        <f t="shared" si="2"/>
        <v>0</v>
      </c>
    </row>
    <row r="18" spans="1:12" ht="12" customHeight="1" x14ac:dyDescent="0.2">
      <c r="A18" s="1864" t="s">
        <v>1456</v>
      </c>
      <c r="B18" s="1865"/>
      <c r="C18" s="1866"/>
      <c r="D18" s="1866"/>
      <c r="E18" s="1869"/>
      <c r="F18" s="1868"/>
      <c r="H18" s="1879">
        <f t="shared" si="0"/>
        <v>0</v>
      </c>
      <c r="I18" s="1879">
        <f t="shared" si="1"/>
        <v>0</v>
      </c>
      <c r="J18" s="1879">
        <f t="shared" si="2"/>
        <v>0</v>
      </c>
    </row>
    <row r="19" spans="1:12" ht="12" customHeight="1" x14ac:dyDescent="0.2">
      <c r="A19" s="1864" t="s">
        <v>1607</v>
      </c>
      <c r="B19" s="1865"/>
      <c r="C19" s="1866" t="s">
        <v>2074</v>
      </c>
      <c r="D19" s="1866" t="s">
        <v>2074</v>
      </c>
      <c r="E19" s="1869" t="s">
        <v>2074</v>
      </c>
      <c r="F19" s="1868" t="s">
        <v>2102</v>
      </c>
      <c r="H19" s="1879">
        <f t="shared" si="0"/>
        <v>5</v>
      </c>
      <c r="I19" s="1879">
        <f t="shared" si="1"/>
        <v>5</v>
      </c>
      <c r="J19" s="1879">
        <f t="shared" si="2"/>
        <v>5</v>
      </c>
    </row>
    <row r="20" spans="1:12" ht="12" customHeight="1" x14ac:dyDescent="0.2">
      <c r="A20" s="1864" t="s">
        <v>1608</v>
      </c>
      <c r="B20" s="1865"/>
      <c r="C20" s="1866"/>
      <c r="D20" s="1866"/>
      <c r="E20" s="1869"/>
      <c r="F20" s="1868"/>
      <c r="H20" s="1879">
        <f t="shared" si="0"/>
        <v>0</v>
      </c>
      <c r="I20" s="1879">
        <f t="shared" si="1"/>
        <v>0</v>
      </c>
      <c r="J20" s="1879">
        <f t="shared" si="2"/>
        <v>0</v>
      </c>
    </row>
    <row r="21" spans="1:12" ht="12" customHeight="1" x14ac:dyDescent="0.2">
      <c r="A21" s="1864" t="s">
        <v>1609</v>
      </c>
      <c r="B21" s="1865"/>
      <c r="C21" s="1866" t="s">
        <v>2074</v>
      </c>
      <c r="D21" s="1866" t="s">
        <v>2074</v>
      </c>
      <c r="E21" s="1869" t="s">
        <v>2074</v>
      </c>
      <c r="F21" s="1868" t="s">
        <v>2250</v>
      </c>
      <c r="H21" s="1879">
        <f t="shared" si="0"/>
        <v>5</v>
      </c>
      <c r="I21" s="1879">
        <f t="shared" si="1"/>
        <v>5</v>
      </c>
      <c r="J21" s="1879">
        <f t="shared" si="2"/>
        <v>5</v>
      </c>
    </row>
    <row r="22" spans="1:12" ht="12" customHeight="1" x14ac:dyDescent="0.2">
      <c r="A22" s="1864" t="s">
        <v>1610</v>
      </c>
      <c r="B22" s="1865"/>
      <c r="C22" s="1866"/>
      <c r="D22" s="1866"/>
      <c r="E22" s="1869"/>
      <c r="F22" s="1868"/>
      <c r="H22" s="1879">
        <f t="shared" si="0"/>
        <v>0</v>
      </c>
      <c r="I22" s="1879">
        <f t="shared" si="1"/>
        <v>0</v>
      </c>
      <c r="J22" s="1879">
        <f t="shared" si="2"/>
        <v>0</v>
      </c>
    </row>
    <row r="23" spans="1:12" ht="12" customHeight="1" x14ac:dyDescent="0.2">
      <c r="A23" s="1864" t="s">
        <v>1611</v>
      </c>
      <c r="B23" s="1865"/>
      <c r="C23" s="1866"/>
      <c r="D23" s="1866"/>
      <c r="E23" s="1869"/>
      <c r="F23" s="1868"/>
      <c r="H23" s="1879">
        <f t="shared" si="0"/>
        <v>0</v>
      </c>
      <c r="I23" s="1879">
        <f t="shared" si="1"/>
        <v>0</v>
      </c>
      <c r="J23" s="1879">
        <f t="shared" si="2"/>
        <v>0</v>
      </c>
    </row>
    <row r="24" spans="1:12" ht="12" customHeight="1" x14ac:dyDescent="0.2">
      <c r="A24" s="1864" t="s">
        <v>1612</v>
      </c>
      <c r="B24" s="1865"/>
      <c r="C24" s="1866"/>
      <c r="D24" s="1866"/>
      <c r="E24" s="1869"/>
      <c r="F24" s="1868"/>
      <c r="H24" s="1879">
        <f t="shared" si="0"/>
        <v>0</v>
      </c>
      <c r="I24" s="1879">
        <f t="shared" si="1"/>
        <v>0</v>
      </c>
      <c r="J24" s="1879">
        <f t="shared" si="2"/>
        <v>0</v>
      </c>
    </row>
    <row r="25" spans="1:12" ht="12" customHeight="1" x14ac:dyDescent="0.2">
      <c r="A25" s="1864" t="s">
        <v>1613</v>
      </c>
      <c r="B25" s="1865"/>
      <c r="C25" s="1866" t="s">
        <v>2074</v>
      </c>
      <c r="D25" s="1866" t="s">
        <v>2074</v>
      </c>
      <c r="E25" s="1869" t="s">
        <v>2074</v>
      </c>
      <c r="F25" s="1868" t="s">
        <v>2531</v>
      </c>
      <c r="H25" s="1879">
        <f t="shared" si="0"/>
        <v>5</v>
      </c>
      <c r="I25" s="1879">
        <f t="shared" si="1"/>
        <v>5</v>
      </c>
      <c r="J25" s="1879">
        <f t="shared" si="2"/>
        <v>5</v>
      </c>
    </row>
    <row r="26" spans="1:12" ht="12" customHeight="1" x14ac:dyDescent="0.2">
      <c r="A26" s="1864" t="s">
        <v>1614</v>
      </c>
      <c r="B26" s="1865"/>
      <c r="C26" s="1866"/>
      <c r="D26" s="1866"/>
      <c r="E26" s="1869"/>
      <c r="F26" s="1868"/>
      <c r="H26" s="1879">
        <f t="shared" si="0"/>
        <v>0</v>
      </c>
      <c r="I26" s="1879">
        <f t="shared" si="1"/>
        <v>0</v>
      </c>
      <c r="J26" s="1879">
        <f t="shared" si="2"/>
        <v>0</v>
      </c>
    </row>
    <row r="27" spans="1:12" ht="18.75" x14ac:dyDescent="0.2">
      <c r="A27" s="1864" t="s">
        <v>1615</v>
      </c>
      <c r="B27" s="1865"/>
      <c r="C27" s="1866"/>
      <c r="D27" s="1866"/>
      <c r="E27" s="1869"/>
      <c r="F27" s="1868"/>
      <c r="H27" s="1879">
        <f t="shared" si="0"/>
        <v>0</v>
      </c>
      <c r="I27" s="1879">
        <f t="shared" si="1"/>
        <v>0</v>
      </c>
      <c r="J27" s="1879">
        <f t="shared" si="2"/>
        <v>0</v>
      </c>
    </row>
    <row r="28" spans="1:12" ht="12" customHeight="1" x14ac:dyDescent="0.2">
      <c r="A28" s="1864" t="s">
        <v>1616</v>
      </c>
      <c r="B28" s="1865"/>
      <c r="C28" s="1866"/>
      <c r="D28" s="1866"/>
      <c r="E28" s="1869"/>
      <c r="F28" s="1868"/>
      <c r="H28" s="1879">
        <f t="shared" si="0"/>
        <v>0</v>
      </c>
      <c r="I28" s="1879">
        <f t="shared" si="1"/>
        <v>0</v>
      </c>
      <c r="J28" s="1879">
        <f t="shared" si="2"/>
        <v>0</v>
      </c>
    </row>
    <row r="29" spans="1:12" ht="12" customHeight="1" x14ac:dyDescent="0.2">
      <c r="A29" s="1864" t="s">
        <v>1617</v>
      </c>
      <c r="B29" s="1865"/>
      <c r="C29" s="1866"/>
      <c r="D29" s="1866"/>
      <c r="E29" s="1869"/>
      <c r="F29" s="1868"/>
      <c r="H29" s="1879">
        <f t="shared" si="0"/>
        <v>0</v>
      </c>
      <c r="I29" s="1879">
        <f t="shared" si="1"/>
        <v>0</v>
      </c>
      <c r="J29" s="1879">
        <f t="shared" si="2"/>
        <v>0</v>
      </c>
    </row>
    <row r="30" spans="1:12" ht="12" customHeight="1" x14ac:dyDescent="0.2">
      <c r="A30" s="1864" t="s">
        <v>1618</v>
      </c>
      <c r="B30" s="1865"/>
      <c r="C30" s="1866" t="s">
        <v>2074</v>
      </c>
      <c r="D30" s="1866" t="s">
        <v>2074</v>
      </c>
      <c r="E30" s="1869" t="s">
        <v>2074</v>
      </c>
      <c r="F30" s="1868" t="s">
        <v>2103</v>
      </c>
      <c r="H30" s="1879">
        <f t="shared" si="0"/>
        <v>5</v>
      </c>
      <c r="I30" s="1879">
        <f t="shared" si="1"/>
        <v>5</v>
      </c>
      <c r="J30" s="1879">
        <f t="shared" si="2"/>
        <v>5</v>
      </c>
    </row>
    <row r="31" spans="1:12" ht="12" customHeight="1" x14ac:dyDescent="0.2">
      <c r="A31" s="1864" t="s">
        <v>1619</v>
      </c>
      <c r="B31" s="1865"/>
      <c r="C31" s="1866" t="s">
        <v>2074</v>
      </c>
      <c r="D31" s="1866" t="s">
        <v>2074</v>
      </c>
      <c r="E31" s="1869" t="s">
        <v>2074</v>
      </c>
      <c r="F31" s="1868" t="s">
        <v>2532</v>
      </c>
      <c r="H31" s="1879">
        <f t="shared" si="0"/>
        <v>5</v>
      </c>
      <c r="I31" s="1879">
        <f t="shared" si="1"/>
        <v>5</v>
      </c>
      <c r="J31" s="1879">
        <f t="shared" si="2"/>
        <v>5</v>
      </c>
      <c r="L31" s="1870"/>
    </row>
    <row r="32" spans="1:12" ht="12" customHeight="1" x14ac:dyDescent="0.2">
      <c r="A32" s="1864" t="s">
        <v>1620</v>
      </c>
      <c r="B32" s="1865"/>
      <c r="C32" s="1866"/>
      <c r="D32" s="1866"/>
      <c r="E32" s="1869"/>
      <c r="F32" s="1868"/>
      <c r="H32" s="1879">
        <f t="shared" si="0"/>
        <v>0</v>
      </c>
      <c r="I32" s="1879">
        <f t="shared" si="1"/>
        <v>0</v>
      </c>
      <c r="J32" s="1879">
        <f t="shared" si="2"/>
        <v>0</v>
      </c>
    </row>
    <row r="33" spans="1:11" ht="12" customHeight="1" x14ac:dyDescent="0.2">
      <c r="A33" s="1864" t="s">
        <v>1621</v>
      </c>
      <c r="B33" s="1865"/>
      <c r="C33" s="1866" t="s">
        <v>2074</v>
      </c>
      <c r="D33" s="1866" t="s">
        <v>2074</v>
      </c>
      <c r="E33" s="1869" t="s">
        <v>2074</v>
      </c>
      <c r="F33" s="1868" t="s">
        <v>2530</v>
      </c>
      <c r="H33" s="1879">
        <f t="shared" si="0"/>
        <v>5</v>
      </c>
      <c r="I33" s="1879">
        <f t="shared" si="1"/>
        <v>5</v>
      </c>
      <c r="J33" s="1879">
        <f t="shared" si="2"/>
        <v>5</v>
      </c>
    </row>
    <row r="34" spans="1:11" ht="12" customHeight="1" x14ac:dyDescent="0.25">
      <c r="A34" s="1871"/>
      <c r="B34" s="1871"/>
      <c r="C34" s="1871"/>
      <c r="D34" s="1871"/>
      <c r="E34" s="1871"/>
      <c r="F34" s="1871"/>
      <c r="H34" s="1879">
        <f>SUM(H11:H32)</f>
        <v>45</v>
      </c>
      <c r="I34" s="1879">
        <f>SUM(I11:I32)</f>
        <v>45</v>
      </c>
      <c r="J34" s="1879">
        <f>SUM(J11:J32)</f>
        <v>45</v>
      </c>
      <c r="K34" s="1879">
        <f>SUM(H34:J34)</f>
        <v>135</v>
      </c>
    </row>
    <row r="35" spans="1:11" ht="12" customHeight="1" x14ac:dyDescent="0.2">
      <c r="A35" s="1872" t="s">
        <v>1458</v>
      </c>
      <c r="B35" s="1873"/>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74"/>
      <c r="B39" s="1874"/>
      <c r="C39" s="1874"/>
      <c r="D39" s="1874"/>
      <c r="E39" s="1874"/>
      <c r="F39" s="1874"/>
    </row>
    <row r="40" spans="1:11" s="1871" customFormat="1" ht="12" customHeight="1" x14ac:dyDescent="0.25">
      <c r="A40" s="1875" t="s">
        <v>1457</v>
      </c>
      <c r="B40" s="1876"/>
      <c r="C40" s="2331"/>
      <c r="D40" s="2331"/>
      <c r="E40" s="2331"/>
      <c r="F40" s="2332"/>
      <c r="H40" s="1880"/>
      <c r="I40" s="1880"/>
      <c r="J40" s="1880"/>
      <c r="K40" s="1880"/>
    </row>
    <row r="41" spans="1:11" s="1871" customFormat="1" ht="12" customHeight="1" x14ac:dyDescent="0.25">
      <c r="A41" s="2333"/>
      <c r="B41" s="2334"/>
      <c r="C41" s="2334"/>
      <c r="D41" s="2334"/>
      <c r="E41" s="2334"/>
      <c r="F41" s="2335"/>
      <c r="H41" s="1880"/>
      <c r="I41" s="1880"/>
      <c r="J41" s="1880"/>
      <c r="K41" s="1880"/>
    </row>
    <row r="42" spans="1:11" s="1871" customFormat="1" ht="12" customHeight="1" x14ac:dyDescent="0.25">
      <c r="A42" s="2333"/>
      <c r="B42" s="2334"/>
      <c r="C42" s="2334"/>
      <c r="D42" s="2334"/>
      <c r="E42" s="2334"/>
      <c r="F42" s="2335"/>
      <c r="H42" s="1880"/>
      <c r="I42" s="1880"/>
      <c r="J42" s="1880"/>
      <c r="K42" s="1880"/>
    </row>
    <row r="43" spans="1:11" s="1871" customFormat="1" ht="15" x14ac:dyDescent="0.25">
      <c r="A43" s="2325"/>
      <c r="B43" s="2326"/>
      <c r="C43" s="2326"/>
      <c r="D43" s="2326"/>
      <c r="E43" s="2326"/>
      <c r="F43" s="2327"/>
      <c r="H43" s="1880"/>
      <c r="I43" s="1880"/>
      <c r="J43" s="1880"/>
      <c r="K43" s="1880"/>
    </row>
    <row r="44" spans="1:11" s="1871" customFormat="1" ht="12" hidden="1" customHeight="1" x14ac:dyDescent="0.25">
      <c r="A44" s="2325"/>
      <c r="B44" s="2326"/>
      <c r="C44" s="2326"/>
      <c r="D44" s="2326"/>
      <c r="E44" s="2326"/>
      <c r="F44" s="2327"/>
      <c r="H44" s="1880"/>
      <c r="I44" s="1880"/>
      <c r="J44" s="1880"/>
      <c r="K44" s="1880"/>
    </row>
    <row r="45" spans="1:11" s="1871" customFormat="1" ht="12" customHeight="1" x14ac:dyDescent="0.25">
      <c r="H45" s="1880"/>
      <c r="I45" s="1880"/>
      <c r="J45" s="1880"/>
      <c r="K45" s="1880"/>
    </row>
    <row r="46" spans="1:11" s="1871" customFormat="1" ht="9.75" customHeight="1" x14ac:dyDescent="0.25">
      <c r="H46" s="1880"/>
      <c r="I46" s="1880"/>
      <c r="J46" s="1880"/>
      <c r="K46" s="1880"/>
    </row>
    <row r="47" spans="1:11" s="1871" customFormat="1" ht="13.5" customHeight="1" x14ac:dyDescent="0.25">
      <c r="H47" s="1880"/>
      <c r="I47" s="1880"/>
      <c r="J47" s="1880"/>
      <c r="K47" s="1880"/>
    </row>
    <row r="48" spans="1:11" s="1871" customFormat="1" ht="15" x14ac:dyDescent="0.25">
      <c r="H48" s="1880"/>
      <c r="I48" s="1880"/>
      <c r="J48" s="1880"/>
      <c r="K48" s="1880"/>
    </row>
    <row r="49" spans="1:11" s="1871" customFormat="1" ht="15" hidden="1" x14ac:dyDescent="0.25">
      <c r="A49" s="1871" t="b">
        <v>0</v>
      </c>
      <c r="H49" s="1880"/>
      <c r="I49" s="1880"/>
      <c r="J49" s="1880"/>
      <c r="K49" s="1880"/>
    </row>
    <row r="50" spans="1:11" s="1871" customFormat="1" ht="15" x14ac:dyDescent="0.25">
      <c r="H50" s="1880"/>
      <c r="I50" s="1880"/>
      <c r="J50" s="1880"/>
      <c r="K50" s="1880"/>
    </row>
    <row r="51" spans="1:11" s="1871" customFormat="1" ht="15" x14ac:dyDescent="0.25">
      <c r="H51" s="1880"/>
      <c r="I51" s="1880"/>
      <c r="J51" s="1880"/>
      <c r="K51" s="1880"/>
    </row>
    <row r="52" spans="1:11" s="1871" customFormat="1" ht="15" x14ac:dyDescent="0.25">
      <c r="H52" s="1880"/>
      <c r="I52" s="1880"/>
      <c r="J52" s="1880"/>
      <c r="K52" s="1880"/>
    </row>
    <row r="53" spans="1:11" s="1871" customFormat="1" ht="15" x14ac:dyDescent="0.25">
      <c r="H53" s="1880"/>
      <c r="I53" s="1880"/>
      <c r="J53" s="1880"/>
      <c r="K53" s="1880"/>
    </row>
    <row r="54" spans="1:11" s="1871" customFormat="1" ht="15" x14ac:dyDescent="0.25">
      <c r="H54" s="1880"/>
      <c r="I54" s="1880"/>
      <c r="J54" s="1880"/>
      <c r="K54" s="1880"/>
    </row>
    <row r="55" spans="1:11" s="1871" customFormat="1" ht="15" x14ac:dyDescent="0.25">
      <c r="H55" s="1880"/>
      <c r="I55" s="1880"/>
      <c r="J55" s="1880"/>
      <c r="K55" s="1880"/>
    </row>
    <row r="56" spans="1:11" s="1871" customFormat="1" ht="15" x14ac:dyDescent="0.25">
      <c r="H56" s="1880"/>
      <c r="I56" s="1880"/>
      <c r="J56" s="1880"/>
      <c r="K56" s="1880"/>
    </row>
    <row r="57" spans="1:11" s="1871" customFormat="1" ht="15" x14ac:dyDescent="0.25">
      <c r="H57" s="1880"/>
      <c r="I57" s="1880"/>
      <c r="J57" s="1880"/>
      <c r="K57" s="1880"/>
    </row>
    <row r="58" spans="1:11" s="1871" customFormat="1" ht="15" x14ac:dyDescent="0.25">
      <c r="H58" s="1880"/>
      <c r="I58" s="1880"/>
      <c r="J58" s="1880"/>
      <c r="K58" s="1880"/>
    </row>
    <row r="59" spans="1:11" s="1871" customFormat="1" ht="15" x14ac:dyDescent="0.25">
      <c r="H59" s="1880"/>
      <c r="I59" s="1880"/>
      <c r="J59" s="1880"/>
      <c r="K59" s="1880"/>
    </row>
    <row r="60" spans="1:11" s="1871" customFormat="1" ht="15" x14ac:dyDescent="0.25">
      <c r="H60" s="1880"/>
      <c r="I60" s="1880"/>
      <c r="J60" s="1880"/>
      <c r="K60" s="1880"/>
    </row>
    <row r="61" spans="1:11" s="1871" customFormat="1" ht="15" x14ac:dyDescent="0.25">
      <c r="H61" s="1880"/>
      <c r="I61" s="1880"/>
      <c r="J61" s="1880"/>
      <c r="K61" s="1880"/>
    </row>
    <row r="62" spans="1:11" s="1871" customFormat="1" ht="15" x14ac:dyDescent="0.25">
      <c r="H62" s="1880"/>
      <c r="I62" s="1880"/>
      <c r="J62" s="1880"/>
      <c r="K62" s="1880"/>
    </row>
    <row r="63" spans="1:11" s="1871" customFormat="1" ht="15" x14ac:dyDescent="0.25">
      <c r="H63" s="1880"/>
      <c r="I63" s="1880"/>
      <c r="J63" s="1880"/>
      <c r="K63" s="1880"/>
    </row>
    <row r="64" spans="1:11" s="1871" customFormat="1" ht="15" x14ac:dyDescent="0.25">
      <c r="H64" s="1880"/>
      <c r="I64" s="1880"/>
      <c r="J64" s="1880"/>
      <c r="K64" s="1880"/>
    </row>
    <row r="65" spans="8:11" s="1871" customFormat="1" ht="15" x14ac:dyDescent="0.25">
      <c r="H65" s="1880"/>
      <c r="I65" s="1880"/>
      <c r="J65" s="1880"/>
      <c r="K65" s="1880"/>
    </row>
    <row r="66" spans="8:11" s="1871" customFormat="1" ht="15" x14ac:dyDescent="0.25">
      <c r="H66" s="1880"/>
      <c r="I66" s="1880"/>
      <c r="J66" s="1880"/>
      <c r="K66" s="1880"/>
    </row>
    <row r="67" spans="8:11" s="1871" customFormat="1" ht="15" x14ac:dyDescent="0.25">
      <c r="H67" s="1880"/>
      <c r="I67" s="1880"/>
      <c r="J67" s="1880"/>
      <c r="K67" s="1880"/>
    </row>
    <row r="68" spans="8:11" s="1871" customFormat="1" ht="15" x14ac:dyDescent="0.25">
      <c r="H68" s="1880"/>
      <c r="I68" s="1880"/>
      <c r="J68" s="1880"/>
      <c r="K68" s="1880"/>
    </row>
    <row r="69" spans="8:11" s="1871" customFormat="1" ht="15" x14ac:dyDescent="0.25">
      <c r="H69" s="1880"/>
      <c r="I69" s="1880"/>
      <c r="J69" s="1880"/>
      <c r="K69" s="1880"/>
    </row>
    <row r="70" spans="8:11" s="1871" customFormat="1" ht="15" x14ac:dyDescent="0.25">
      <c r="H70" s="1880"/>
      <c r="I70" s="1880"/>
      <c r="J70" s="1880"/>
      <c r="K70" s="1880"/>
    </row>
    <row r="71" spans="8:11" s="1871" customFormat="1" ht="15" x14ac:dyDescent="0.25">
      <c r="H71" s="1880"/>
      <c r="I71" s="1880"/>
      <c r="J71" s="1880"/>
      <c r="K71" s="1880"/>
    </row>
    <row r="72" spans="8:11" s="1871" customFormat="1" ht="15" x14ac:dyDescent="0.25">
      <c r="H72" s="1880"/>
      <c r="I72" s="1880"/>
      <c r="J72" s="1880"/>
      <c r="K72" s="1880"/>
    </row>
    <row r="73" spans="8:11" s="1871" customFormat="1" ht="15" x14ac:dyDescent="0.25">
      <c r="H73" s="1880"/>
      <c r="I73" s="1880"/>
      <c r="J73" s="1880"/>
      <c r="K73" s="1880"/>
    </row>
    <row r="74" spans="8:11" s="1871" customFormat="1" ht="15" x14ac:dyDescent="0.25">
      <c r="H74" s="1880"/>
      <c r="I74" s="1880"/>
      <c r="J74" s="1880"/>
      <c r="K74" s="1880"/>
    </row>
    <row r="75" spans="8:11" s="1871" customFormat="1" ht="15" x14ac:dyDescent="0.25">
      <c r="H75" s="1880"/>
      <c r="I75" s="1880"/>
      <c r="J75" s="1880"/>
      <c r="K75" s="1880"/>
    </row>
    <row r="76" spans="8:11" s="1871" customFormat="1" ht="15" x14ac:dyDescent="0.25">
      <c r="H76" s="1880"/>
      <c r="I76" s="1880"/>
      <c r="J76" s="1880"/>
      <c r="K76" s="1880"/>
    </row>
    <row r="77" spans="8:11" s="1871" customFormat="1" ht="15" x14ac:dyDescent="0.25">
      <c r="H77" s="1880"/>
      <c r="I77" s="1880"/>
      <c r="J77" s="1880"/>
      <c r="K77" s="1880"/>
    </row>
    <row r="78" spans="8:11" s="1871" customFormat="1" ht="15" x14ac:dyDescent="0.25">
      <c r="H78" s="1880"/>
      <c r="I78" s="1880"/>
      <c r="J78" s="1880"/>
      <c r="K78" s="1880"/>
    </row>
    <row r="79" spans="8:11" s="1871" customFormat="1" ht="15" x14ac:dyDescent="0.25">
      <c r="H79" s="1880"/>
      <c r="I79" s="1880"/>
      <c r="J79" s="1880"/>
      <c r="K79" s="1880"/>
    </row>
    <row r="80" spans="8:11" s="1871" customFormat="1" ht="15" x14ac:dyDescent="0.25">
      <c r="H80" s="1880"/>
      <c r="I80" s="1880"/>
      <c r="J80" s="1880"/>
      <c r="K80" s="1880"/>
    </row>
    <row r="81" spans="8:11" s="1871" customFormat="1" ht="15" x14ac:dyDescent="0.25">
      <c r="H81" s="1880"/>
      <c r="I81" s="1880"/>
      <c r="J81" s="1880"/>
      <c r="K81" s="1880"/>
    </row>
    <row r="82" spans="8:11" s="1871" customFormat="1" ht="15" x14ac:dyDescent="0.25">
      <c r="H82" s="1880"/>
      <c r="I82" s="1880"/>
      <c r="J82" s="1880"/>
      <c r="K82" s="1880"/>
    </row>
    <row r="83" spans="8:11" s="1871" customFormat="1" ht="15" x14ac:dyDescent="0.25">
      <c r="H83" s="1880"/>
      <c r="I83" s="1880"/>
      <c r="J83" s="1880"/>
      <c r="K83" s="1880"/>
    </row>
    <row r="84" spans="8:11" s="1871" customFormat="1" ht="15" x14ac:dyDescent="0.25">
      <c r="H84" s="1880"/>
      <c r="I84" s="1880"/>
      <c r="J84" s="1880"/>
      <c r="K84" s="1880"/>
    </row>
    <row r="85" spans="8:11" s="1871" customFormat="1" ht="15" x14ac:dyDescent="0.25">
      <c r="H85" s="1880"/>
      <c r="I85" s="1880"/>
      <c r="J85" s="1880"/>
      <c r="K85" s="1880"/>
    </row>
    <row r="86" spans="8:11" s="1871" customFormat="1" ht="15" x14ac:dyDescent="0.25">
      <c r="H86" s="1880"/>
      <c r="I86" s="1880"/>
      <c r="J86" s="1880"/>
      <c r="K86" s="1880"/>
    </row>
    <row r="87" spans="8:11" s="1871" customFormat="1" ht="15" x14ac:dyDescent="0.25">
      <c r="H87" s="1880"/>
      <c r="I87" s="1880"/>
      <c r="J87" s="1880"/>
      <c r="K87" s="1880"/>
    </row>
    <row r="88" spans="8:11" s="1871" customFormat="1" ht="15" x14ac:dyDescent="0.25">
      <c r="H88" s="1880"/>
      <c r="I88" s="1880"/>
      <c r="J88" s="1880"/>
      <c r="K88" s="1880"/>
    </row>
    <row r="89" spans="8:11" s="1871" customFormat="1" ht="15" x14ac:dyDescent="0.25">
      <c r="H89" s="1880"/>
      <c r="I89" s="1880"/>
      <c r="J89" s="1880"/>
      <c r="K89" s="1880"/>
    </row>
    <row r="90" spans="8:11" s="1871" customFormat="1" ht="15" x14ac:dyDescent="0.25">
      <c r="H90" s="1880"/>
      <c r="I90" s="1880"/>
      <c r="J90" s="1880"/>
      <c r="K90" s="1880"/>
    </row>
    <row r="91" spans="8:11" s="1871" customFormat="1" ht="15" x14ac:dyDescent="0.25">
      <c r="H91" s="1880"/>
      <c r="I91" s="1880"/>
      <c r="J91" s="1880"/>
      <c r="K91" s="1880"/>
    </row>
    <row r="92" spans="8:11" s="1871" customFormat="1" ht="15" x14ac:dyDescent="0.25">
      <c r="H92" s="1880"/>
      <c r="I92" s="1880"/>
      <c r="J92" s="1880"/>
      <c r="K92" s="1880"/>
    </row>
    <row r="93" spans="8:11" s="1871" customFormat="1" ht="15" x14ac:dyDescent="0.25">
      <c r="H93" s="1880"/>
      <c r="I93" s="1880"/>
      <c r="J93" s="1880"/>
      <c r="K93" s="1880"/>
    </row>
    <row r="94" spans="8:11" s="1871" customFormat="1" ht="15" x14ac:dyDescent="0.25">
      <c r="H94" s="1880"/>
      <c r="I94" s="1880"/>
      <c r="J94" s="1880"/>
      <c r="K94" s="1880"/>
    </row>
    <row r="95" spans="8:11" s="1871" customFormat="1" ht="15" x14ac:dyDescent="0.25">
      <c r="H95" s="1880"/>
      <c r="I95" s="1880"/>
      <c r="J95" s="1880"/>
      <c r="K95" s="1880"/>
    </row>
    <row r="96" spans="8:11" s="1871" customFormat="1" ht="15" x14ac:dyDescent="0.25">
      <c r="H96" s="1880"/>
      <c r="I96" s="1880"/>
      <c r="J96" s="1880"/>
      <c r="K96" s="1880"/>
    </row>
    <row r="97" spans="8:11" s="1871" customFormat="1" ht="15" x14ac:dyDescent="0.25">
      <c r="H97" s="1880"/>
      <c r="I97" s="1880"/>
      <c r="J97" s="1880"/>
      <c r="K97" s="188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I47" sqref="I4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95" t="s">
        <v>692</v>
      </c>
      <c r="B6" s="1662"/>
      <c r="C6" s="1662"/>
      <c r="D6" s="1662"/>
      <c r="E6" s="1663"/>
      <c r="F6" s="1016"/>
      <c r="G6" s="1010"/>
      <c r="H6" s="1017" t="s">
        <v>1085</v>
      </c>
      <c r="I6" s="2341" t="str">
        <f>COVER!A17</f>
        <v>Waukegan CUSD 60</v>
      </c>
      <c r="J6" s="2342"/>
      <c r="Q6" s="1675"/>
    </row>
    <row r="7" spans="1:17" x14ac:dyDescent="0.2">
      <c r="A7" s="2343" t="s">
        <v>923</v>
      </c>
      <c r="B7" s="2344"/>
      <c r="C7" s="2344"/>
      <c r="D7" s="2344"/>
      <c r="E7" s="2345"/>
      <c r="F7" s="1018"/>
      <c r="G7" s="1010"/>
      <c r="H7" s="1017" t="s">
        <v>389</v>
      </c>
      <c r="I7" s="2346">
        <f>COVER!A13</f>
        <v>34049060026</v>
      </c>
      <c r="J7" s="2346"/>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896" t="s">
        <v>1700</v>
      </c>
      <c r="F9" s="1024"/>
      <c r="G9" s="1024"/>
      <c r="H9" s="1897"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7" t="s">
        <v>501</v>
      </c>
      <c r="B11" s="2348"/>
      <c r="C11" s="234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14">
        <f>'Expenditures 15-22'!K50</f>
        <v>462300</v>
      </c>
      <c r="F12" s="1040"/>
      <c r="G12" s="1814">
        <f t="shared" ref="G12:G18" si="0">SUM(E12:F12)</f>
        <v>462300</v>
      </c>
      <c r="H12" s="1041">
        <v>530629</v>
      </c>
      <c r="I12" s="1040"/>
      <c r="J12" s="1814">
        <f t="shared" ref="J12:J18" si="1">SUM(H12:I12)</f>
        <v>530629</v>
      </c>
    </row>
    <row r="13" spans="1:17" ht="15" customHeight="1" x14ac:dyDescent="0.2">
      <c r="A13" s="1036">
        <v>2</v>
      </c>
      <c r="B13" s="1037" t="s">
        <v>44</v>
      </c>
      <c r="C13" s="1038"/>
      <c r="D13" s="1039">
        <v>2330</v>
      </c>
      <c r="E13" s="1814">
        <f>'Expenditures 15-22'!K51</f>
        <v>0</v>
      </c>
      <c r="F13" s="1040"/>
      <c r="G13" s="1814">
        <f t="shared" si="0"/>
        <v>0</v>
      </c>
      <c r="H13" s="1041"/>
      <c r="I13" s="1040"/>
      <c r="J13" s="1814">
        <f t="shared" si="1"/>
        <v>0</v>
      </c>
    </row>
    <row r="14" spans="1:17" ht="15" customHeight="1" x14ac:dyDescent="0.2">
      <c r="A14" s="1036">
        <v>3</v>
      </c>
      <c r="B14" s="1037" t="s">
        <v>45</v>
      </c>
      <c r="C14" s="1038"/>
      <c r="D14" s="1042">
        <v>2490</v>
      </c>
      <c r="E14" s="1814">
        <f>'Expenditures 15-22'!K56</f>
        <v>0</v>
      </c>
      <c r="F14" s="1040"/>
      <c r="G14" s="1814">
        <f t="shared" si="0"/>
        <v>0</v>
      </c>
      <c r="H14" s="1041"/>
      <c r="I14" s="1040"/>
      <c r="J14" s="1814">
        <f t="shared" si="1"/>
        <v>0</v>
      </c>
    </row>
    <row r="15" spans="1:17" ht="15" customHeight="1" x14ac:dyDescent="0.2">
      <c r="A15" s="1036">
        <v>4</v>
      </c>
      <c r="B15" s="1037" t="s">
        <v>1127</v>
      </c>
      <c r="C15" s="1038"/>
      <c r="D15" s="1039">
        <v>2510</v>
      </c>
      <c r="E15" s="1814">
        <f>'Expenditures 15-22'!K59</f>
        <v>346789</v>
      </c>
      <c r="F15" s="1814">
        <f>'Expenditures 15-22'!K122</f>
        <v>0</v>
      </c>
      <c r="G15" s="1814">
        <f t="shared" si="0"/>
        <v>346789</v>
      </c>
      <c r="H15" s="1041">
        <v>313276</v>
      </c>
      <c r="I15" s="1041"/>
      <c r="J15" s="1814">
        <f t="shared" si="1"/>
        <v>313276</v>
      </c>
    </row>
    <row r="16" spans="1:17" ht="15" customHeight="1" x14ac:dyDescent="0.2">
      <c r="A16" s="1036">
        <v>5</v>
      </c>
      <c r="B16" s="1037" t="s">
        <v>103</v>
      </c>
      <c r="C16" s="1038"/>
      <c r="D16" s="1039">
        <v>2570</v>
      </c>
      <c r="E16" s="1814">
        <f>'Expenditures 15-22'!K64</f>
        <v>571963</v>
      </c>
      <c r="F16" s="1040"/>
      <c r="G16" s="1814">
        <f t="shared" si="0"/>
        <v>571963</v>
      </c>
      <c r="H16" s="1041">
        <v>687656</v>
      </c>
      <c r="I16" s="1040"/>
      <c r="J16" s="1814">
        <f t="shared" si="1"/>
        <v>687656</v>
      </c>
    </row>
    <row r="17" spans="1:10" ht="15" customHeight="1" x14ac:dyDescent="0.2">
      <c r="A17" s="1036">
        <v>6</v>
      </c>
      <c r="B17" s="1037" t="s">
        <v>1119</v>
      </c>
      <c r="C17" s="1038"/>
      <c r="D17" s="1039">
        <v>2610</v>
      </c>
      <c r="E17" s="1814">
        <f>'Expenditures 15-22'!K67</f>
        <v>0</v>
      </c>
      <c r="F17" s="1040"/>
      <c r="G17" s="1814">
        <f t="shared" si="0"/>
        <v>0</v>
      </c>
      <c r="H17" s="1041"/>
      <c r="I17" s="1040"/>
      <c r="J17" s="1814">
        <f t="shared" si="1"/>
        <v>0</v>
      </c>
    </row>
    <row r="18" spans="1:10" ht="22.5" customHeight="1" x14ac:dyDescent="0.2">
      <c r="A18" s="1043">
        <v>7</v>
      </c>
      <c r="B18" s="2350" t="s">
        <v>7</v>
      </c>
      <c r="C18" s="2351"/>
      <c r="D18" s="2352"/>
      <c r="E18" s="1044"/>
      <c r="F18" s="1044"/>
      <c r="G18" s="1815">
        <f t="shared" si="0"/>
        <v>0</v>
      </c>
      <c r="H18" s="1041"/>
      <c r="I18" s="1041"/>
      <c r="J18" s="1814">
        <f t="shared" si="1"/>
        <v>0</v>
      </c>
    </row>
    <row r="19" spans="1:10" ht="12.75" customHeight="1" thickBot="1" x14ac:dyDescent="0.25">
      <c r="A19" s="1036">
        <v>8</v>
      </c>
      <c r="B19" s="1045" t="s">
        <v>1222</v>
      </c>
      <c r="D19" s="1046"/>
      <c r="E19" s="1816">
        <f t="shared" ref="E19:J19" si="2">SUM(E12:E17)-E18</f>
        <v>1381052</v>
      </c>
      <c r="F19" s="1816">
        <f t="shared" si="2"/>
        <v>0</v>
      </c>
      <c r="G19" s="1816">
        <f t="shared" si="2"/>
        <v>1381052</v>
      </c>
      <c r="H19" s="1816">
        <f t="shared" si="2"/>
        <v>1531561</v>
      </c>
      <c r="I19" s="1816">
        <f t="shared" si="2"/>
        <v>0</v>
      </c>
      <c r="J19" s="1816">
        <f t="shared" si="2"/>
        <v>1531561</v>
      </c>
    </row>
    <row r="20" spans="1:10" ht="13.5" thickTop="1" x14ac:dyDescent="0.2">
      <c r="A20" s="1036">
        <v>9</v>
      </c>
      <c r="B20" s="2353" t="s">
        <v>1702</v>
      </c>
      <c r="C20" s="2353"/>
      <c r="D20" s="2354"/>
      <c r="E20" s="1047"/>
      <c r="F20" s="1047"/>
      <c r="G20" s="1047"/>
      <c r="H20" s="1047"/>
      <c r="I20" s="1047"/>
      <c r="J20" s="1817">
        <f>IF(AND(G19&gt;0,J19&gt;0),(((J19-G19)/G19)),"Enter Budget Data")</f>
        <v>0.10898141416832965</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1092</v>
      </c>
      <c r="D27" s="1053"/>
      <c r="E27" s="1054"/>
      <c r="F27" s="2355" t="s">
        <v>1588</v>
      </c>
      <c r="G27" s="2355"/>
    </row>
    <row r="28" spans="1:10" ht="28.5" customHeight="1" x14ac:dyDescent="0.2">
      <c r="B28" s="1048"/>
      <c r="C28" s="2357"/>
      <c r="D28" s="2357"/>
      <c r="E28" s="1055"/>
      <c r="F28" s="2357"/>
      <c r="G28" s="2357"/>
    </row>
    <row r="29" spans="1:10" x14ac:dyDescent="0.2">
      <c r="B29" s="1048"/>
      <c r="C29" s="1056" t="s">
        <v>1641</v>
      </c>
      <c r="E29" s="1057"/>
      <c r="F29" s="2356" t="s">
        <v>1589</v>
      </c>
      <c r="G29" s="235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1940</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t="s">
        <v>2074</v>
      </c>
      <c r="C39" s="2336" t="s">
        <v>936</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Waukegan CUSD 60</v>
      </c>
    </row>
    <row r="65" spans="2:2" x14ac:dyDescent="0.2">
      <c r="B65" s="1071">
        <f>COVER!A13</f>
        <v>34049060026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I47" sqref="I4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39" t="s">
        <v>1708</v>
      </c>
    </row>
    <row r="23" spans="1:5" x14ac:dyDescent="0.2">
      <c r="A23" s="168"/>
      <c r="B23" s="162" t="s">
        <v>1965</v>
      </c>
      <c r="D23" s="167" t="s">
        <v>657</v>
      </c>
      <c r="E23" s="183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7" t="s">
        <v>1124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714</v>
      </c>
      <c r="B40" s="2074"/>
      <c r="C40" s="2074"/>
      <c r="D40" s="2074"/>
      <c r="E40" s="2074"/>
    </row>
    <row r="41" spans="1:5" x14ac:dyDescent="0.2">
      <c r="A41" s="2075" t="s">
        <v>1705</v>
      </c>
      <c r="B41" s="2075"/>
      <c r="C41" s="2075"/>
      <c r="D41" s="2075"/>
      <c r="E41" s="2075"/>
    </row>
    <row r="42" spans="1:5" ht="12.75" customHeight="1" x14ac:dyDescent="0.2">
      <c r="A42" s="2076" t="s">
        <v>1079</v>
      </c>
      <c r="B42" s="2076"/>
      <c r="C42" s="2076"/>
      <c r="D42" s="2076"/>
      <c r="E42" s="207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21" sqref="F2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0" t="s">
        <v>1783</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4</xdr:col>
                <xdr:colOff>0</xdr:colOff>
                <xdr:row>6</xdr:row>
                <xdr:rowOff>0</xdr:rowOff>
              </from>
              <to>
                <xdr:col>5</xdr:col>
                <xdr:colOff>304800</xdr:colOff>
                <xdr:row>10</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5"/>
      <c r="H2" s="1075"/>
    </row>
    <row r="3" spans="1:8" ht="57" customHeight="1" x14ac:dyDescent="0.2">
      <c r="A3" s="2374" t="s">
        <v>1785</v>
      </c>
      <c r="B3" s="2375"/>
      <c r="C3" s="2375"/>
      <c r="D3" s="2375"/>
      <c r="E3" s="2375"/>
      <c r="F3" s="2376"/>
      <c r="G3" s="1075"/>
      <c r="H3" s="1075"/>
    </row>
    <row r="4" spans="1:8" ht="14.25" customHeight="1" x14ac:dyDescent="0.2">
      <c r="A4" s="2380" t="s">
        <v>2051</v>
      </c>
      <c r="B4" s="2381"/>
      <c r="C4" s="2381"/>
      <c r="D4" s="2381"/>
      <c r="E4" s="2381"/>
      <c r="F4" s="2382"/>
      <c r="G4" s="1075"/>
      <c r="H4" s="1075"/>
    </row>
    <row r="5" spans="1:8" ht="14.25" customHeight="1" x14ac:dyDescent="0.2">
      <c r="A5" s="2383" t="s">
        <v>2052</v>
      </c>
      <c r="B5" s="2384"/>
      <c r="C5" s="2384"/>
      <c r="D5" s="2384"/>
      <c r="E5" s="2384"/>
      <c r="F5" s="2385"/>
      <c r="G5" s="1075"/>
      <c r="H5" s="1075"/>
    </row>
    <row r="6" spans="1:8" s="1076" customFormat="1" ht="41.25" customHeight="1" x14ac:dyDescent="0.2">
      <c r="A6" s="2377" t="s">
        <v>1791</v>
      </c>
      <c r="B6" s="2378"/>
      <c r="C6" s="2378"/>
      <c r="D6" s="2378"/>
      <c r="E6" s="2378"/>
      <c r="F6" s="2379"/>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18">
        <f>'Acct Summary 7-8'!C8</f>
        <v>191735839</v>
      </c>
      <c r="C8" s="1818">
        <f>'Acct Summary 7-8'!D8</f>
        <v>5165912</v>
      </c>
      <c r="D8" s="1818">
        <f>'Acct Summary 7-8'!F8</f>
        <v>14111785</v>
      </c>
      <c r="E8" s="1818">
        <f>'Acct Summary 7-8'!I8</f>
        <v>132083</v>
      </c>
      <c r="F8" s="1818">
        <f>SUM(B8:E8)</f>
        <v>211145619</v>
      </c>
    </row>
    <row r="9" spans="1:8" s="1080" customFormat="1" ht="14.25" customHeight="1" thickBot="1" x14ac:dyDescent="0.25">
      <c r="A9" s="1079" t="s">
        <v>1435</v>
      </c>
      <c r="B9" s="1819">
        <f>'Acct Summary 7-8'!C17</f>
        <v>165131155</v>
      </c>
      <c r="C9" s="1819">
        <f>'Acct Summary 7-8'!D17</f>
        <v>9794177</v>
      </c>
      <c r="D9" s="1819">
        <f>'Acct Summary 7-8'!F17</f>
        <v>10077562</v>
      </c>
      <c r="E9" s="1818"/>
      <c r="F9" s="1818">
        <f>SUM(B9:E9)</f>
        <v>185002894</v>
      </c>
    </row>
    <row r="10" spans="1:8" s="1080" customFormat="1" ht="14.25" thickTop="1" thickBot="1" x14ac:dyDescent="0.25">
      <c r="A10" s="1081" t="s">
        <v>1436</v>
      </c>
      <c r="B10" s="1820">
        <f>(B8-B9)</f>
        <v>26604684</v>
      </c>
      <c r="C10" s="1820">
        <f>(C8-C9)</f>
        <v>-4628265</v>
      </c>
      <c r="D10" s="1820">
        <f>(D8-D9)</f>
        <v>4034223</v>
      </c>
      <c r="E10" s="1819">
        <f>(E8-E9)</f>
        <v>132083</v>
      </c>
      <c r="F10" s="1821">
        <f>SUM(F8-F9)</f>
        <v>26142725</v>
      </c>
    </row>
    <row r="11" spans="1:8" s="1080" customFormat="1" ht="14.25" thickTop="1" thickBot="1" x14ac:dyDescent="0.25">
      <c r="A11" s="1082" t="s">
        <v>1784</v>
      </c>
      <c r="B11" s="1822">
        <f>'Acct Summary 7-8'!C81</f>
        <v>30782964</v>
      </c>
      <c r="C11" s="1822">
        <f>'Acct Summary 7-8'!D81</f>
        <v>4769489</v>
      </c>
      <c r="D11" s="1822">
        <f>'Acct Summary 7-8'!F81</f>
        <v>5082383</v>
      </c>
      <c r="E11" s="1822">
        <f>'Acct Summary 7-8'!I81</f>
        <v>26976281</v>
      </c>
      <c r="F11" s="1823">
        <f>SUM(B11:E11)</f>
        <v>67611117</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1786</v>
      </c>
      <c r="B16" s="2364"/>
      <c r="C16" s="2364"/>
      <c r="D16" s="2364"/>
      <c r="E16" s="2364"/>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98"/>
      <c r="B2" s="1899"/>
      <c r="C2" s="1900"/>
      <c r="D2" s="1901"/>
    </row>
    <row r="3" spans="1:4" ht="36" customHeight="1" x14ac:dyDescent="0.2">
      <c r="A3" s="2386" t="s">
        <v>685</v>
      </c>
      <c r="B3" s="2387"/>
      <c r="C3" s="2387"/>
      <c r="D3" s="2388"/>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7" t="s">
        <v>1583</v>
      </c>
      <c r="D7" s="2398"/>
    </row>
    <row r="8" spans="1:4" s="669" customFormat="1" ht="12.75" x14ac:dyDescent="0.2">
      <c r="A8" s="1139"/>
      <c r="B8" s="1094"/>
      <c r="C8" s="1097" t="s">
        <v>1582</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9" t="s">
        <v>1064</v>
      </c>
      <c r="B15" s="2390"/>
      <c r="C15" s="2390"/>
      <c r="D15" s="2391"/>
    </row>
    <row r="16" spans="1:4" s="669" customFormat="1" ht="24" customHeight="1" x14ac:dyDescent="0.2">
      <c r="A16" s="2392" t="s">
        <v>683</v>
      </c>
      <c r="B16" s="2393"/>
      <c r="C16" s="2393"/>
      <c r="D16" s="2394"/>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1" t="s">
        <v>331</v>
      </c>
      <c r="D21" s="2402"/>
    </row>
    <row r="22" spans="1:10" ht="12.75" x14ac:dyDescent="0.2">
      <c r="A22" s="1140"/>
      <c r="B22" s="1141">
        <v>2</v>
      </c>
      <c r="C22" s="2399" t="s">
        <v>1604</v>
      </c>
      <c r="D22" s="2400"/>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3" t="s">
        <v>556</v>
      </c>
      <c r="D43" s="2404"/>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5" t="s">
        <v>816</v>
      </c>
      <c r="D56" s="2396"/>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1078</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95" t="s">
        <v>1796</v>
      </c>
      <c r="D70" s="2396"/>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29'!D290&gt;0,"OK","PLEASE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34049060026</v>
      </c>
    </row>
    <row r="3" spans="1:2" x14ac:dyDescent="0.2">
      <c r="A3" t="s">
        <v>1012</v>
      </c>
      <c r="B3" s="138" t="str">
        <f>COVER!A15</f>
        <v>LAKE</v>
      </c>
    </row>
    <row r="4" spans="1:2" x14ac:dyDescent="0.2">
      <c r="A4" t="s">
        <v>1063</v>
      </c>
      <c r="B4" s="138" t="str">
        <f>COVER!A17</f>
        <v>Waukegan CUSD 60</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060-003973</v>
      </c>
    </row>
    <row r="16" spans="1:2" x14ac:dyDescent="0.2">
      <c r="A16" t="s">
        <v>441</v>
      </c>
      <c r="B16" s="138" t="str">
        <f>COVER!T13</f>
        <v>EVANS, MARSHALL &amp; PEASE, P.C.</v>
      </c>
    </row>
    <row r="17" spans="1:2" x14ac:dyDescent="0.2">
      <c r="A17" t="s">
        <v>938</v>
      </c>
      <c r="B17" s="138" t="str">
        <f>COVER!T15</f>
        <v>JEFFERY M. ROLLEFSON, CPA</v>
      </c>
    </row>
    <row r="18" spans="1:2" x14ac:dyDescent="0.2">
      <c r="A18" t="s">
        <v>1211</v>
      </c>
      <c r="B18" s="138" t="str">
        <f>COVER!T17</f>
        <v>1875 HICKS ROAD</v>
      </c>
    </row>
    <row r="19" spans="1:2" x14ac:dyDescent="0.2">
      <c r="A19" t="s">
        <v>940</v>
      </c>
      <c r="B19" s="138" t="str">
        <f>COVER!T25</f>
        <v>JEFF@EMPCPA.COM</v>
      </c>
    </row>
    <row r="20" spans="1:2" x14ac:dyDescent="0.2">
      <c r="A20" t="s">
        <v>941</v>
      </c>
      <c r="B20" s="138" t="str">
        <f>COVER!T19</f>
        <v>ROLLING MEADOWS</v>
      </c>
    </row>
    <row r="21" spans="1:2" x14ac:dyDescent="0.2">
      <c r="A21" t="s">
        <v>499</v>
      </c>
      <c r="B21" s="138" t="str">
        <f>COVER!X19</f>
        <v>IL</v>
      </c>
    </row>
    <row r="22" spans="1:2" x14ac:dyDescent="0.2">
      <c r="A22" t="s">
        <v>942</v>
      </c>
      <c r="B22" s="138">
        <f>COVER!Z19</f>
        <v>60008</v>
      </c>
    </row>
    <row r="23" spans="1:2" x14ac:dyDescent="0.2">
      <c r="A23" t="s">
        <v>1213</v>
      </c>
      <c r="B23" s="138" t="str">
        <f>COVER!T21</f>
        <v>847-221-5700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33512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30817133</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29699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34169</v>
      </c>
      <c r="C91" s="2" t="s">
        <v>593</v>
      </c>
      <c r="D91" s="2" t="str">
        <f t="shared" si="0"/>
        <v>Error?</v>
      </c>
    </row>
    <row r="92" spans="1:4" x14ac:dyDescent="0.2">
      <c r="A92" s="5">
        <v>31</v>
      </c>
      <c r="B92" s="138">
        <f>'Assets-Liab 5-6'!C39</f>
        <v>30782964</v>
      </c>
      <c r="D92" s="2" t="str">
        <f t="shared" si="0"/>
        <v>Error?</v>
      </c>
    </row>
    <row r="93" spans="1:4" x14ac:dyDescent="0.2">
      <c r="A93" s="5">
        <v>32</v>
      </c>
      <c r="B93" s="138">
        <f>'Assets-Liab 5-6'!C41</f>
        <v>30817133</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5994520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857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1225031</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5994520</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1702018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1702018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5082383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5082383</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931215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931215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1206870</v>
      </c>
      <c r="C211" s="2" t="s">
        <v>593</v>
      </c>
      <c r="D211" s="2" t="str">
        <f t="shared" si="2"/>
        <v>Error?</v>
      </c>
    </row>
    <row r="212" spans="1:4" x14ac:dyDescent="0.2">
      <c r="A212" s="5">
        <v>151</v>
      </c>
      <c r="B212" s="138">
        <f>'Assets-Liab 5-6'!H39</f>
        <v>-1206870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1518042</v>
      </c>
      <c r="D273" s="2" t="str">
        <f t="shared" si="3"/>
        <v>Error?</v>
      </c>
    </row>
    <row r="274" spans="1:4" x14ac:dyDescent="0.2">
      <c r="A274" s="5">
        <v>213</v>
      </c>
      <c r="B274" s="138">
        <f>'Assets-Liab 5-6'!M17</f>
        <v>134370745</v>
      </c>
      <c r="D274" s="2" t="str">
        <f t="shared" si="3"/>
        <v>Error?</v>
      </c>
    </row>
    <row r="275" spans="1:4" x14ac:dyDescent="0.2">
      <c r="A275" s="5">
        <v>214</v>
      </c>
      <c r="B275" s="138">
        <f>'Assets-Liab 5-6'!M18</f>
        <v>977215</v>
      </c>
      <c r="D275" s="2" t="str">
        <f t="shared" si="3"/>
        <v>Error?</v>
      </c>
    </row>
    <row r="276" spans="1:4" x14ac:dyDescent="0.2">
      <c r="A276" s="5">
        <v>215</v>
      </c>
      <c r="B276" s="138">
        <f>'Assets-Liab 5-6'!M19</f>
        <v>11441317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149778431</v>
      </c>
      <c r="C279" s="2" t="s">
        <v>593</v>
      </c>
      <c r="D279" s="2" t="str">
        <f t="shared" si="3"/>
        <v>Error?</v>
      </c>
    </row>
    <row r="280" spans="1:4" x14ac:dyDescent="0.2">
      <c r="A280" s="5">
        <v>219</v>
      </c>
      <c r="B280" s="138">
        <f>'Assets-Liab 5-6'!M40</f>
        <v>149778431</v>
      </c>
      <c r="D280" s="2" t="str">
        <f t="shared" si="3"/>
        <v>Error?</v>
      </c>
    </row>
    <row r="281" spans="1:4" x14ac:dyDescent="0.2">
      <c r="A281" s="5">
        <v>220</v>
      </c>
      <c r="B281" s="138">
        <f>'Assets-Liab 5-6'!M41</f>
        <v>149778431</v>
      </c>
      <c r="C281" s="2" t="s">
        <v>593</v>
      </c>
      <c r="D281" s="2" t="str">
        <f t="shared" si="3"/>
        <v>Error?</v>
      </c>
    </row>
    <row r="282" spans="1:4" x14ac:dyDescent="0.2">
      <c r="A282" s="5">
        <v>221</v>
      </c>
      <c r="B282" s="138">
        <f>'Assets-Liab 5-6'!N21</f>
        <v>1702018</v>
      </c>
      <c r="D282" s="2" t="str">
        <f t="shared" si="3"/>
        <v>Error?</v>
      </c>
    </row>
    <row r="283" spans="1:4" x14ac:dyDescent="0.2">
      <c r="A283" s="5">
        <v>222</v>
      </c>
      <c r="B283" s="138">
        <f>'Assets-Liab 5-6'!N22</f>
        <v>46517563</v>
      </c>
      <c r="D283" s="2" t="str">
        <f t="shared" si="3"/>
        <v>Error?</v>
      </c>
    </row>
    <row r="284" spans="1:4" x14ac:dyDescent="0.2">
      <c r="A284" s="5">
        <v>223</v>
      </c>
      <c r="B284" s="138">
        <f>'Assets-Liab 5-6'!N23</f>
        <v>48219581</v>
      </c>
      <c r="C284" s="2" t="s">
        <v>593</v>
      </c>
      <c r="D284" s="2" t="str">
        <f t="shared" si="3"/>
        <v>Error?</v>
      </c>
    </row>
    <row r="285" spans="1:4" x14ac:dyDescent="0.2">
      <c r="A285" s="5">
        <v>224</v>
      </c>
      <c r="B285" s="138">
        <f>'Assets-Liab 5-6'!N36</f>
        <v>48219581</v>
      </c>
      <c r="D285" s="2" t="str">
        <f t="shared" si="3"/>
        <v>Error?</v>
      </c>
    </row>
    <row r="286" spans="1:4" x14ac:dyDescent="0.2">
      <c r="A286" s="10">
        <v>225</v>
      </c>
      <c r="D286" s="2" t="str">
        <f t="shared" si="3"/>
        <v>OK</v>
      </c>
    </row>
    <row r="287" spans="1:4" x14ac:dyDescent="0.2">
      <c r="A287" s="5">
        <v>226</v>
      </c>
      <c r="B287" s="138">
        <f>'Assets-Liab 5-6'!N37</f>
        <v>48219581</v>
      </c>
      <c r="C287" s="2" t="s">
        <v>593</v>
      </c>
      <c r="D287" s="2" t="str">
        <f t="shared" si="3"/>
        <v>Error?</v>
      </c>
    </row>
    <row r="288" spans="1:4" x14ac:dyDescent="0.2">
      <c r="A288" s="5">
        <v>227</v>
      </c>
      <c r="B288" s="138">
        <f>'Assets-Liab 5-6'!N41</f>
        <v>48219581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46012654</v>
      </c>
      <c r="D705" s="2" t="str">
        <f t="shared" si="10"/>
        <v>Error?</v>
      </c>
    </row>
    <row r="706" spans="1:4" x14ac:dyDescent="0.2">
      <c r="A706" s="5">
        <v>645</v>
      </c>
      <c r="B706" s="138">
        <f>'Expenditures 15-22'!C16</f>
        <v>4061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9880432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325</v>
      </c>
      <c r="D717" s="2" t="str">
        <f t="shared" si="10"/>
        <v>Error?</v>
      </c>
    </row>
    <row r="718" spans="1:4" x14ac:dyDescent="0.2">
      <c r="A718" s="5">
        <v>657</v>
      </c>
      <c r="B718" s="138">
        <f>'Expenditures 15-22'!C14</f>
        <v>1234909</v>
      </c>
      <c r="D718" s="2" t="str">
        <f t="shared" si="10"/>
        <v>Error?</v>
      </c>
    </row>
    <row r="719" spans="1:4" x14ac:dyDescent="0.2">
      <c r="A719" s="5">
        <v>658</v>
      </c>
      <c r="B719" s="138">
        <f>'Expenditures 15-22'!C15</f>
        <v>46747</v>
      </c>
      <c r="D719" s="2" t="str">
        <f t="shared" si="10"/>
        <v>Error?</v>
      </c>
    </row>
    <row r="720" spans="1:4" x14ac:dyDescent="0.2">
      <c r="A720" s="5">
        <v>659</v>
      </c>
      <c r="B720" s="138">
        <f>'Expenditures 15-22'!C33</f>
        <v>79406424</v>
      </c>
      <c r="C720" s="2" t="s">
        <v>593</v>
      </c>
      <c r="D720" s="2" t="str">
        <f t="shared" si="10"/>
        <v>Error?</v>
      </c>
    </row>
    <row r="721" spans="1:4" x14ac:dyDescent="0.2">
      <c r="A721" s="5">
        <v>660</v>
      </c>
      <c r="B721" s="138">
        <f>'Expenditures 15-22'!C36</f>
        <v>4272918</v>
      </c>
      <c r="D721" s="2" t="str">
        <f t="shared" si="10"/>
        <v>Error?</v>
      </c>
    </row>
    <row r="722" spans="1:4" x14ac:dyDescent="0.2">
      <c r="A722" s="5">
        <v>661</v>
      </c>
      <c r="B722" s="138">
        <f>'Expenditures 15-22'!C37</f>
        <v>2602924</v>
      </c>
      <c r="D722" s="2" t="str">
        <f t="shared" si="10"/>
        <v>Error?</v>
      </c>
    </row>
    <row r="723" spans="1:4" x14ac:dyDescent="0.2">
      <c r="A723" s="5">
        <v>662</v>
      </c>
      <c r="B723" s="138">
        <f>'Expenditures 15-22'!C38</f>
        <v>2965793</v>
      </c>
      <c r="D723" s="2" t="str">
        <f t="shared" si="10"/>
        <v>Error?</v>
      </c>
    </row>
    <row r="724" spans="1:4" x14ac:dyDescent="0.2">
      <c r="A724" s="5">
        <v>663</v>
      </c>
      <c r="B724" s="138">
        <f>'Expenditures 15-22'!C39</f>
        <v>1577361</v>
      </c>
      <c r="D724" s="2" t="str">
        <f t="shared" si="10"/>
        <v>Error?</v>
      </c>
    </row>
    <row r="725" spans="1:4" x14ac:dyDescent="0.2">
      <c r="A725" s="5">
        <v>664</v>
      </c>
      <c r="B725" s="138">
        <f>'Expenditures 15-22'!C40</f>
        <v>1910146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13329142</v>
      </c>
      <c r="C727" s="2" t="s">
        <v>593</v>
      </c>
      <c r="D727" s="2" t="str">
        <f t="shared" si="10"/>
        <v>Error?</v>
      </c>
    </row>
    <row r="728" spans="1:4" x14ac:dyDescent="0.2">
      <c r="A728" s="5">
        <v>667</v>
      </c>
      <c r="B728" s="138">
        <f>'Expenditures 15-22'!C44</f>
        <v>5169903</v>
      </c>
      <c r="D728" s="2" t="str">
        <f t="shared" si="10"/>
        <v>Error?</v>
      </c>
    </row>
    <row r="729" spans="1:4" x14ac:dyDescent="0.2">
      <c r="A729" s="5">
        <v>668</v>
      </c>
      <c r="B729" s="138">
        <f>'Expenditures 15-22'!C45</f>
        <v>887565</v>
      </c>
      <c r="D729" s="2" t="str">
        <f t="shared" si="10"/>
        <v>Error?</v>
      </c>
    </row>
    <row r="730" spans="1:4" x14ac:dyDescent="0.2">
      <c r="A730" s="5">
        <v>669</v>
      </c>
      <c r="B730" s="138">
        <f>'Expenditures 15-22'!C46</f>
        <v>233672</v>
      </c>
      <c r="D730" s="2" t="str">
        <f t="shared" si="10"/>
        <v>Error?</v>
      </c>
    </row>
    <row r="731" spans="1:4" x14ac:dyDescent="0.2">
      <c r="A731" s="5">
        <v>670</v>
      </c>
      <c r="B731" s="138">
        <f>'Expenditures 15-22'!C47</f>
        <v>6291140</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308385</v>
      </c>
      <c r="D733" s="2" t="str">
        <f t="shared" si="10"/>
        <v>Error?</v>
      </c>
    </row>
    <row r="734" spans="1:4" x14ac:dyDescent="0.2">
      <c r="A734" s="5">
        <v>673</v>
      </c>
      <c r="B734" s="138">
        <f>'Expenditures 15-22'!C53</f>
        <v>515642</v>
      </c>
      <c r="C734" s="2" t="s">
        <v>593</v>
      </c>
      <c r="D734" s="2" t="str">
        <f t="shared" si="10"/>
        <v>Error?</v>
      </c>
    </row>
    <row r="735" spans="1:4" x14ac:dyDescent="0.2">
      <c r="A735" s="5">
        <v>674</v>
      </c>
      <c r="B735" s="138">
        <f>'Expenditures 15-22'!C55</f>
        <v>5830127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5830127</v>
      </c>
      <c r="C737" s="2" t="s">
        <v>593</v>
      </c>
      <c r="D737" s="2" t="str">
        <f t="shared" si="10"/>
        <v>Error?</v>
      </c>
    </row>
    <row r="738" spans="1:4" x14ac:dyDescent="0.2">
      <c r="A738" s="5">
        <v>677</v>
      </c>
      <c r="B738" s="138">
        <f>'Expenditures 15-22'!C59</f>
        <v>319390</v>
      </c>
      <c r="D738" s="2" t="str">
        <f t="shared" si="10"/>
        <v>Error?</v>
      </c>
    </row>
    <row r="739" spans="1:4" x14ac:dyDescent="0.2">
      <c r="A739" s="5">
        <v>678</v>
      </c>
      <c r="B739" s="138">
        <f>'Expenditures 15-22'!C60</f>
        <v>1224541</v>
      </c>
      <c r="D739" s="2" t="str">
        <f t="shared" si="10"/>
        <v>Error?</v>
      </c>
    </row>
    <row r="740" spans="1:4" x14ac:dyDescent="0.2">
      <c r="A740" s="5">
        <v>679</v>
      </c>
      <c r="B740" s="138">
        <f>'Expenditures 15-22'!C61</f>
        <v>4900124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333019</v>
      </c>
      <c r="D742" s="2" t="str">
        <f t="shared" si="10"/>
        <v>Error?</v>
      </c>
    </row>
    <row r="743" spans="1:4" x14ac:dyDescent="0.2">
      <c r="A743" s="5">
        <v>682</v>
      </c>
      <c r="B743" s="138">
        <f>'Expenditures 15-22'!C64</f>
        <v>390368</v>
      </c>
      <c r="D743" s="2" t="str">
        <f t="shared" si="10"/>
        <v>Error?</v>
      </c>
    </row>
    <row r="744" spans="1:4" x14ac:dyDescent="0.2">
      <c r="A744" s="10">
        <v>683</v>
      </c>
      <c r="D744" s="2" t="str">
        <f t="shared" si="10"/>
        <v>OK</v>
      </c>
    </row>
    <row r="745" spans="1:4" x14ac:dyDescent="0.2">
      <c r="A745" s="5">
        <v>684</v>
      </c>
      <c r="B745" s="138">
        <f>'Expenditures 15-22'!C65</f>
        <v>7167442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184823</v>
      </c>
      <c r="D748" s="2" t="str">
        <f t="shared" si="10"/>
        <v>Error?</v>
      </c>
    </row>
    <row r="749" spans="1:4" x14ac:dyDescent="0.2">
      <c r="A749" s="5">
        <v>688</v>
      </c>
      <c r="B749" s="138">
        <f>'Expenditures 15-22'!C70</f>
        <v>574895</v>
      </c>
      <c r="D749" s="2" t="str">
        <f t="shared" si="10"/>
        <v>Error?</v>
      </c>
    </row>
    <row r="750" spans="1:4" x14ac:dyDescent="0.2">
      <c r="A750" s="10">
        <v>689</v>
      </c>
      <c r="D750" s="2" t="str">
        <f t="shared" si="10"/>
        <v>OK</v>
      </c>
    </row>
    <row r="751" spans="1:4" x14ac:dyDescent="0.2">
      <c r="A751" s="5">
        <v>690</v>
      </c>
      <c r="B751" s="138">
        <f>'Expenditures 15-22'!C71</f>
        <v>1485383</v>
      </c>
      <c r="D751" s="2" t="str">
        <f t="shared" si="10"/>
        <v>Error?</v>
      </c>
    </row>
    <row r="752" spans="1:4" x14ac:dyDescent="0.2">
      <c r="A752" s="10">
        <v>691</v>
      </c>
      <c r="D752" s="2" t="str">
        <f t="shared" si="10"/>
        <v>OK</v>
      </c>
    </row>
    <row r="753" spans="1:4" x14ac:dyDescent="0.2">
      <c r="A753" s="5">
        <v>692</v>
      </c>
      <c r="B753" s="138">
        <f>'Expenditures 15-22'!C72</f>
        <v>2245101</v>
      </c>
      <c r="C753" s="2" t="s">
        <v>593</v>
      </c>
      <c r="D753" s="2" t="str">
        <f t="shared" si="10"/>
        <v>Error?</v>
      </c>
    </row>
    <row r="754" spans="1:4" x14ac:dyDescent="0.2">
      <c r="A754" s="5">
        <v>693</v>
      </c>
      <c r="B754" s="138">
        <f>'Expenditures 15-22'!C73</f>
        <v>489955</v>
      </c>
      <c r="D754" s="2" t="str">
        <f t="shared" si="10"/>
        <v>Error?</v>
      </c>
    </row>
    <row r="755" spans="1:4" x14ac:dyDescent="0.2">
      <c r="A755" s="5">
        <v>694</v>
      </c>
      <c r="B755" s="138">
        <f>'Expenditures 15-22'!C74</f>
        <v>35868549</v>
      </c>
      <c r="C755" s="2" t="s">
        <v>593</v>
      </c>
      <c r="D755" s="2" t="str">
        <f t="shared" si="10"/>
        <v>Error?</v>
      </c>
    </row>
    <row r="756" spans="1:4" x14ac:dyDescent="0.2">
      <c r="A756" s="5">
        <v>695</v>
      </c>
      <c r="B756" s="138">
        <f>'Expenditures 15-22'!C75</f>
        <v>617969</v>
      </c>
      <c r="D756" s="2" t="str">
        <f t="shared" si="10"/>
        <v>Error?</v>
      </c>
    </row>
    <row r="757" spans="1:4" x14ac:dyDescent="0.2">
      <c r="A757" s="5">
        <v>696</v>
      </c>
      <c r="B757" s="138">
        <f>'Expenditures 15-22'!C114</f>
        <v>115892942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7038125</v>
      </c>
      <c r="D763" s="2" t="str">
        <f t="shared" si="10"/>
        <v>Error?</v>
      </c>
    </row>
    <row r="764" spans="1:4" x14ac:dyDescent="0.2">
      <c r="A764" s="5">
        <v>703</v>
      </c>
      <c r="B764" s="138">
        <f>'Expenditures 15-22'!D16</f>
        <v>128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1462855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v>
      </c>
      <c r="D775" s="2" t="str">
        <f t="shared" si="11"/>
        <v>Error?</v>
      </c>
    </row>
    <row r="776" spans="1:4" x14ac:dyDescent="0.2">
      <c r="A776" s="5">
        <v>715</v>
      </c>
      <c r="B776" s="138">
        <f>'Expenditures 15-22'!D14</f>
        <v>49045</v>
      </c>
      <c r="D776" s="2" t="str">
        <f t="shared" si="11"/>
        <v>Error?</v>
      </c>
    </row>
    <row r="777" spans="1:4" x14ac:dyDescent="0.2">
      <c r="A777" s="5">
        <v>716</v>
      </c>
      <c r="B777" s="138">
        <f>'Expenditures 15-22'!D15</f>
        <v>870</v>
      </c>
      <c r="D777" s="2" t="str">
        <f t="shared" si="11"/>
        <v>Error?</v>
      </c>
    </row>
    <row r="778" spans="1:4" x14ac:dyDescent="0.2">
      <c r="A778" s="5">
        <v>717</v>
      </c>
      <c r="B778" s="138">
        <f>'Expenditures 15-22'!D33</f>
        <v>12571621</v>
      </c>
      <c r="C778" s="2" t="s">
        <v>593</v>
      </c>
      <c r="D778" s="2" t="str">
        <f t="shared" si="11"/>
        <v>Error?</v>
      </c>
    </row>
    <row r="779" spans="1:4" x14ac:dyDescent="0.2">
      <c r="A779" s="5">
        <v>718</v>
      </c>
      <c r="B779" s="138">
        <f>'Expenditures 15-22'!D36</f>
        <v>817946</v>
      </c>
      <c r="D779" s="2" t="str">
        <f t="shared" si="11"/>
        <v>Error?</v>
      </c>
    </row>
    <row r="780" spans="1:4" x14ac:dyDescent="0.2">
      <c r="A780" s="5">
        <v>719</v>
      </c>
      <c r="B780" s="138">
        <f>'Expenditures 15-22'!D37</f>
        <v>445760</v>
      </c>
      <c r="D780" s="2" t="str">
        <f t="shared" si="11"/>
        <v>Error?</v>
      </c>
    </row>
    <row r="781" spans="1:4" x14ac:dyDescent="0.2">
      <c r="A781" s="5">
        <v>720</v>
      </c>
      <c r="B781" s="138">
        <f>'Expenditures 15-22'!D38</f>
        <v>362332</v>
      </c>
      <c r="D781" s="2" t="str">
        <f t="shared" si="11"/>
        <v>Error?</v>
      </c>
    </row>
    <row r="782" spans="1:4" x14ac:dyDescent="0.2">
      <c r="A782" s="5">
        <v>721</v>
      </c>
      <c r="B782" s="138">
        <f>'Expenditures 15-22'!D39</f>
        <v>247725</v>
      </c>
      <c r="D782" s="2" t="str">
        <f t="shared" si="11"/>
        <v>Error?</v>
      </c>
    </row>
    <row r="783" spans="1:4" x14ac:dyDescent="0.2">
      <c r="A783" s="5">
        <v>722</v>
      </c>
      <c r="B783" s="138">
        <f>'Expenditures 15-22'!D40</f>
        <v>212283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2086046</v>
      </c>
      <c r="C785" s="2" t="s">
        <v>593</v>
      </c>
      <c r="D785" s="2" t="str">
        <f t="shared" si="11"/>
        <v>Error?</v>
      </c>
    </row>
    <row r="786" spans="1:4" x14ac:dyDescent="0.2">
      <c r="A786" s="5">
        <v>725</v>
      </c>
      <c r="B786" s="138">
        <f>'Expenditures 15-22'!D44</f>
        <v>729364</v>
      </c>
      <c r="D786" s="2" t="str">
        <f t="shared" si="11"/>
        <v>Error?</v>
      </c>
    </row>
    <row r="787" spans="1:4" x14ac:dyDescent="0.2">
      <c r="A787" s="5">
        <v>726</v>
      </c>
      <c r="B787" s="138">
        <f>'Expenditures 15-22'!D45</f>
        <v>188577</v>
      </c>
      <c r="D787" s="2" t="str">
        <f t="shared" si="11"/>
        <v>Error?</v>
      </c>
    </row>
    <row r="788" spans="1:4" x14ac:dyDescent="0.2">
      <c r="A788" s="5">
        <v>727</v>
      </c>
      <c r="B788" s="138">
        <f>'Expenditures 15-22'!D46</f>
        <v>24300</v>
      </c>
      <c r="D788" s="2" t="str">
        <f t="shared" si="11"/>
        <v>Error?</v>
      </c>
    </row>
    <row r="789" spans="1:4" x14ac:dyDescent="0.2">
      <c r="A789" s="5">
        <v>728</v>
      </c>
      <c r="B789" s="138">
        <f>'Expenditures 15-22'!D47</f>
        <v>942241</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26267</v>
      </c>
      <c r="D791" s="2" t="str">
        <f t="shared" si="11"/>
        <v>Error?</v>
      </c>
    </row>
    <row r="792" spans="1:4" x14ac:dyDescent="0.2">
      <c r="A792" s="5">
        <v>731</v>
      </c>
      <c r="B792" s="138">
        <f>'Expenditures 15-22'!D53</f>
        <v>36805</v>
      </c>
      <c r="C792" s="2" t="s">
        <v>593</v>
      </c>
      <c r="D792" s="2" t="str">
        <f t="shared" si="11"/>
        <v>Error?</v>
      </c>
    </row>
    <row r="793" spans="1:4" x14ac:dyDescent="0.2">
      <c r="A793" s="5">
        <v>732</v>
      </c>
      <c r="B793" s="138">
        <f>'Expenditures 15-22'!D55</f>
        <v>900660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900660</v>
      </c>
      <c r="C795" s="2" t="s">
        <v>593</v>
      </c>
      <c r="D795" s="2" t="str">
        <f t="shared" si="11"/>
        <v>Error?</v>
      </c>
    </row>
    <row r="796" spans="1:4" x14ac:dyDescent="0.2">
      <c r="A796" s="5">
        <v>735</v>
      </c>
      <c r="B796" s="138">
        <f>'Expenditures 15-22'!D59</f>
        <v>26991</v>
      </c>
      <c r="D796" s="2" t="str">
        <f t="shared" si="11"/>
        <v>Error?</v>
      </c>
    </row>
    <row r="797" spans="1:4" x14ac:dyDescent="0.2">
      <c r="A797" s="5">
        <v>736</v>
      </c>
      <c r="B797" s="138">
        <f>'Expenditures 15-22'!D60</f>
        <v>149555</v>
      </c>
      <c r="D797" s="2" t="str">
        <f t="shared" si="11"/>
        <v>Error?</v>
      </c>
    </row>
    <row r="798" spans="1:4" x14ac:dyDescent="0.2">
      <c r="A798" s="5">
        <v>737</v>
      </c>
      <c r="B798" s="138">
        <f>'Expenditures 15-22'!D61</f>
        <v>717543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78516</v>
      </c>
      <c r="D800" s="2" t="str">
        <f t="shared" si="11"/>
        <v>Error?</v>
      </c>
    </row>
    <row r="801" spans="1:4" x14ac:dyDescent="0.2">
      <c r="A801" s="5">
        <v>740</v>
      </c>
      <c r="B801" s="138">
        <f>'Expenditures 15-22'!D64</f>
        <v>58846</v>
      </c>
      <c r="D801" s="2" t="str">
        <f t="shared" si="11"/>
        <v>Error?</v>
      </c>
    </row>
    <row r="802" spans="1:4" x14ac:dyDescent="0.2">
      <c r="A802" s="10">
        <v>741</v>
      </c>
      <c r="D802" s="2" t="str">
        <f t="shared" si="11"/>
        <v>OK</v>
      </c>
    </row>
    <row r="803" spans="1:4" x14ac:dyDescent="0.2">
      <c r="A803" s="5">
        <v>742</v>
      </c>
      <c r="B803" s="138">
        <f>'Expenditures 15-22'!D65</f>
        <v>1031451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25970</v>
      </c>
      <c r="D806" s="2" t="str">
        <f t="shared" si="11"/>
        <v>Error?</v>
      </c>
    </row>
    <row r="807" spans="1:4" x14ac:dyDescent="0.2">
      <c r="A807" s="5">
        <v>746</v>
      </c>
      <c r="B807" s="138">
        <f>'Expenditures 15-22'!D70</f>
        <v>151037</v>
      </c>
      <c r="D807" s="2" t="str">
        <f t="shared" si="11"/>
        <v>Error?</v>
      </c>
    </row>
    <row r="808" spans="1:4" x14ac:dyDescent="0.2">
      <c r="A808" s="10">
        <v>747</v>
      </c>
      <c r="D808" s="2" t="str">
        <f t="shared" si="11"/>
        <v>OK</v>
      </c>
    </row>
    <row r="809" spans="1:4" x14ac:dyDescent="0.2">
      <c r="A809" s="5">
        <v>748</v>
      </c>
      <c r="B809" s="138">
        <f>'Expenditures 15-22'!D71</f>
        <v>216623</v>
      </c>
      <c r="D809" s="2" t="str">
        <f t="shared" si="11"/>
        <v>Error?</v>
      </c>
    </row>
    <row r="810" spans="1:4" x14ac:dyDescent="0.2">
      <c r="A810" s="10">
        <v>749</v>
      </c>
      <c r="D810" s="2" t="str">
        <f t="shared" si="11"/>
        <v>OK</v>
      </c>
    </row>
    <row r="811" spans="1:4" x14ac:dyDescent="0.2">
      <c r="A811" s="5">
        <v>750</v>
      </c>
      <c r="B811" s="138">
        <f>'Expenditures 15-22'!D72</f>
        <v>393630</v>
      </c>
      <c r="C811" s="2" t="s">
        <v>593</v>
      </c>
      <c r="D811" s="2" t="str">
        <f t="shared" si="11"/>
        <v>Error?</v>
      </c>
    </row>
    <row r="812" spans="1:4" x14ac:dyDescent="0.2">
      <c r="A812" s="5">
        <v>751</v>
      </c>
      <c r="B812" s="138">
        <f>'Expenditures 15-22'!D73</f>
        <v>83462</v>
      </c>
      <c r="D812" s="2" t="str">
        <f t="shared" si="11"/>
        <v>Error?</v>
      </c>
    </row>
    <row r="813" spans="1:4" x14ac:dyDescent="0.2">
      <c r="A813" s="5">
        <v>752</v>
      </c>
      <c r="B813" s="138">
        <f>'Expenditures 15-22'!D74</f>
        <v>5474295</v>
      </c>
      <c r="C813" s="2" t="s">
        <v>593</v>
      </c>
      <c r="D813" s="2" t="str">
        <f t="shared" si="11"/>
        <v>Error?</v>
      </c>
    </row>
    <row r="814" spans="1:4" x14ac:dyDescent="0.2">
      <c r="A814" s="5">
        <v>753</v>
      </c>
      <c r="B814" s="138">
        <f>'Expenditures 15-22'!D75</f>
        <v>101875</v>
      </c>
      <c r="D814" s="2" t="str">
        <f t="shared" si="11"/>
        <v>Error?</v>
      </c>
    </row>
    <row r="815" spans="1:4" x14ac:dyDescent="0.2">
      <c r="A815" s="5">
        <v>754</v>
      </c>
      <c r="B815" s="138">
        <f>'Expenditures 15-22'!D114</f>
        <v>18147791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1093787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15421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18715</v>
      </c>
      <c r="D833" s="2" t="str">
        <f t="shared" si="12"/>
        <v>Error?</v>
      </c>
    </row>
    <row r="834" spans="1:4" x14ac:dyDescent="0.2">
      <c r="A834" s="5">
        <v>773</v>
      </c>
      <c r="B834" s="138">
        <f>'Expenditures 15-22'!E14</f>
        <v>290138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2951559</v>
      </c>
      <c r="C836" s="2" t="s">
        <v>593</v>
      </c>
      <c r="D836" s="2" t="str">
        <f t="shared" si="12"/>
        <v>Error?</v>
      </c>
    </row>
    <row r="837" spans="1:4" x14ac:dyDescent="0.2">
      <c r="A837" s="5">
        <v>776</v>
      </c>
      <c r="B837" s="138">
        <f>'Expenditures 15-22'!E36</f>
        <v>247243</v>
      </c>
      <c r="D837" s="2" t="str">
        <f t="shared" si="12"/>
        <v>Error?</v>
      </c>
    </row>
    <row r="838" spans="1:4" x14ac:dyDescent="0.2">
      <c r="A838" s="5">
        <v>777</v>
      </c>
      <c r="B838" s="138">
        <f>'Expenditures 15-22'!E37</f>
        <v>61290</v>
      </c>
      <c r="D838" s="2" t="str">
        <f t="shared" si="12"/>
        <v>Error?</v>
      </c>
    </row>
    <row r="839" spans="1:4" x14ac:dyDescent="0.2">
      <c r="A839" s="5">
        <v>778</v>
      </c>
      <c r="B839" s="138">
        <f>'Expenditures 15-22'!E38</f>
        <v>364495</v>
      </c>
      <c r="D839" s="2" t="str">
        <f t="shared" si="12"/>
        <v>Error?</v>
      </c>
    </row>
    <row r="840" spans="1:4" x14ac:dyDescent="0.2">
      <c r="A840" s="5">
        <v>779</v>
      </c>
      <c r="B840" s="138">
        <f>'Expenditures 15-22'!E39</f>
        <v>320910</v>
      </c>
      <c r="D840" s="2" t="str">
        <f t="shared" si="12"/>
        <v>Error?</v>
      </c>
    </row>
    <row r="841" spans="1:4" x14ac:dyDescent="0.2">
      <c r="A841" s="5">
        <v>780</v>
      </c>
      <c r="B841" s="138">
        <f>'Expenditures 15-22'!E40</f>
        <v>1357247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2351185</v>
      </c>
      <c r="C843" s="2" t="s">
        <v>593</v>
      </c>
      <c r="D843" s="2" t="str">
        <f t="shared" si="12"/>
        <v>Error?</v>
      </c>
    </row>
    <row r="844" spans="1:4" x14ac:dyDescent="0.2">
      <c r="A844" s="5">
        <v>783</v>
      </c>
      <c r="B844" s="138">
        <f>'Expenditures 15-22'!E44</f>
        <v>1932381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455135</v>
      </c>
      <c r="D846" s="2" t="str">
        <f t="shared" si="12"/>
        <v>Error?</v>
      </c>
    </row>
    <row r="847" spans="1:4" x14ac:dyDescent="0.2">
      <c r="A847" s="5">
        <v>786</v>
      </c>
      <c r="B847" s="138">
        <f>'Expenditures 15-22'!E47</f>
        <v>2387516</v>
      </c>
      <c r="C847" s="2" t="s">
        <v>593</v>
      </c>
      <c r="D847" s="2" t="str">
        <f t="shared" si="12"/>
        <v>Error?</v>
      </c>
    </row>
    <row r="848" spans="1:4" x14ac:dyDescent="0.2">
      <c r="A848" s="5">
        <v>787</v>
      </c>
      <c r="B848" s="138">
        <f>'Expenditures 15-22'!E49</f>
        <v>154172</v>
      </c>
      <c r="D848" s="2" t="str">
        <f t="shared" si="12"/>
        <v>Error?</v>
      </c>
    </row>
    <row r="849" spans="1:4" x14ac:dyDescent="0.2">
      <c r="A849" s="5">
        <v>788</v>
      </c>
      <c r="B849" s="138">
        <f>'Expenditures 15-22'!E50</f>
        <v>76857</v>
      </c>
      <c r="D849" s="2" t="str">
        <f t="shared" si="12"/>
        <v>Error?</v>
      </c>
    </row>
    <row r="850" spans="1:4" x14ac:dyDescent="0.2">
      <c r="A850" s="5">
        <v>789</v>
      </c>
      <c r="B850" s="138">
        <f>'Expenditures 15-22'!E53</f>
        <v>245757</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408</v>
      </c>
      <c r="D854" s="2" t="str">
        <f t="shared" si="12"/>
        <v>Error?</v>
      </c>
    </row>
    <row r="855" spans="1:4" x14ac:dyDescent="0.2">
      <c r="A855" s="5">
        <v>794</v>
      </c>
      <c r="B855" s="138">
        <f>'Expenditures 15-22'!E60</f>
        <v>149901</v>
      </c>
      <c r="D855" s="2" t="str">
        <f t="shared" si="12"/>
        <v>Error?</v>
      </c>
    </row>
    <row r="856" spans="1:4" x14ac:dyDescent="0.2">
      <c r="A856" s="5">
        <v>795</v>
      </c>
      <c r="B856" s="138">
        <f>'Expenditures 15-22'!E61</f>
        <v>27629</v>
      </c>
      <c r="D856" s="2" t="str">
        <f t="shared" si="12"/>
        <v>Error?</v>
      </c>
    </row>
    <row r="857" spans="1:4" x14ac:dyDescent="0.2">
      <c r="A857" s="5">
        <v>796</v>
      </c>
      <c r="B857" s="138">
        <f>'Expenditures 15-22'!E62</f>
        <v>919375</v>
      </c>
      <c r="D857" s="2" t="str">
        <f t="shared" si="12"/>
        <v>Error?</v>
      </c>
    </row>
    <row r="858" spans="1:4" x14ac:dyDescent="0.2">
      <c r="A858" s="5">
        <v>797</v>
      </c>
      <c r="B858" s="138">
        <f>'Expenditures 15-22'!E63</f>
        <v>6188390</v>
      </c>
      <c r="D858" s="2" t="str">
        <f t="shared" si="12"/>
        <v>Error?</v>
      </c>
    </row>
    <row r="859" spans="1:4" x14ac:dyDescent="0.2">
      <c r="A859" s="5">
        <v>798</v>
      </c>
      <c r="B859" s="138">
        <f>'Expenditures 15-22'!E64</f>
        <v>5971</v>
      </c>
      <c r="D859" s="2" t="str">
        <f t="shared" si="12"/>
        <v>Error?</v>
      </c>
    </row>
    <row r="860" spans="1:4" x14ac:dyDescent="0.2">
      <c r="A860" s="10">
        <v>799</v>
      </c>
      <c r="D860" s="2" t="str">
        <f t="shared" si="12"/>
        <v>OK</v>
      </c>
    </row>
    <row r="861" spans="1:4" x14ac:dyDescent="0.2">
      <c r="A861" s="5">
        <v>800</v>
      </c>
      <c r="B861" s="138">
        <f>'Expenditures 15-22'!E65</f>
        <v>7291674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2574</v>
      </c>
      <c r="D863" s="2" t="str">
        <f t="shared" si="12"/>
        <v>Error?</v>
      </c>
    </row>
    <row r="864" spans="1:4" x14ac:dyDescent="0.2">
      <c r="A864" s="5">
        <v>803</v>
      </c>
      <c r="B864" s="138">
        <f>'Expenditures 15-22'!E69</f>
        <v>25</v>
      </c>
      <c r="D864" s="2" t="str">
        <f t="shared" si="12"/>
        <v>Error?</v>
      </c>
    </row>
    <row r="865" spans="1:4" x14ac:dyDescent="0.2">
      <c r="A865" s="5">
        <v>804</v>
      </c>
      <c r="B865" s="138">
        <f>'Expenditures 15-22'!E70</f>
        <v>146135</v>
      </c>
      <c r="D865" s="2" t="str">
        <f t="shared" si="12"/>
        <v>Error?</v>
      </c>
    </row>
    <row r="866" spans="1:4" x14ac:dyDescent="0.2">
      <c r="A866" s="10">
        <v>805</v>
      </c>
      <c r="D866" s="2" t="str">
        <f t="shared" si="12"/>
        <v>OK</v>
      </c>
    </row>
    <row r="867" spans="1:4" x14ac:dyDescent="0.2">
      <c r="A867" s="5">
        <v>806</v>
      </c>
      <c r="B867" s="138">
        <f>'Expenditures 15-22'!E71</f>
        <v>2892800</v>
      </c>
      <c r="D867" s="2" t="str">
        <f t="shared" si="12"/>
        <v>Error?</v>
      </c>
    </row>
    <row r="868" spans="1:4" x14ac:dyDescent="0.2">
      <c r="A868" s="10">
        <v>807</v>
      </c>
      <c r="D868" s="2" t="str">
        <f t="shared" si="12"/>
        <v>OK</v>
      </c>
    </row>
    <row r="869" spans="1:4" x14ac:dyDescent="0.2">
      <c r="A869" s="5">
        <v>808</v>
      </c>
      <c r="B869" s="138">
        <f>'Expenditures 15-22'!E72</f>
        <v>3041534</v>
      </c>
      <c r="C869" s="2" t="s">
        <v>593</v>
      </c>
      <c r="D869" s="2" t="str">
        <f t="shared" si="12"/>
        <v>Error?</v>
      </c>
    </row>
    <row r="870" spans="1:4" x14ac:dyDescent="0.2">
      <c r="A870" s="5">
        <v>809</v>
      </c>
      <c r="B870" s="138">
        <f>'Expenditures 15-22'!E73</f>
        <v>173224</v>
      </c>
      <c r="D870" s="2" t="str">
        <f t="shared" si="12"/>
        <v>Error?</v>
      </c>
    </row>
    <row r="871" spans="1:4" x14ac:dyDescent="0.2">
      <c r="A871" s="5">
        <v>810</v>
      </c>
      <c r="B871" s="138">
        <f>'Expenditures 15-22'!E74</f>
        <v>15490890</v>
      </c>
      <c r="C871" s="2" t="s">
        <v>593</v>
      </c>
      <c r="D871" s="2" t="str">
        <f t="shared" si="12"/>
        <v>Error?</v>
      </c>
    </row>
    <row r="872" spans="1:4" x14ac:dyDescent="0.2">
      <c r="A872" s="5">
        <v>811</v>
      </c>
      <c r="B872" s="138">
        <f>'Expenditures 15-22'!E75</f>
        <v>174703</v>
      </c>
      <c r="D872" s="2" t="str">
        <f t="shared" si="12"/>
        <v>Error?</v>
      </c>
    </row>
    <row r="873" spans="1:4" x14ac:dyDescent="0.2">
      <c r="A873" s="5">
        <v>812</v>
      </c>
      <c r="B873" s="138">
        <f>'Expenditures 15-22'!E114</f>
        <v>18618467</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974089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78684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56282</v>
      </c>
      <c r="D891" s="2" t="str">
        <f t="shared" si="12"/>
        <v>Error?</v>
      </c>
    </row>
    <row r="892" spans="1:4" x14ac:dyDescent="0.2">
      <c r="A892" s="5">
        <v>831</v>
      </c>
      <c r="B892" s="138">
        <f>'Expenditures 15-22'!F14</f>
        <v>190234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4009984</v>
      </c>
      <c r="C894" s="2" t="s">
        <v>593</v>
      </c>
      <c r="D894" s="2" t="str">
        <f t="shared" si="12"/>
        <v>Error?</v>
      </c>
    </row>
    <row r="895" spans="1:4" x14ac:dyDescent="0.2">
      <c r="A895" s="5">
        <v>834</v>
      </c>
      <c r="B895" s="138">
        <f>'Expenditures 15-22'!F36</f>
        <v>31356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81568</v>
      </c>
      <c r="D897" s="2" t="str">
        <f t="shared" si="13"/>
        <v>Error?</v>
      </c>
    </row>
    <row r="898" spans="1:4" x14ac:dyDescent="0.2">
      <c r="A898" s="5">
        <v>837</v>
      </c>
      <c r="B898" s="138">
        <f>'Expenditures 15-22'!F39</f>
        <v>21850</v>
      </c>
      <c r="D898" s="2" t="str">
        <f t="shared" si="13"/>
        <v>Error?</v>
      </c>
    </row>
    <row r="899" spans="1:4" x14ac:dyDescent="0.2">
      <c r="A899" s="5">
        <v>838</v>
      </c>
      <c r="B899" s="138">
        <f>'Expenditures 15-22'!F40</f>
        <v>16098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150872</v>
      </c>
      <c r="C901" s="2" t="s">
        <v>593</v>
      </c>
      <c r="D901" s="2" t="str">
        <f t="shared" si="13"/>
        <v>Error?</v>
      </c>
    </row>
    <row r="902" spans="1:4" x14ac:dyDescent="0.2">
      <c r="A902" s="5">
        <v>841</v>
      </c>
      <c r="B902" s="138">
        <f>'Expenditures 15-22'!F44</f>
        <v>487269</v>
      </c>
      <c r="D902" s="2" t="str">
        <f t="shared" si="13"/>
        <v>Error?</v>
      </c>
    </row>
    <row r="903" spans="1:4" x14ac:dyDescent="0.2">
      <c r="A903" s="5">
        <v>842</v>
      </c>
      <c r="B903" s="138">
        <f>'Expenditures 15-22'!F45</f>
        <v>13203</v>
      </c>
      <c r="D903" s="2" t="str">
        <f t="shared" si="13"/>
        <v>Error?</v>
      </c>
    </row>
    <row r="904" spans="1:4" x14ac:dyDescent="0.2">
      <c r="A904" s="5">
        <v>843</v>
      </c>
      <c r="B904" s="138">
        <f>'Expenditures 15-22'!F46</f>
        <v>4401</v>
      </c>
      <c r="D904" s="2" t="str">
        <f t="shared" si="13"/>
        <v>Error?</v>
      </c>
    </row>
    <row r="905" spans="1:4" x14ac:dyDescent="0.2">
      <c r="A905" s="5">
        <v>844</v>
      </c>
      <c r="B905" s="138">
        <f>'Expenditures 15-22'!F47</f>
        <v>504873</v>
      </c>
      <c r="C905" s="2" t="s">
        <v>593</v>
      </c>
      <c r="D905" s="2" t="str">
        <f t="shared" si="13"/>
        <v>Error?</v>
      </c>
    </row>
    <row r="906" spans="1:4" x14ac:dyDescent="0.2">
      <c r="A906" s="5">
        <v>845</v>
      </c>
      <c r="B906" s="138">
        <f>'Expenditures 15-22'!F49</f>
        <v>7748</v>
      </c>
      <c r="D906" s="2" t="str">
        <f t="shared" si="13"/>
        <v>Error?</v>
      </c>
    </row>
    <row r="907" spans="1:4" x14ac:dyDescent="0.2">
      <c r="A907" s="5">
        <v>846</v>
      </c>
      <c r="B907" s="138">
        <f>'Expenditures 15-22'!F50</f>
        <v>28545</v>
      </c>
      <c r="D907" s="2" t="str">
        <f t="shared" si="13"/>
        <v>Error?</v>
      </c>
    </row>
    <row r="908" spans="1:4" x14ac:dyDescent="0.2">
      <c r="A908" s="5">
        <v>847</v>
      </c>
      <c r="B908" s="138">
        <f>'Expenditures 15-22'!F53</f>
        <v>37646</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15671</v>
      </c>
      <c r="D913" s="2" t="str">
        <f t="shared" si="13"/>
        <v>Error?</v>
      </c>
    </row>
    <row r="914" spans="1:4" x14ac:dyDescent="0.2">
      <c r="A914" s="5">
        <v>853</v>
      </c>
      <c r="B914" s="138">
        <f>'Expenditures 15-22'!F61</f>
        <v>35000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149986</v>
      </c>
      <c r="D916" s="2" t="str">
        <f t="shared" si="13"/>
        <v>Error?</v>
      </c>
    </row>
    <row r="917" spans="1:4" x14ac:dyDescent="0.2">
      <c r="A917" s="5">
        <v>856</v>
      </c>
      <c r="B917" s="138">
        <f>'Expenditures 15-22'!F64</f>
        <v>115209</v>
      </c>
      <c r="D917" s="2" t="str">
        <f t="shared" si="13"/>
        <v>Error?</v>
      </c>
    </row>
    <row r="918" spans="1:4" x14ac:dyDescent="0.2">
      <c r="A918" s="10">
        <v>857</v>
      </c>
      <c r="D918" s="2" t="str">
        <f t="shared" si="13"/>
        <v>OK</v>
      </c>
    </row>
    <row r="919" spans="1:4" x14ac:dyDescent="0.2">
      <c r="A919" s="5">
        <v>858</v>
      </c>
      <c r="B919" s="138">
        <f>'Expenditures 15-22'!F65</f>
        <v>315866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84</v>
      </c>
      <c r="D922" s="2" t="str">
        <f t="shared" si="13"/>
        <v>Error?</v>
      </c>
    </row>
    <row r="923" spans="1:4" x14ac:dyDescent="0.2">
      <c r="A923" s="5">
        <v>862</v>
      </c>
      <c r="B923" s="138">
        <f>'Expenditures 15-22'!F70</f>
        <v>5525</v>
      </c>
      <c r="D923" s="2" t="str">
        <f t="shared" si="13"/>
        <v>Error?</v>
      </c>
    </row>
    <row r="924" spans="1:4" x14ac:dyDescent="0.2">
      <c r="A924" s="10">
        <v>863</v>
      </c>
      <c r="D924" s="2" t="str">
        <f t="shared" si="13"/>
        <v>OK</v>
      </c>
    </row>
    <row r="925" spans="1:4" x14ac:dyDescent="0.2">
      <c r="A925" s="5">
        <v>864</v>
      </c>
      <c r="B925" s="138">
        <f>'Expenditures 15-22'!F71</f>
        <v>552792</v>
      </c>
      <c r="D925" s="2" t="str">
        <f t="shared" si="13"/>
        <v>Error?</v>
      </c>
    </row>
    <row r="926" spans="1:4" x14ac:dyDescent="0.2">
      <c r="A926" s="10">
        <v>865</v>
      </c>
      <c r="D926" s="2" t="str">
        <f t="shared" si="13"/>
        <v>OK</v>
      </c>
    </row>
    <row r="927" spans="1:4" x14ac:dyDescent="0.2">
      <c r="A927" s="5">
        <v>866</v>
      </c>
      <c r="B927" s="138">
        <f>'Expenditures 15-22'!F72</f>
        <v>558401</v>
      </c>
      <c r="C927" s="2" t="s">
        <v>593</v>
      </c>
      <c r="D927" s="2" t="str">
        <f t="shared" si="13"/>
        <v>Error?</v>
      </c>
    </row>
    <row r="928" spans="1:4" x14ac:dyDescent="0.2">
      <c r="A928" s="5">
        <v>867</v>
      </c>
      <c r="B928" s="138">
        <f>'Expenditures 15-22'!F73</f>
        <v>38163</v>
      </c>
      <c r="D928" s="2" t="str">
        <f t="shared" si="13"/>
        <v>Error?</v>
      </c>
    </row>
    <row r="929" spans="1:4" x14ac:dyDescent="0.2">
      <c r="A929" s="5">
        <v>868</v>
      </c>
      <c r="B929" s="138">
        <f>'Expenditures 15-22'!F74</f>
        <v>1605821</v>
      </c>
      <c r="C929" s="2" t="s">
        <v>593</v>
      </c>
      <c r="D929" s="2" t="str">
        <f t="shared" si="13"/>
        <v>Error?</v>
      </c>
    </row>
    <row r="930" spans="1:4" x14ac:dyDescent="0.2">
      <c r="A930" s="5">
        <v>869</v>
      </c>
      <c r="B930" s="138">
        <f>'Expenditures 15-22'!F75</f>
        <v>113386</v>
      </c>
      <c r="D930" s="2" t="str">
        <f t="shared" si="13"/>
        <v>Error?</v>
      </c>
    </row>
    <row r="931" spans="1:4" x14ac:dyDescent="0.2">
      <c r="A931" s="5">
        <v>870</v>
      </c>
      <c r="B931" s="138">
        <f>'Expenditures 15-22'!F114</f>
        <v>5729191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4968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10999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15967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11704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11704</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9889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9889</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176486</v>
      </c>
      <c r="D983" s="2" t="str">
        <f t="shared" si="14"/>
        <v>Error?</v>
      </c>
    </row>
    <row r="984" spans="1:4" x14ac:dyDescent="0.2">
      <c r="A984" s="10">
        <v>923</v>
      </c>
      <c r="D984" s="2" t="str">
        <f t="shared" si="14"/>
        <v>OK</v>
      </c>
    </row>
    <row r="985" spans="1:4" x14ac:dyDescent="0.2">
      <c r="A985" s="5">
        <v>924</v>
      </c>
      <c r="B985" s="138">
        <f>'Expenditures 15-22'!G72</f>
        <v>176486</v>
      </c>
      <c r="C985" s="2" t="s">
        <v>593</v>
      </c>
      <c r="D985" s="2" t="str">
        <f t="shared" si="14"/>
        <v>Error?</v>
      </c>
    </row>
    <row r="986" spans="1:4" x14ac:dyDescent="0.2">
      <c r="A986" s="5">
        <v>925</v>
      </c>
      <c r="B986" s="138">
        <f>'Expenditures 15-22'!G73</f>
        <v>51058</v>
      </c>
      <c r="D986" s="2" t="str">
        <f t="shared" si="14"/>
        <v>Error?</v>
      </c>
    </row>
    <row r="987" spans="1:4" x14ac:dyDescent="0.2">
      <c r="A987" s="5">
        <v>926</v>
      </c>
      <c r="B987" s="138">
        <f>'Expenditures 15-22'!G74</f>
        <v>249137</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265104</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7684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980</v>
      </c>
      <c r="D1008" s="2" t="str">
        <f t="shared" si="14"/>
        <v>Error?</v>
      </c>
    </row>
    <row r="1009" spans="1:4" x14ac:dyDescent="0.2">
      <c r="A1009" s="5">
        <v>948</v>
      </c>
      <c r="B1009" s="138">
        <f>'Expenditures 15-22'!H15</f>
        <v>600</v>
      </c>
      <c r="D1009" s="2" t="str">
        <f t="shared" si="14"/>
        <v>Error?</v>
      </c>
    </row>
    <row r="1010" spans="1:4" x14ac:dyDescent="0.2">
      <c r="A1010" s="5">
        <v>949</v>
      </c>
      <c r="B1010" s="138">
        <f>'Expenditures 15-22'!H33</f>
        <v>5876679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33271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33271</v>
      </c>
      <c r="C1021" s="2" t="s">
        <v>593</v>
      </c>
      <c r="D1021" s="2" t="str">
        <f t="shared" si="14"/>
        <v>Error?</v>
      </c>
    </row>
    <row r="1022" spans="1:4" x14ac:dyDescent="0.2">
      <c r="A1022" s="5">
        <v>961</v>
      </c>
      <c r="B1022" s="138">
        <f>'Expenditures 15-22'!H49</f>
        <v>468</v>
      </c>
      <c r="D1022" s="2" t="str">
        <f t="shared" si="14"/>
        <v>Error?</v>
      </c>
    </row>
    <row r="1023" spans="1:4" x14ac:dyDescent="0.2">
      <c r="A1023" s="5">
        <v>962</v>
      </c>
      <c r="B1023" s="138">
        <f>'Expenditures 15-22'!H50</f>
        <v>22246</v>
      </c>
      <c r="D1023" s="2" t="str">
        <f t="shared" ref="D1023:D1086" si="15">IF(ISBLANK(B1023),"OK",IF(A1023-B1023=0,"OK","Error?"))</f>
        <v>Error?</v>
      </c>
    </row>
    <row r="1024" spans="1:4" x14ac:dyDescent="0.2">
      <c r="A1024" s="5">
        <v>963</v>
      </c>
      <c r="B1024" s="138">
        <f>'Expenditures 15-22'!H53</f>
        <v>24019</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3134</v>
      </c>
      <c r="D1029" s="2" t="str">
        <f t="shared" si="15"/>
        <v>Error?</v>
      </c>
    </row>
    <row r="1030" spans="1:4" x14ac:dyDescent="0.2">
      <c r="A1030" s="5">
        <v>969</v>
      </c>
      <c r="B1030" s="138">
        <f>'Expenditures 15-22'!H61</f>
        <v>240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1433</v>
      </c>
      <c r="D1032" s="2" t="str">
        <f t="shared" si="15"/>
        <v>Error?</v>
      </c>
    </row>
    <row r="1033" spans="1:4" x14ac:dyDescent="0.2">
      <c r="A1033" s="5">
        <v>972</v>
      </c>
      <c r="B1033" s="138">
        <f>'Expenditures 15-22'!H64</f>
        <v>1569</v>
      </c>
      <c r="D1033" s="2" t="str">
        <f t="shared" si="15"/>
        <v>Error?</v>
      </c>
    </row>
    <row r="1034" spans="1:4" x14ac:dyDescent="0.2">
      <c r="A1034" s="10">
        <v>973</v>
      </c>
      <c r="D1034" s="2" t="str">
        <f t="shared" si="15"/>
        <v>OK</v>
      </c>
    </row>
    <row r="1035" spans="1:4" x14ac:dyDescent="0.2">
      <c r="A1035" s="5">
        <v>974</v>
      </c>
      <c r="B1035" s="138">
        <f>'Expenditures 15-22'!H65</f>
        <v>6376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626</v>
      </c>
      <c r="D1039" s="2" t="str">
        <f t="shared" si="15"/>
        <v>Error?</v>
      </c>
    </row>
    <row r="1040" spans="1:4" x14ac:dyDescent="0.2">
      <c r="A1040" s="10">
        <v>979</v>
      </c>
      <c r="D1040" s="2" t="str">
        <f t="shared" si="15"/>
        <v>OK</v>
      </c>
    </row>
    <row r="1041" spans="1:4" x14ac:dyDescent="0.2">
      <c r="A1041" s="5">
        <v>980</v>
      </c>
      <c r="B1041" s="138">
        <f>'Expenditures 15-22'!H71</f>
        <v>10634</v>
      </c>
      <c r="D1041" s="2" t="str">
        <f t="shared" si="15"/>
        <v>Error?</v>
      </c>
    </row>
    <row r="1042" spans="1:4" x14ac:dyDescent="0.2">
      <c r="A1042" s="10">
        <v>981</v>
      </c>
      <c r="D1042" s="2" t="str">
        <f t="shared" si="15"/>
        <v>OK</v>
      </c>
    </row>
    <row r="1043" spans="1:4" x14ac:dyDescent="0.2">
      <c r="A1043" s="5">
        <v>982</v>
      </c>
      <c r="B1043" s="138">
        <f>'Expenditures 15-22'!H72</f>
        <v>11260</v>
      </c>
      <c r="C1043" s="2" t="s">
        <v>593</v>
      </c>
      <c r="D1043" s="2" t="str">
        <f t="shared" si="15"/>
        <v>Error?</v>
      </c>
    </row>
    <row r="1044" spans="1:4" x14ac:dyDescent="0.2">
      <c r="A1044" s="5">
        <v>983</v>
      </c>
      <c r="B1044" s="138">
        <f>'Expenditures 15-22'!H73</f>
        <v>45844</v>
      </c>
      <c r="D1044" s="2" t="str">
        <f t="shared" si="15"/>
        <v>Error?</v>
      </c>
    </row>
    <row r="1045" spans="1:4" x14ac:dyDescent="0.2">
      <c r="A1045" s="5">
        <v>984</v>
      </c>
      <c r="B1045" s="138">
        <f>'Expenditures 15-22'!H74</f>
        <v>120770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62062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6059511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55160388</v>
      </c>
      <c r="C1093" s="2" t="s">
        <v>593</v>
      </c>
      <c r="D1093" s="2" t="str">
        <f t="shared" si="16"/>
        <v>Error?</v>
      </c>
    </row>
    <row r="1094" spans="1:4" x14ac:dyDescent="0.2">
      <c r="A1094" s="5">
        <v>1033</v>
      </c>
      <c r="B1094" s="138">
        <f>'Expenditures 15-22'!K16</f>
        <v>4189</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11437392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105905</v>
      </c>
      <c r="C1105" s="2" t="s">
        <v>593</v>
      </c>
      <c r="D1105" s="2" t="str">
        <f t="shared" si="16"/>
        <v>Error?</v>
      </c>
    </row>
    <row r="1106" spans="1:4" x14ac:dyDescent="0.2">
      <c r="A1106" s="5">
        <v>1045</v>
      </c>
      <c r="B1106" s="138">
        <f>'Expenditures 15-22'!K14</f>
        <v>1776305</v>
      </c>
      <c r="C1106" s="2" t="s">
        <v>593</v>
      </c>
      <c r="D1106" s="2" t="str">
        <f t="shared" si="16"/>
        <v>Error?</v>
      </c>
    </row>
    <row r="1107" spans="1:4" x14ac:dyDescent="0.2">
      <c r="A1107" s="5">
        <v>1046</v>
      </c>
      <c r="B1107" s="138">
        <f>'Expenditures 15-22'!K15</f>
        <v>48217</v>
      </c>
      <c r="C1107" s="2" t="s">
        <v>593</v>
      </c>
      <c r="D1107" s="2" t="str">
        <f t="shared" si="16"/>
        <v>Error?</v>
      </c>
    </row>
    <row r="1108" spans="1:4" x14ac:dyDescent="0.2">
      <c r="A1108" s="5">
        <v>1047</v>
      </c>
      <c r="B1108" s="138">
        <f>'Expenditures 15-22'!K33</f>
        <v>104915169</v>
      </c>
      <c r="C1108" s="2" t="s">
        <v>593</v>
      </c>
      <c r="D1108" s="2" t="str">
        <f t="shared" si="16"/>
        <v>Error?</v>
      </c>
    </row>
    <row r="1109" spans="1:4" x14ac:dyDescent="0.2">
      <c r="A1109" s="5">
        <v>1048</v>
      </c>
      <c r="B1109" s="138">
        <f>'Expenditures 15-22'!K36</f>
        <v>5369463</v>
      </c>
      <c r="C1109" s="2" t="s">
        <v>593</v>
      </c>
      <c r="D1109" s="2" t="str">
        <f t="shared" si="16"/>
        <v>Error?</v>
      </c>
    </row>
    <row r="1110" spans="1:4" x14ac:dyDescent="0.2">
      <c r="A1110" s="5">
        <v>1049</v>
      </c>
      <c r="B1110" s="138">
        <f>'Expenditures 15-22'!K37</f>
        <v>3109974</v>
      </c>
      <c r="C1110" s="2" t="s">
        <v>593</v>
      </c>
      <c r="D1110" s="2" t="str">
        <f t="shared" si="16"/>
        <v>Error?</v>
      </c>
    </row>
    <row r="1111" spans="1:4" x14ac:dyDescent="0.2">
      <c r="A1111" s="5">
        <v>1050</v>
      </c>
      <c r="B1111" s="138">
        <f>'Expenditures 15-22'!K38</f>
        <v>3775956</v>
      </c>
      <c r="C1111" s="2" t="s">
        <v>593</v>
      </c>
      <c r="D1111" s="2" t="str">
        <f t="shared" si="16"/>
        <v>Error?</v>
      </c>
    </row>
    <row r="1112" spans="1:4" x14ac:dyDescent="0.2">
      <c r="A1112" s="5">
        <v>1051</v>
      </c>
      <c r="B1112" s="138">
        <f>'Expenditures 15-22'!K39</f>
        <v>2167846</v>
      </c>
      <c r="C1112" s="2" t="s">
        <v>593</v>
      </c>
      <c r="D1112" s="2" t="str">
        <f t="shared" si="16"/>
        <v>Error?</v>
      </c>
    </row>
    <row r="1113" spans="1:4" x14ac:dyDescent="0.2">
      <c r="A1113" s="5">
        <v>1052</v>
      </c>
      <c r="B1113" s="138">
        <f>'Expenditures 15-22'!K40</f>
        <v>3495774</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17919013</v>
      </c>
      <c r="C1115" s="2" t="s">
        <v>593</v>
      </c>
      <c r="D1115" s="2" t="str">
        <f t="shared" si="16"/>
        <v>Error?</v>
      </c>
    </row>
    <row r="1116" spans="1:4" x14ac:dyDescent="0.2">
      <c r="A1116" s="5">
        <v>1055</v>
      </c>
      <c r="B1116" s="138">
        <f>'Expenditures 15-22'!K44</f>
        <v>8395452</v>
      </c>
      <c r="C1116" s="2" t="s">
        <v>593</v>
      </c>
      <c r="D1116" s="2" t="str">
        <f t="shared" si="16"/>
        <v>Error?</v>
      </c>
    </row>
    <row r="1117" spans="1:4" x14ac:dyDescent="0.2">
      <c r="A1117" s="5">
        <v>1056</v>
      </c>
      <c r="B1117" s="138">
        <f>'Expenditures 15-22'!K45</f>
        <v>1173956</v>
      </c>
      <c r="C1117" s="2" t="s">
        <v>593</v>
      </c>
      <c r="D1117" s="2" t="str">
        <f t="shared" si="16"/>
        <v>Error?</v>
      </c>
    </row>
    <row r="1118" spans="1:4" x14ac:dyDescent="0.2">
      <c r="A1118" s="5">
        <v>1057</v>
      </c>
      <c r="B1118" s="138">
        <f>'Expenditures 15-22'!K46</f>
        <v>717508</v>
      </c>
      <c r="C1118" s="2" t="s">
        <v>593</v>
      </c>
      <c r="D1118" s="2" t="str">
        <f t="shared" si="16"/>
        <v>Error?</v>
      </c>
    </row>
    <row r="1119" spans="1:4" x14ac:dyDescent="0.2">
      <c r="A1119" s="5">
        <v>1058</v>
      </c>
      <c r="B1119" s="138">
        <f>'Expenditures 15-22'!K47</f>
        <v>10286916</v>
      </c>
      <c r="C1119" s="2" t="s">
        <v>593</v>
      </c>
      <c r="D1119" s="2" t="str">
        <f t="shared" si="16"/>
        <v>Error?</v>
      </c>
    </row>
    <row r="1120" spans="1:4" x14ac:dyDescent="0.2">
      <c r="A1120" s="5">
        <v>1059</v>
      </c>
      <c r="B1120" s="138">
        <f>'Expenditures 15-22'!K49</f>
        <v>162388</v>
      </c>
      <c r="C1120" s="2" t="s">
        <v>593</v>
      </c>
      <c r="D1120" s="2" t="str">
        <f t="shared" si="16"/>
        <v>Error?</v>
      </c>
    </row>
    <row r="1121" spans="1:4" x14ac:dyDescent="0.2">
      <c r="A1121" s="5">
        <v>1060</v>
      </c>
      <c r="B1121" s="138">
        <f>'Expenditures 15-22'!K50</f>
        <v>462300</v>
      </c>
      <c r="C1121" s="2" t="s">
        <v>593</v>
      </c>
      <c r="D1121" s="2" t="str">
        <f t="shared" si="16"/>
        <v>Error?</v>
      </c>
    </row>
    <row r="1122" spans="1:4" x14ac:dyDescent="0.2">
      <c r="A1122" s="5">
        <v>1061</v>
      </c>
      <c r="B1122" s="138">
        <f>'Expenditures 15-22'!K53</f>
        <v>859869</v>
      </c>
      <c r="C1122" s="2" t="s">
        <v>593</v>
      </c>
      <c r="D1122" s="2" t="str">
        <f t="shared" si="16"/>
        <v>Error?</v>
      </c>
    </row>
    <row r="1123" spans="1:4" x14ac:dyDescent="0.2">
      <c r="A1123" s="5">
        <v>1062</v>
      </c>
      <c r="B1123" s="138">
        <f>'Expenditures 15-22'!K55</f>
        <v>6730787</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6730787</v>
      </c>
      <c r="C1125" s="2" t="s">
        <v>593</v>
      </c>
      <c r="D1125" s="2" t="str">
        <f t="shared" si="16"/>
        <v>Error?</v>
      </c>
    </row>
    <row r="1126" spans="1:4" x14ac:dyDescent="0.2">
      <c r="A1126" s="5">
        <v>1065</v>
      </c>
      <c r="B1126" s="138">
        <f>'Expenditures 15-22'!K59</f>
        <v>346789</v>
      </c>
      <c r="C1126" s="2" t="s">
        <v>593</v>
      </c>
      <c r="D1126" s="2" t="str">
        <f t="shared" si="16"/>
        <v>Error?</v>
      </c>
    </row>
    <row r="1127" spans="1:4" x14ac:dyDescent="0.2">
      <c r="A1127" s="5">
        <v>1066</v>
      </c>
      <c r="B1127" s="138">
        <f>'Expenditures 15-22'!K60</f>
        <v>1542802</v>
      </c>
      <c r="C1127" s="2" t="s">
        <v>593</v>
      </c>
      <c r="D1127" s="2" t="str">
        <f t="shared" si="16"/>
        <v>Error?</v>
      </c>
    </row>
    <row r="1128" spans="1:4" x14ac:dyDescent="0.2">
      <c r="A1128" s="5">
        <v>1067</v>
      </c>
      <c r="B1128" s="138">
        <f>'Expenditures 15-22'!K61</f>
        <v>5690206</v>
      </c>
      <c r="C1128" s="2" t="s">
        <v>593</v>
      </c>
      <c r="D1128" s="2" t="str">
        <f t="shared" si="16"/>
        <v>Error?</v>
      </c>
    </row>
    <row r="1129" spans="1:4" x14ac:dyDescent="0.2">
      <c r="A1129" s="5">
        <v>1068</v>
      </c>
      <c r="B1129" s="138">
        <f>'Expenditures 15-22'!K62</f>
        <v>919375</v>
      </c>
      <c r="C1129" s="2" t="s">
        <v>593</v>
      </c>
      <c r="D1129" s="2" t="str">
        <f t="shared" si="16"/>
        <v>Error?</v>
      </c>
    </row>
    <row r="1130" spans="1:4" x14ac:dyDescent="0.2">
      <c r="A1130" s="5">
        <v>1069</v>
      </c>
      <c r="B1130" s="138">
        <f>'Expenditures 15-22'!K63</f>
        <v>6761233</v>
      </c>
      <c r="C1130" s="2" t="s">
        <v>593</v>
      </c>
      <c r="D1130" s="2" t="str">
        <f t="shared" si="16"/>
        <v>Error?</v>
      </c>
    </row>
    <row r="1131" spans="1:4" x14ac:dyDescent="0.2">
      <c r="A1131" s="5">
        <v>1070</v>
      </c>
      <c r="B1131" s="138">
        <f>'Expenditures 15-22'!K64</f>
        <v>571963</v>
      </c>
      <c r="C1131" s="2" t="s">
        <v>593</v>
      </c>
      <c r="D1131" s="2" t="str">
        <f t="shared" si="16"/>
        <v>Error?</v>
      </c>
    </row>
    <row r="1132" spans="1:4" x14ac:dyDescent="0.2">
      <c r="A1132" s="10">
        <v>1071</v>
      </c>
      <c r="D1132" s="2" t="str">
        <f t="shared" si="16"/>
        <v>OK</v>
      </c>
    </row>
    <row r="1133" spans="1:4" x14ac:dyDescent="0.2">
      <c r="A1133" s="5">
        <v>1072</v>
      </c>
      <c r="B1133" s="138">
        <f>'Expenditures 15-22'!K65</f>
        <v>15832368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2574</v>
      </c>
      <c r="C1135" s="2" t="s">
        <v>593</v>
      </c>
      <c r="D1135" s="2" t="str">
        <f t="shared" si="16"/>
        <v>Error?</v>
      </c>
    </row>
    <row r="1136" spans="1:4" x14ac:dyDescent="0.2">
      <c r="A1136" s="5">
        <v>1075</v>
      </c>
      <c r="B1136" s="138">
        <f>'Expenditures 15-22'!K69</f>
        <v>210902</v>
      </c>
      <c r="C1136" s="2" t="s">
        <v>593</v>
      </c>
      <c r="D1136" s="2" t="str">
        <f t="shared" si="16"/>
        <v>Error?</v>
      </c>
    </row>
    <row r="1137" spans="1:4" x14ac:dyDescent="0.2">
      <c r="A1137" s="5">
        <v>1076</v>
      </c>
      <c r="B1137" s="138">
        <f>'Expenditures 15-22'!K70</f>
        <v>878218</v>
      </c>
      <c r="C1137" s="2" t="s">
        <v>593</v>
      </c>
      <c r="D1137" s="2" t="str">
        <f t="shared" si="16"/>
        <v>Error?</v>
      </c>
    </row>
    <row r="1138" spans="1:4" x14ac:dyDescent="0.2">
      <c r="A1138" s="10">
        <v>1077</v>
      </c>
      <c r="D1138" s="2" t="str">
        <f t="shared" si="16"/>
        <v>OK</v>
      </c>
    </row>
    <row r="1139" spans="1:4" x14ac:dyDescent="0.2">
      <c r="A1139" s="5">
        <v>1078</v>
      </c>
      <c r="B1139" s="138">
        <f>'Expenditures 15-22'!K71</f>
        <v>5454609</v>
      </c>
      <c r="C1139" s="2" t="s">
        <v>593</v>
      </c>
      <c r="D1139" s="2" t="str">
        <f t="shared" si="16"/>
        <v>Error?</v>
      </c>
    </row>
    <row r="1140" spans="1:4" x14ac:dyDescent="0.2">
      <c r="A1140" s="10">
        <v>1079</v>
      </c>
      <c r="D1140" s="2" t="str">
        <f t="shared" si="16"/>
        <v>OK</v>
      </c>
    </row>
    <row r="1141" spans="1:4" x14ac:dyDescent="0.2">
      <c r="A1141" s="5">
        <v>1080</v>
      </c>
      <c r="B1141" s="138">
        <f>'Expenditures 15-22'!K72</f>
        <v>6546303</v>
      </c>
      <c r="C1141" s="2" t="s">
        <v>593</v>
      </c>
      <c r="D1141" s="2" t="str">
        <f t="shared" si="16"/>
        <v>Error?</v>
      </c>
    </row>
    <row r="1142" spans="1:4" x14ac:dyDescent="0.2">
      <c r="A1142" s="5">
        <v>1081</v>
      </c>
      <c r="B1142" s="138">
        <f>'Expenditures 15-22'!K73</f>
        <v>969420</v>
      </c>
      <c r="C1142" s="2" t="s">
        <v>593</v>
      </c>
      <c r="D1142" s="2" t="str">
        <f t="shared" si="16"/>
        <v>Error?</v>
      </c>
    </row>
    <row r="1143" spans="1:4" x14ac:dyDescent="0.2">
      <c r="A1143" s="5">
        <v>1082</v>
      </c>
      <c r="B1143" s="138">
        <f>'Expenditures 15-22'!K74</f>
        <v>59144676</v>
      </c>
      <c r="C1143" s="2" t="s">
        <v>593</v>
      </c>
      <c r="D1143" s="2" t="str">
        <f t="shared" si="16"/>
        <v>Error?</v>
      </c>
    </row>
    <row r="1144" spans="1:4" x14ac:dyDescent="0.2">
      <c r="A1144" s="5">
        <v>1083</v>
      </c>
      <c r="B1144" s="138">
        <f>'Expenditures 15-22'!K75</f>
        <v>1007933</v>
      </c>
      <c r="C1144" s="2" t="s">
        <v>593</v>
      </c>
      <c r="D1144" s="2" t="str">
        <f t="shared" si="16"/>
        <v>Error?</v>
      </c>
    </row>
    <row r="1145" spans="1:4" x14ac:dyDescent="0.2">
      <c r="A1145" s="5">
        <v>1084</v>
      </c>
      <c r="B1145" s="138">
        <f>'Expenditures 15-22'!K102</f>
        <v>63377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165131155</v>
      </c>
      <c r="C1152" s="2" t="s">
        <v>593</v>
      </c>
      <c r="D1152" s="2" t="str">
        <f t="shared" si="17"/>
        <v>Error?</v>
      </c>
    </row>
    <row r="1153" spans="1:4" x14ac:dyDescent="0.2">
      <c r="A1153" s="5">
        <v>1092</v>
      </c>
      <c r="B1153" s="138">
        <f>'Expenditures 15-22'!K115</f>
        <v>26604684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2892206</v>
      </c>
      <c r="D1221" s="2" t="str">
        <f t="shared" si="18"/>
        <v>Error?</v>
      </c>
    </row>
    <row r="1222" spans="1:4" x14ac:dyDescent="0.2">
      <c r="A1222" s="10">
        <v>1161</v>
      </c>
      <c r="D1222" s="2" t="str">
        <f t="shared" si="18"/>
        <v>OK</v>
      </c>
    </row>
    <row r="1223" spans="1:4" x14ac:dyDescent="0.2">
      <c r="A1223" s="5">
        <v>1162</v>
      </c>
      <c r="B1223" s="138">
        <f>'Expenditures 15-22'!C127</f>
        <v>2892206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2892206</v>
      </c>
      <c r="C1225" s="2" t="s">
        <v>593</v>
      </c>
      <c r="D1225" s="2" t="str">
        <f t="shared" si="18"/>
        <v>Error?</v>
      </c>
    </row>
    <row r="1226" spans="1:4" x14ac:dyDescent="0.2">
      <c r="A1226" s="5">
        <v>1165</v>
      </c>
      <c r="B1226" s="138">
        <f>'Expenditures 15-22'!C151</f>
        <v>2892206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365092</v>
      </c>
      <c r="D1229" s="2" t="str">
        <f t="shared" si="18"/>
        <v>Error?</v>
      </c>
    </row>
    <row r="1230" spans="1:4" x14ac:dyDescent="0.2">
      <c r="A1230" s="10">
        <v>1169</v>
      </c>
      <c r="D1230" s="2" t="str">
        <f t="shared" si="18"/>
        <v>OK</v>
      </c>
    </row>
    <row r="1231" spans="1:4" x14ac:dyDescent="0.2">
      <c r="A1231" s="5">
        <v>1170</v>
      </c>
      <c r="B1231" s="138">
        <f>'Expenditures 15-22'!D127</f>
        <v>365092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365092</v>
      </c>
      <c r="C1233" s="2" t="s">
        <v>593</v>
      </c>
      <c r="D1233" s="2" t="str">
        <f t="shared" si="18"/>
        <v>Error?</v>
      </c>
    </row>
    <row r="1234" spans="1:4" x14ac:dyDescent="0.2">
      <c r="A1234" s="5">
        <v>1173</v>
      </c>
      <c r="B1234" s="138">
        <f>'Expenditures 15-22'!D151</f>
        <v>365092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46280</v>
      </c>
      <c r="D1236" s="2" t="str">
        <f t="shared" si="18"/>
        <v>Error?</v>
      </c>
    </row>
    <row r="1237" spans="1:4" x14ac:dyDescent="0.2">
      <c r="A1237" s="5">
        <v>1176</v>
      </c>
      <c r="B1237" s="138">
        <f>'Expenditures 15-22'!E124</f>
        <v>1282249</v>
      </c>
      <c r="D1237" s="2" t="str">
        <f t="shared" si="18"/>
        <v>Error?</v>
      </c>
    </row>
    <row r="1238" spans="1:4" x14ac:dyDescent="0.2">
      <c r="A1238" s="10">
        <v>1177</v>
      </c>
      <c r="D1238" s="2" t="str">
        <f t="shared" si="18"/>
        <v>OK</v>
      </c>
    </row>
    <row r="1239" spans="1:4" x14ac:dyDescent="0.2">
      <c r="A1239" s="5">
        <v>1178</v>
      </c>
      <c r="B1239" s="138">
        <f>'Expenditures 15-22'!E127</f>
        <v>1370542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1370542</v>
      </c>
      <c r="C1241" s="2" t="s">
        <v>593</v>
      </c>
      <c r="D1241" s="2" t="str">
        <f t="shared" si="18"/>
        <v>Error?</v>
      </c>
    </row>
    <row r="1242" spans="1:4" x14ac:dyDescent="0.2">
      <c r="A1242" s="5">
        <v>1181</v>
      </c>
      <c r="B1242" s="138">
        <f>'Expenditures 15-22'!E151</f>
        <v>1370542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3424262</v>
      </c>
      <c r="D1245" s="2" t="str">
        <f t="shared" si="18"/>
        <v>Error?</v>
      </c>
    </row>
    <row r="1246" spans="1:4" x14ac:dyDescent="0.2">
      <c r="A1246" s="10">
        <v>1185</v>
      </c>
      <c r="D1246" s="2" t="str">
        <f t="shared" si="18"/>
        <v>OK</v>
      </c>
    </row>
    <row r="1247" spans="1:4" x14ac:dyDescent="0.2">
      <c r="A1247" s="5">
        <v>1186</v>
      </c>
      <c r="B1247" s="138">
        <f>'Expenditures 15-22'!F127</f>
        <v>3424262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3424262</v>
      </c>
      <c r="C1249" s="2" t="s">
        <v>593</v>
      </c>
      <c r="D1249" s="2" t="str">
        <f t="shared" si="18"/>
        <v>Error?</v>
      </c>
    </row>
    <row r="1250" spans="1:4" x14ac:dyDescent="0.2">
      <c r="A1250" s="5">
        <v>1189</v>
      </c>
      <c r="B1250" s="138">
        <f>'Expenditures 15-22'!F151</f>
        <v>3424262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1511820</v>
      </c>
      <c r="D1252" s="2" t="str">
        <f t="shared" si="18"/>
        <v>Error?</v>
      </c>
    </row>
    <row r="1253" spans="1:4" x14ac:dyDescent="0.2">
      <c r="A1253" s="5">
        <v>1192</v>
      </c>
      <c r="B1253" s="138">
        <f>'Expenditures 15-22'!G124</f>
        <v>193657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1705477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1705477</v>
      </c>
      <c r="C1258" s="2" t="s">
        <v>593</v>
      </c>
      <c r="D1258" s="2" t="str">
        <f t="shared" si="18"/>
        <v>Error?</v>
      </c>
    </row>
    <row r="1259" spans="1:4" x14ac:dyDescent="0.2">
      <c r="A1259" s="5">
        <v>1198</v>
      </c>
      <c r="B1259" s="138">
        <f>'Expenditures 15-22'!G151</f>
        <v>1705477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1558100</v>
      </c>
      <c r="C1275" s="2" t="s">
        <v>593</v>
      </c>
      <c r="D1275" s="2" t="str">
        <f t="shared" si="18"/>
        <v>Error?</v>
      </c>
    </row>
    <row r="1276" spans="1:4" x14ac:dyDescent="0.2">
      <c r="A1276" s="5">
        <v>1215</v>
      </c>
      <c r="B1276" s="138">
        <f>'Expenditures 15-22'!K124</f>
        <v>8194064</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9794177</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9794177</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9794177</v>
      </c>
      <c r="C1288" s="2" t="s">
        <v>593</v>
      </c>
      <c r="D1288" s="2" t="str">
        <f t="shared" si="19"/>
        <v>Error?</v>
      </c>
    </row>
    <row r="1289" spans="1:4" x14ac:dyDescent="0.2">
      <c r="A1289" s="5">
        <v>1228</v>
      </c>
      <c r="B1289" s="138">
        <f>'Expenditures 15-22'!K152</f>
        <v>-4628265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6218644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3662144</v>
      </c>
      <c r="D1315" s="2" t="str">
        <f t="shared" si="19"/>
        <v>Error?</v>
      </c>
    </row>
    <row r="1316" spans="1:4" x14ac:dyDescent="0.2">
      <c r="A1316" s="5">
        <v>1255</v>
      </c>
      <c r="B1316" s="138">
        <f>'Expenditures 15-22'!H171</f>
        <v>4252</v>
      </c>
      <c r="D1316" s="2" t="str">
        <f t="shared" si="19"/>
        <v>Error?</v>
      </c>
    </row>
    <row r="1317" spans="1:4" x14ac:dyDescent="0.2">
      <c r="A1317" s="5">
        <v>1256</v>
      </c>
      <c r="B1317" s="138">
        <f>'Expenditures 15-22'!H172</f>
        <v>9885040</v>
      </c>
      <c r="C1317" s="2" t="s">
        <v>593</v>
      </c>
      <c r="D1317" s="2" t="str">
        <f t="shared" si="19"/>
        <v>Error?</v>
      </c>
    </row>
    <row r="1318" spans="1:4" x14ac:dyDescent="0.2">
      <c r="A1318" s="5">
        <v>1257</v>
      </c>
      <c r="B1318" s="138">
        <f>'Expenditures 15-22'!H174</f>
        <v>9885040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6218644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3662144</v>
      </c>
      <c r="C1329" s="2" t="s">
        <v>593</v>
      </c>
      <c r="D1329" s="2" t="str">
        <f t="shared" si="19"/>
        <v>Error?</v>
      </c>
    </row>
    <row r="1330" spans="1:4" x14ac:dyDescent="0.2">
      <c r="A1330" s="5">
        <v>1269</v>
      </c>
      <c r="B1330" s="138">
        <f>'Expenditures 15-22'!K171</f>
        <v>4252</v>
      </c>
      <c r="C1330" s="2" t="s">
        <v>593</v>
      </c>
      <c r="D1330" s="2" t="str">
        <f t="shared" si="19"/>
        <v>Error?</v>
      </c>
    </row>
    <row r="1331" spans="1:4" x14ac:dyDescent="0.2">
      <c r="A1331" s="5">
        <v>1270</v>
      </c>
      <c r="B1331" s="138">
        <f>'Expenditures 15-22'!K172</f>
        <v>9885040</v>
      </c>
      <c r="C1331" s="2" t="s">
        <v>593</v>
      </c>
      <c r="D1331" s="2" t="str">
        <f t="shared" si="19"/>
        <v>Error?</v>
      </c>
    </row>
    <row r="1332" spans="1:4" x14ac:dyDescent="0.2">
      <c r="A1332" s="5">
        <v>1271</v>
      </c>
      <c r="B1332" s="138">
        <f>'Expenditures 15-22'!K174</f>
        <v>9885040</v>
      </c>
      <c r="C1332" s="2" t="s">
        <v>593</v>
      </c>
      <c r="D1332" s="2" t="str">
        <f t="shared" si="19"/>
        <v>Error?</v>
      </c>
    </row>
    <row r="1333" spans="1:4" x14ac:dyDescent="0.2">
      <c r="A1333" s="5">
        <v>1272</v>
      </c>
      <c r="B1333" s="138">
        <f>'Expenditures 15-22'!K175</f>
        <v>-100427</v>
      </c>
      <c r="C1333" s="2" t="s">
        <v>593</v>
      </c>
      <c r="D1333" s="2" t="str">
        <f t="shared" si="19"/>
        <v>Error?</v>
      </c>
    </row>
    <row r="1334" spans="1:4" x14ac:dyDescent="0.2">
      <c r="A1334" s="10">
        <v>1273</v>
      </c>
      <c r="D1334" s="2" t="str">
        <f t="shared" si="19"/>
        <v>OK</v>
      </c>
    </row>
    <row r="1335" spans="1:4" x14ac:dyDescent="0.2">
      <c r="A1335" s="5">
        <v>1274</v>
      </c>
      <c r="B1335" s="138">
        <f>'Expenditures 15-22'!C182</f>
        <v>130489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130489</v>
      </c>
      <c r="C1339" s="2" t="s">
        <v>593</v>
      </c>
      <c r="D1339" s="2" t="str">
        <f t="shared" si="19"/>
        <v>Error?</v>
      </c>
    </row>
    <row r="1340" spans="1:4" x14ac:dyDescent="0.2">
      <c r="A1340" s="5">
        <v>1279</v>
      </c>
      <c r="B1340" s="138">
        <f>'Expenditures 15-22'!C210</f>
        <v>130489</v>
      </c>
      <c r="C1340" s="2" t="s">
        <v>593</v>
      </c>
      <c r="D1340" s="2" t="str">
        <f t="shared" si="19"/>
        <v>Error?</v>
      </c>
    </row>
    <row r="1341" spans="1:4" x14ac:dyDescent="0.2">
      <c r="A1341" s="5">
        <v>1280</v>
      </c>
      <c r="B1341" s="138">
        <f>'Expenditures 15-22'!D182</f>
        <v>20171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20171</v>
      </c>
      <c r="C1345" s="2" t="s">
        <v>593</v>
      </c>
      <c r="D1345" s="2" t="str">
        <f t="shared" si="20"/>
        <v>Error?</v>
      </c>
    </row>
    <row r="1346" spans="1:4" x14ac:dyDescent="0.2">
      <c r="A1346" s="5">
        <v>1285</v>
      </c>
      <c r="B1346" s="138">
        <f>'Expenditures 15-22'!D210</f>
        <v>20171</v>
      </c>
      <c r="C1346" s="2" t="s">
        <v>593</v>
      </c>
      <c r="D1346" s="2" t="str">
        <f t="shared" si="20"/>
        <v>Error?</v>
      </c>
    </row>
    <row r="1347" spans="1:4" x14ac:dyDescent="0.2">
      <c r="A1347" s="5">
        <v>1286</v>
      </c>
      <c r="B1347" s="138">
        <f>'Expenditures 15-22'!E182</f>
        <v>9898548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9898548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9898548</v>
      </c>
      <c r="C1353" s="2" t="s">
        <v>593</v>
      </c>
      <c r="D1353" s="2" t="str">
        <f t="shared" si="20"/>
        <v>Error?</v>
      </c>
    </row>
    <row r="1354" spans="1:4" x14ac:dyDescent="0.2">
      <c r="A1354" s="5">
        <v>1293</v>
      </c>
      <c r="B1354" s="138">
        <f>'Expenditures 15-22'!F182</f>
        <v>28354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28354</v>
      </c>
      <c r="C1358" s="2" t="s">
        <v>593</v>
      </c>
      <c r="D1358" s="2" t="str">
        <f t="shared" si="20"/>
        <v>Error?</v>
      </c>
    </row>
    <row r="1359" spans="1:4" x14ac:dyDescent="0.2">
      <c r="A1359" s="5">
        <v>1298</v>
      </c>
      <c r="B1359" s="138">
        <f>'Expenditures 15-22'!F210</f>
        <v>28354</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10077562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10077562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10077562</v>
      </c>
      <c r="C1388" s="2" t="s">
        <v>593</v>
      </c>
      <c r="D1388" s="2" t="str">
        <f t="shared" si="20"/>
        <v>Error?</v>
      </c>
    </row>
    <row r="1389" spans="1:4" x14ac:dyDescent="0.2">
      <c r="A1389" s="5">
        <v>1328</v>
      </c>
      <c r="B1389" s="138">
        <f>'Expenditures 15-22'!K211</f>
        <v>4034223</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163542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61411</v>
      </c>
      <c r="D1408" s="2" t="str">
        <f t="shared" si="21"/>
        <v>Error?</v>
      </c>
    </row>
    <row r="1409" spans="1:4" x14ac:dyDescent="0.2">
      <c r="A1409" s="5">
        <v>1348</v>
      </c>
      <c r="B1409" s="138">
        <f>'Expenditures 15-22'!D224</f>
        <v>1670</v>
      </c>
      <c r="D1409" s="2" t="str">
        <f t="shared" si="21"/>
        <v>Error?</v>
      </c>
    </row>
    <row r="1410" spans="1:4" x14ac:dyDescent="0.2">
      <c r="A1410" s="5">
        <v>1349</v>
      </c>
      <c r="B1410" s="138">
        <f>'Expenditures 15-22'!D229</f>
        <v>2468003</v>
      </c>
      <c r="C1410" s="2" t="s">
        <v>593</v>
      </c>
      <c r="D1410" s="2" t="str">
        <f t="shared" si="21"/>
        <v>Error?</v>
      </c>
    </row>
    <row r="1411" spans="1:4" x14ac:dyDescent="0.2">
      <c r="A1411" s="5">
        <v>1350</v>
      </c>
      <c r="B1411" s="138">
        <f>'Expenditures 15-22'!D232</f>
        <v>441756</v>
      </c>
      <c r="D1411" s="2" t="str">
        <f t="shared" si="21"/>
        <v>Error?</v>
      </c>
    </row>
    <row r="1412" spans="1:4" x14ac:dyDescent="0.2">
      <c r="A1412" s="5">
        <v>1351</v>
      </c>
      <c r="B1412" s="138">
        <f>'Expenditures 15-22'!D233</f>
        <v>157336</v>
      </c>
      <c r="D1412" s="2" t="str">
        <f t="shared" si="21"/>
        <v>Error?</v>
      </c>
    </row>
    <row r="1413" spans="1:4" x14ac:dyDescent="0.2">
      <c r="A1413" s="5">
        <v>1352</v>
      </c>
      <c r="B1413" s="138">
        <f>'Expenditures 15-22'!D234</f>
        <v>387673</v>
      </c>
      <c r="D1413" s="2" t="str">
        <f t="shared" si="21"/>
        <v>Error?</v>
      </c>
    </row>
    <row r="1414" spans="1:4" x14ac:dyDescent="0.2">
      <c r="A1414" s="5">
        <v>1353</v>
      </c>
      <c r="B1414" s="138">
        <f>'Expenditures 15-22'!D235</f>
        <v>25565</v>
      </c>
      <c r="D1414" s="2" t="str">
        <f t="shared" si="21"/>
        <v>Error?</v>
      </c>
    </row>
    <row r="1415" spans="1:4" x14ac:dyDescent="0.2">
      <c r="A1415" s="5">
        <v>1354</v>
      </c>
      <c r="B1415" s="138">
        <f>'Expenditures 15-22'!D236</f>
        <v>31283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1043613</v>
      </c>
      <c r="C1417" s="2" t="s">
        <v>593</v>
      </c>
      <c r="D1417" s="2" t="str">
        <f t="shared" si="21"/>
        <v>Error?</v>
      </c>
    </row>
    <row r="1418" spans="1:4" x14ac:dyDescent="0.2">
      <c r="A1418" s="5">
        <v>1357</v>
      </c>
      <c r="B1418" s="138">
        <f>'Expenditures 15-22'!D240</f>
        <v>312852</v>
      </c>
      <c r="D1418" s="2" t="str">
        <f t="shared" si="21"/>
        <v>Error?</v>
      </c>
    </row>
    <row r="1419" spans="1:4" x14ac:dyDescent="0.2">
      <c r="A1419" s="5">
        <v>1358</v>
      </c>
      <c r="B1419" s="138">
        <f>'Expenditures 15-22'!D241</f>
        <v>106605</v>
      </c>
      <c r="D1419" s="2" t="str">
        <f t="shared" si="21"/>
        <v>Error?</v>
      </c>
    </row>
    <row r="1420" spans="1:4" x14ac:dyDescent="0.2">
      <c r="A1420" s="5">
        <v>1359</v>
      </c>
      <c r="B1420" s="138">
        <f>'Expenditures 15-22'!D242</f>
        <v>3979</v>
      </c>
      <c r="D1420" s="2" t="str">
        <f t="shared" si="21"/>
        <v>Error?</v>
      </c>
    </row>
    <row r="1421" spans="1:4" x14ac:dyDescent="0.2">
      <c r="A1421" s="5">
        <v>1360</v>
      </c>
      <c r="B1421" s="138">
        <f>'Expenditures 15-22'!D243</f>
        <v>423436</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15791</v>
      </c>
      <c r="D1423" s="2" t="str">
        <f t="shared" si="21"/>
        <v>Error?</v>
      </c>
    </row>
    <row r="1424" spans="1:4" x14ac:dyDescent="0.2">
      <c r="A1424" s="5">
        <v>1363</v>
      </c>
      <c r="B1424" s="138">
        <f>'Expenditures 15-22'!D257</f>
        <v>124594</v>
      </c>
      <c r="C1424" s="2" t="s">
        <v>593</v>
      </c>
      <c r="D1424" s="2" t="str">
        <f t="shared" si="21"/>
        <v>Error?</v>
      </c>
    </row>
    <row r="1425" spans="1:4" x14ac:dyDescent="0.2">
      <c r="A1425" s="5">
        <v>1364</v>
      </c>
      <c r="B1425" s="138">
        <f>'Expenditures 15-22'!D259</f>
        <v>404698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404698</v>
      </c>
      <c r="C1427" s="2" t="s">
        <v>593</v>
      </c>
      <c r="D1427" s="2" t="str">
        <f t="shared" si="21"/>
        <v>Error?</v>
      </c>
    </row>
    <row r="1428" spans="1:4" x14ac:dyDescent="0.2">
      <c r="A1428" s="5">
        <v>1367</v>
      </c>
      <c r="B1428" s="138">
        <f>'Expenditures 15-22'!D263</f>
        <v>41799</v>
      </c>
      <c r="D1428" s="2" t="str">
        <f t="shared" si="21"/>
        <v>Error?</v>
      </c>
    </row>
    <row r="1429" spans="1:4" x14ac:dyDescent="0.2">
      <c r="A1429" s="5">
        <v>1368</v>
      </c>
      <c r="B1429" s="138">
        <f>'Expenditures 15-22'!D264</f>
        <v>171264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1374431</v>
      </c>
      <c r="D1431" s="2" t="str">
        <f t="shared" si="21"/>
        <v>Error?</v>
      </c>
    </row>
    <row r="1432" spans="1:4" x14ac:dyDescent="0.2">
      <c r="A1432" s="5">
        <v>1371</v>
      </c>
      <c r="B1432" s="138">
        <f>'Expenditures 15-22'!D267</f>
        <v>21970</v>
      </c>
      <c r="D1432" s="2" t="str">
        <f t="shared" si="21"/>
        <v>Error?</v>
      </c>
    </row>
    <row r="1433" spans="1:4" x14ac:dyDescent="0.2">
      <c r="A1433" s="5">
        <v>1372</v>
      </c>
      <c r="B1433" s="138">
        <f>'Expenditures 15-22'!D268</f>
        <v>59536</v>
      </c>
      <c r="D1433" s="2" t="str">
        <f t="shared" si="21"/>
        <v>Error?</v>
      </c>
    </row>
    <row r="1434" spans="1:4" x14ac:dyDescent="0.2">
      <c r="A1434" s="5">
        <v>1373</v>
      </c>
      <c r="B1434" s="138">
        <f>'Expenditures 15-22'!D269</f>
        <v>66076</v>
      </c>
      <c r="D1434" s="2" t="str">
        <f t="shared" si="21"/>
        <v>Error?</v>
      </c>
    </row>
    <row r="1435" spans="1:4" x14ac:dyDescent="0.2">
      <c r="A1435" s="10">
        <v>1374</v>
      </c>
      <c r="D1435" s="2" t="str">
        <f t="shared" si="21"/>
        <v>OK</v>
      </c>
    </row>
    <row r="1436" spans="1:4" x14ac:dyDescent="0.2">
      <c r="A1436" s="5">
        <v>1375</v>
      </c>
      <c r="B1436" s="138">
        <f>'Expenditures 15-22'!D270</f>
        <v>1735076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33084</v>
      </c>
      <c r="D1439" s="2" t="str">
        <f t="shared" si="21"/>
        <v>Error?</v>
      </c>
    </row>
    <row r="1440" spans="1:4" x14ac:dyDescent="0.2">
      <c r="A1440" s="5">
        <v>1379</v>
      </c>
      <c r="B1440" s="138">
        <f>'Expenditures 15-22'!D275</f>
        <v>71938</v>
      </c>
      <c r="D1440" s="2" t="str">
        <f t="shared" si="21"/>
        <v>Error?</v>
      </c>
    </row>
    <row r="1441" spans="1:4" x14ac:dyDescent="0.2">
      <c r="A1441" s="10">
        <v>1380</v>
      </c>
      <c r="D1441" s="2" t="str">
        <f t="shared" si="21"/>
        <v>OK</v>
      </c>
    </row>
    <row r="1442" spans="1:4" x14ac:dyDescent="0.2">
      <c r="A1442" s="5">
        <v>1381</v>
      </c>
      <c r="B1442" s="138">
        <f>'Expenditures 15-22'!D276</f>
        <v>254476</v>
      </c>
      <c r="D1442" s="2" t="str">
        <f t="shared" si="21"/>
        <v>Error?</v>
      </c>
    </row>
    <row r="1443" spans="1:4" x14ac:dyDescent="0.2">
      <c r="A1443" s="10">
        <v>1382</v>
      </c>
      <c r="D1443" s="2" t="str">
        <f t="shared" si="21"/>
        <v>OK</v>
      </c>
    </row>
    <row r="1444" spans="1:4" x14ac:dyDescent="0.2">
      <c r="A1444" s="5">
        <v>1383</v>
      </c>
      <c r="B1444" s="138">
        <f>'Expenditures 15-22'!D277</f>
        <v>359498</v>
      </c>
      <c r="C1444" s="2" t="s">
        <v>593</v>
      </c>
      <c r="D1444" s="2" t="str">
        <f t="shared" si="21"/>
        <v>Error?</v>
      </c>
    </row>
    <row r="1445" spans="1:4" x14ac:dyDescent="0.2">
      <c r="A1445" s="5">
        <v>1384</v>
      </c>
      <c r="B1445" s="138">
        <f>'Expenditures 15-22'!D278</f>
        <v>65737</v>
      </c>
      <c r="D1445" s="2" t="str">
        <f t="shared" si="21"/>
        <v>Error?</v>
      </c>
    </row>
    <row r="1446" spans="1:4" x14ac:dyDescent="0.2">
      <c r="A1446" s="5">
        <v>1385</v>
      </c>
      <c r="B1446" s="138">
        <f>'Expenditures 15-22'!D279</f>
        <v>4156652</v>
      </c>
      <c r="C1446" s="2" t="s">
        <v>593</v>
      </c>
      <c r="D1446" s="2" t="str">
        <f t="shared" si="21"/>
        <v>Error?</v>
      </c>
    </row>
    <row r="1447" spans="1:4" x14ac:dyDescent="0.2">
      <c r="A1447" s="5">
        <v>1386</v>
      </c>
      <c r="B1447" s="138">
        <f>'Expenditures 15-22'!D280</f>
        <v>48896</v>
      </c>
      <c r="D1447" s="2" t="str">
        <f t="shared" si="21"/>
        <v>Error?</v>
      </c>
    </row>
    <row r="1448" spans="1:4" x14ac:dyDescent="0.2">
      <c r="A1448" s="5">
        <v>1387</v>
      </c>
      <c r="B1448" s="138">
        <f>'Expenditures 15-22'!D295</f>
        <v>6673551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59</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163542</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61411</v>
      </c>
      <c r="C1472" s="2" t="s">
        <v>593</v>
      </c>
      <c r="D1472" s="2" t="str">
        <f t="shared" si="22"/>
        <v>Error?</v>
      </c>
    </row>
    <row r="1473" spans="1:4" x14ac:dyDescent="0.2">
      <c r="A1473" s="5">
        <v>1412</v>
      </c>
      <c r="B1473" s="138">
        <f>'Expenditures 15-22'!K224</f>
        <v>1670</v>
      </c>
      <c r="C1473" s="2" t="s">
        <v>593</v>
      </c>
      <c r="D1473" s="2" t="str">
        <f t="shared" si="22"/>
        <v>Error?</v>
      </c>
    </row>
    <row r="1474" spans="1:4" x14ac:dyDescent="0.2">
      <c r="A1474" s="5">
        <v>1413</v>
      </c>
      <c r="B1474" s="138">
        <f>'Expenditures 15-22'!K229</f>
        <v>2468003</v>
      </c>
      <c r="C1474" s="2" t="s">
        <v>593</v>
      </c>
      <c r="D1474" s="2" t="str">
        <f t="shared" si="22"/>
        <v>Error?</v>
      </c>
    </row>
    <row r="1475" spans="1:4" x14ac:dyDescent="0.2">
      <c r="A1475" s="5">
        <v>1414</v>
      </c>
      <c r="B1475" s="138">
        <f>'Expenditures 15-22'!K232</f>
        <v>441756</v>
      </c>
      <c r="C1475" s="2" t="s">
        <v>593</v>
      </c>
      <c r="D1475" s="2" t="str">
        <f t="shared" si="22"/>
        <v>Error?</v>
      </c>
    </row>
    <row r="1476" spans="1:4" x14ac:dyDescent="0.2">
      <c r="A1476" s="5">
        <v>1415</v>
      </c>
      <c r="B1476" s="138">
        <f>'Expenditures 15-22'!K233</f>
        <v>157336</v>
      </c>
      <c r="C1476" s="2" t="s">
        <v>593</v>
      </c>
      <c r="D1476" s="2" t="str">
        <f t="shared" si="22"/>
        <v>Error?</v>
      </c>
    </row>
    <row r="1477" spans="1:4" x14ac:dyDescent="0.2">
      <c r="A1477" s="5">
        <v>1416</v>
      </c>
      <c r="B1477" s="138">
        <f>'Expenditures 15-22'!K234</f>
        <v>387673</v>
      </c>
      <c r="C1477" s="2" t="s">
        <v>593</v>
      </c>
      <c r="D1477" s="2" t="str">
        <f t="shared" si="22"/>
        <v>Error?</v>
      </c>
    </row>
    <row r="1478" spans="1:4" x14ac:dyDescent="0.2">
      <c r="A1478" s="5">
        <v>1417</v>
      </c>
      <c r="B1478" s="138">
        <f>'Expenditures 15-22'!K235</f>
        <v>25565</v>
      </c>
      <c r="C1478" s="2" t="s">
        <v>593</v>
      </c>
      <c r="D1478" s="2" t="str">
        <f t="shared" si="22"/>
        <v>Error?</v>
      </c>
    </row>
    <row r="1479" spans="1:4" x14ac:dyDescent="0.2">
      <c r="A1479" s="5">
        <v>1418</v>
      </c>
      <c r="B1479" s="138">
        <f>'Expenditures 15-22'!K236</f>
        <v>31283</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1043613</v>
      </c>
      <c r="C1481" s="2" t="s">
        <v>593</v>
      </c>
      <c r="D1481" s="2" t="str">
        <f t="shared" si="22"/>
        <v>Error?</v>
      </c>
    </row>
    <row r="1482" spans="1:4" x14ac:dyDescent="0.2">
      <c r="A1482" s="5">
        <v>1421</v>
      </c>
      <c r="B1482" s="138">
        <f>'Expenditures 15-22'!K240</f>
        <v>312852</v>
      </c>
      <c r="C1482" s="2" t="s">
        <v>593</v>
      </c>
      <c r="D1482" s="2" t="str">
        <f t="shared" si="22"/>
        <v>Error?</v>
      </c>
    </row>
    <row r="1483" spans="1:4" x14ac:dyDescent="0.2">
      <c r="A1483" s="5">
        <v>1422</v>
      </c>
      <c r="B1483" s="138">
        <f>'Expenditures 15-22'!K241</f>
        <v>106605</v>
      </c>
      <c r="C1483" s="2" t="s">
        <v>593</v>
      </c>
      <c r="D1483" s="2" t="str">
        <f t="shared" si="22"/>
        <v>Error?</v>
      </c>
    </row>
    <row r="1484" spans="1:4" x14ac:dyDescent="0.2">
      <c r="A1484" s="5">
        <v>1423</v>
      </c>
      <c r="B1484" s="138">
        <f>'Expenditures 15-22'!K242</f>
        <v>3979</v>
      </c>
      <c r="C1484" s="2" t="s">
        <v>593</v>
      </c>
      <c r="D1484" s="2" t="str">
        <f t="shared" si="22"/>
        <v>Error?</v>
      </c>
    </row>
    <row r="1485" spans="1:4" x14ac:dyDescent="0.2">
      <c r="A1485" s="5">
        <v>1424</v>
      </c>
      <c r="B1485" s="138">
        <f>'Expenditures 15-22'!K243</f>
        <v>423436</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15791</v>
      </c>
      <c r="C1487" s="2" t="s">
        <v>593</v>
      </c>
      <c r="D1487" s="2" t="str">
        <f t="shared" si="22"/>
        <v>Error?</v>
      </c>
    </row>
    <row r="1488" spans="1:4" x14ac:dyDescent="0.2">
      <c r="A1488" s="5">
        <v>1427</v>
      </c>
      <c r="B1488" s="138">
        <f>'Expenditures 15-22'!K257</f>
        <v>124594</v>
      </c>
      <c r="C1488" s="2" t="s">
        <v>593</v>
      </c>
      <c r="D1488" s="2" t="str">
        <f t="shared" si="22"/>
        <v>Error?</v>
      </c>
    </row>
    <row r="1489" spans="1:4" x14ac:dyDescent="0.2">
      <c r="A1489" s="5">
        <v>1428</v>
      </c>
      <c r="B1489" s="138">
        <f>'Expenditures 15-22'!K259</f>
        <v>404698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404698</v>
      </c>
      <c r="C1491" s="2" t="s">
        <v>593</v>
      </c>
      <c r="D1491" s="2" t="str">
        <f t="shared" si="22"/>
        <v>Error?</v>
      </c>
    </row>
    <row r="1492" spans="1:4" x14ac:dyDescent="0.2">
      <c r="A1492" s="5">
        <v>1431</v>
      </c>
      <c r="B1492" s="138">
        <f>'Expenditures 15-22'!K263</f>
        <v>41799</v>
      </c>
      <c r="C1492" s="2" t="s">
        <v>593</v>
      </c>
      <c r="D1492" s="2" t="str">
        <f t="shared" si="22"/>
        <v>Error?</v>
      </c>
    </row>
    <row r="1493" spans="1:4" x14ac:dyDescent="0.2">
      <c r="A1493" s="5">
        <v>1432</v>
      </c>
      <c r="B1493" s="138">
        <f>'Expenditures 15-22'!K264</f>
        <v>171264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1374431</v>
      </c>
      <c r="C1495" s="2" t="s">
        <v>593</v>
      </c>
      <c r="D1495" s="2" t="str">
        <f t="shared" si="22"/>
        <v>Error?</v>
      </c>
    </row>
    <row r="1496" spans="1:4" x14ac:dyDescent="0.2">
      <c r="A1496" s="5">
        <v>1435</v>
      </c>
      <c r="B1496" s="138">
        <f>'Expenditures 15-22'!K267</f>
        <v>21970</v>
      </c>
      <c r="C1496" s="2" t="s">
        <v>593</v>
      </c>
      <c r="D1496" s="2" t="str">
        <f t="shared" si="22"/>
        <v>Error?</v>
      </c>
    </row>
    <row r="1497" spans="1:4" x14ac:dyDescent="0.2">
      <c r="A1497" s="5">
        <v>1436</v>
      </c>
      <c r="B1497" s="138">
        <f>'Expenditures 15-22'!K268</f>
        <v>59536</v>
      </c>
      <c r="C1497" s="2" t="s">
        <v>593</v>
      </c>
      <c r="D1497" s="2" t="str">
        <f t="shared" si="22"/>
        <v>Error?</v>
      </c>
    </row>
    <row r="1498" spans="1:4" x14ac:dyDescent="0.2">
      <c r="A1498" s="5">
        <v>1437</v>
      </c>
      <c r="B1498" s="138">
        <f>'Expenditures 15-22'!K269</f>
        <v>66076</v>
      </c>
      <c r="C1498" s="2" t="s">
        <v>593</v>
      </c>
      <c r="D1498" s="2" t="str">
        <f t="shared" si="22"/>
        <v>Error?</v>
      </c>
    </row>
    <row r="1499" spans="1:4" x14ac:dyDescent="0.2">
      <c r="A1499" s="10">
        <v>1438</v>
      </c>
      <c r="D1499" s="2" t="str">
        <f t="shared" si="22"/>
        <v>OK</v>
      </c>
    </row>
    <row r="1500" spans="1:4" x14ac:dyDescent="0.2">
      <c r="A1500" s="5">
        <v>1439</v>
      </c>
      <c r="B1500" s="138">
        <f>'Expenditures 15-22'!K270</f>
        <v>1735076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33084</v>
      </c>
      <c r="C1503" s="2" t="s">
        <v>593</v>
      </c>
      <c r="D1503" s="2" t="str">
        <f t="shared" si="22"/>
        <v>Error?</v>
      </c>
    </row>
    <row r="1504" spans="1:4" x14ac:dyDescent="0.2">
      <c r="A1504" s="5">
        <v>1443</v>
      </c>
      <c r="B1504" s="138">
        <f>'Expenditures 15-22'!K275</f>
        <v>71938</v>
      </c>
      <c r="C1504" s="2" t="s">
        <v>593</v>
      </c>
      <c r="D1504" s="2" t="str">
        <f t="shared" si="22"/>
        <v>Error?</v>
      </c>
    </row>
    <row r="1505" spans="1:4" x14ac:dyDescent="0.2">
      <c r="A1505" s="10">
        <v>1444</v>
      </c>
      <c r="D1505" s="2" t="str">
        <f t="shared" si="22"/>
        <v>OK</v>
      </c>
    </row>
    <row r="1506" spans="1:4" x14ac:dyDescent="0.2">
      <c r="A1506" s="5">
        <v>1445</v>
      </c>
      <c r="B1506" s="138">
        <f>'Expenditures 15-22'!K276</f>
        <v>254476</v>
      </c>
      <c r="C1506" s="2" t="s">
        <v>593</v>
      </c>
      <c r="D1506" s="2" t="str">
        <f t="shared" si="22"/>
        <v>Error?</v>
      </c>
    </row>
    <row r="1507" spans="1:4" x14ac:dyDescent="0.2">
      <c r="A1507" s="10">
        <v>1446</v>
      </c>
      <c r="D1507" s="2" t="str">
        <f t="shared" si="22"/>
        <v>OK</v>
      </c>
    </row>
    <row r="1508" spans="1:4" x14ac:dyDescent="0.2">
      <c r="A1508" s="5">
        <v>1447</v>
      </c>
      <c r="B1508" s="138">
        <f>'Expenditures 15-22'!K277</f>
        <v>359498</v>
      </c>
      <c r="C1508" s="2" t="s">
        <v>593</v>
      </c>
      <c r="D1508" s="2" t="str">
        <f t="shared" si="22"/>
        <v>Error?</v>
      </c>
    </row>
    <row r="1509" spans="1:4" x14ac:dyDescent="0.2">
      <c r="A1509" s="5">
        <v>1448</v>
      </c>
      <c r="B1509" s="138">
        <f>'Expenditures 15-22'!K278</f>
        <v>65737</v>
      </c>
      <c r="C1509" s="2" t="s">
        <v>593</v>
      </c>
      <c r="D1509" s="2" t="str">
        <f t="shared" si="22"/>
        <v>Error?</v>
      </c>
    </row>
    <row r="1510" spans="1:4" x14ac:dyDescent="0.2">
      <c r="A1510" s="5">
        <v>1449</v>
      </c>
      <c r="B1510" s="138">
        <f>'Expenditures 15-22'!K279</f>
        <v>4156652</v>
      </c>
      <c r="C1510" s="2" t="s">
        <v>593</v>
      </c>
      <c r="D1510" s="2" t="str">
        <f t="shared" si="22"/>
        <v>Error?</v>
      </c>
    </row>
    <row r="1511" spans="1:4" x14ac:dyDescent="0.2">
      <c r="A1511" s="5">
        <v>1450</v>
      </c>
      <c r="B1511" s="138">
        <f>'Expenditures 15-22'!K280</f>
        <v>48896</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6673551</v>
      </c>
      <c r="C1517" s="2" t="s">
        <v>593</v>
      </c>
      <c r="D1517" s="2" t="str">
        <f t="shared" si="22"/>
        <v>Error?</v>
      </c>
    </row>
    <row r="1518" spans="1:4" x14ac:dyDescent="0.2">
      <c r="A1518" s="5">
        <v>1457</v>
      </c>
      <c r="B1518" s="138">
        <f>'Expenditures 15-22'!K296</f>
        <v>262177</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553350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553350</v>
      </c>
      <c r="C1535" s="2" t="s">
        <v>593</v>
      </c>
      <c r="D1535" s="2" t="str">
        <f t="shared" ref="D1535:D1598" si="23">IF(ISBLANK(B1535),"OK",IF(A1535-B1535=0,"OK","Error?"))</f>
        <v>Error?</v>
      </c>
    </row>
    <row r="1536" spans="1:4" x14ac:dyDescent="0.2">
      <c r="A1536" s="5">
        <v>1475</v>
      </c>
      <c r="B1536" s="138">
        <f>'Expenditures 15-22'!E312</f>
        <v>553350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690339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690339</v>
      </c>
      <c r="C1547" s="2" t="s">
        <v>593</v>
      </c>
      <c r="D1547" s="2" t="str">
        <f t="shared" si="23"/>
        <v>Error?</v>
      </c>
    </row>
    <row r="1548" spans="1:4" x14ac:dyDescent="0.2">
      <c r="A1548" s="5">
        <v>1487</v>
      </c>
      <c r="B1548" s="138">
        <f>'Expenditures 15-22'!G312</f>
        <v>690339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1243689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1243689</v>
      </c>
      <c r="C1559" s="2" t="s">
        <v>593</v>
      </c>
      <c r="D1559" s="2" t="str">
        <f t="shared" si="23"/>
        <v>Error?</v>
      </c>
    </row>
    <row r="1560" spans="1:4" x14ac:dyDescent="0.2">
      <c r="A1560" s="5">
        <v>1499</v>
      </c>
      <c r="B1560" s="138">
        <f>'Expenditures 15-22'!K312</f>
        <v>1243689</v>
      </c>
      <c r="C1560" s="2" t="s">
        <v>593</v>
      </c>
      <c r="D1560" s="2" t="str">
        <f t="shared" si="23"/>
        <v>Error?</v>
      </c>
    </row>
    <row r="1561" spans="1:4" x14ac:dyDescent="0.2">
      <c r="A1561" s="5">
        <v>1500</v>
      </c>
      <c r="B1561" s="138">
        <f>'Expenditures 15-22'!K313</f>
        <v>-950689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4385315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30782964</v>
      </c>
      <c r="C1630" s="2" t="s">
        <v>593</v>
      </c>
      <c r="D1630" s="2" t="str">
        <f t="shared" si="24"/>
        <v>Error?</v>
      </c>
    </row>
    <row r="1631" spans="1:4" x14ac:dyDescent="0.2">
      <c r="A1631" s="5">
        <v>1570</v>
      </c>
      <c r="B1631" s="138">
        <f>'Acct Summary 7-8'!D79</f>
        <v>2846114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4769489</v>
      </c>
      <c r="C1644" s="2" t="s">
        <v>593</v>
      </c>
      <c r="D1644" s="2" t="str">
        <f t="shared" si="24"/>
        <v>Error?</v>
      </c>
    </row>
    <row r="1645" spans="1:4" x14ac:dyDescent="0.2">
      <c r="A1645" s="5">
        <v>1584</v>
      </c>
      <c r="B1645" s="138">
        <f>'Acct Summary 7-8'!E79</f>
        <v>5385750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1702018</v>
      </c>
      <c r="C1658" s="2" t="s">
        <v>593</v>
      </c>
      <c r="D1658" s="2" t="str">
        <f t="shared" si="24"/>
        <v>Error?</v>
      </c>
    </row>
    <row r="1659" spans="1:4" x14ac:dyDescent="0.2">
      <c r="A1659" s="5">
        <v>1598</v>
      </c>
      <c r="B1659" s="138">
        <f>'Acct Summary 7-8'!F79</f>
        <v>4609460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5082383</v>
      </c>
      <c r="C1672" s="2" t="s">
        <v>593</v>
      </c>
      <c r="D1672" s="2" t="str">
        <f t="shared" si="25"/>
        <v>Error?</v>
      </c>
    </row>
    <row r="1673" spans="1:4" x14ac:dyDescent="0.2">
      <c r="A1673" s="5">
        <v>1612</v>
      </c>
      <c r="B1673" s="138">
        <f>'Acct Summary 7-8'!G79</f>
        <v>669038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931215</v>
      </c>
      <c r="C1686" s="2" t="s">
        <v>593</v>
      </c>
      <c r="D1686" s="2" t="str">
        <f t="shared" si="25"/>
        <v>Error?</v>
      </c>
    </row>
    <row r="1687" spans="1:4" x14ac:dyDescent="0.2">
      <c r="A1687" s="5">
        <v>1626</v>
      </c>
      <c r="B1687" s="138">
        <f>'Acct Summary 7-8'!H79</f>
        <v>-4456181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-1206870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24862584</v>
      </c>
      <c r="C1744" s="2" t="s">
        <v>593</v>
      </c>
      <c r="D1744" s="2" t="str">
        <f t="shared" si="26"/>
        <v>Error?</v>
      </c>
    </row>
    <row r="1745" spans="1:5" x14ac:dyDescent="0.2">
      <c r="A1745" s="5">
        <v>1684</v>
      </c>
      <c r="B1745" s="138">
        <f>'Tax Sched 23'!B5</f>
        <v>5024230</v>
      </c>
      <c r="C1745" s="2" t="s">
        <v>593</v>
      </c>
      <c r="D1745" s="2" t="str">
        <f t="shared" si="26"/>
        <v>Error?</v>
      </c>
    </row>
    <row r="1746" spans="1:5" x14ac:dyDescent="0.2">
      <c r="A1746" s="5">
        <v>1685</v>
      </c>
      <c r="B1746" s="138">
        <f>'Tax Sched 23'!B6</f>
        <v>9784613</v>
      </c>
      <c r="C1746" s="2" t="s">
        <v>593</v>
      </c>
      <c r="D1746" s="2" t="str">
        <f t="shared" si="26"/>
        <v>Error?</v>
      </c>
    </row>
    <row r="1747" spans="1:5" x14ac:dyDescent="0.2">
      <c r="A1747" s="5">
        <v>1686</v>
      </c>
      <c r="B1747" s="138">
        <f>'Tax Sched 23'!B7</f>
        <v>6127535</v>
      </c>
      <c r="C1747" s="2" t="s">
        <v>593</v>
      </c>
      <c r="D1747" s="2" t="str">
        <f t="shared" si="26"/>
        <v>Error?</v>
      </c>
    </row>
    <row r="1748" spans="1:5" x14ac:dyDescent="0.2">
      <c r="A1748" s="5">
        <v>1687</v>
      </c>
      <c r="B1748" s="138">
        <f>'Tax Sched 23'!B8</f>
        <v>3462864</v>
      </c>
      <c r="C1748" s="2" t="s">
        <v>593</v>
      </c>
      <c r="D1748" s="2" t="str">
        <f t="shared" si="26"/>
        <v>Error?</v>
      </c>
    </row>
    <row r="1749" spans="1:5" x14ac:dyDescent="0.2">
      <c r="A1749" s="5">
        <v>1688</v>
      </c>
      <c r="B1749" s="138">
        <f>'Tax Sched 23'!B10</f>
        <v>132083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1793601</v>
      </c>
      <c r="C1752" s="2" t="s">
        <v>593</v>
      </c>
      <c r="D1752" s="2" t="str">
        <f t="shared" si="26"/>
        <v>Error?</v>
      </c>
    </row>
    <row r="1753" spans="1:5" x14ac:dyDescent="0.2">
      <c r="A1753" s="5">
        <v>1692</v>
      </c>
      <c r="B1753" s="138">
        <f>'Tax Sched 23'!B12</f>
        <v>652334</v>
      </c>
      <c r="C1753" s="2" t="s">
        <v>593</v>
      </c>
      <c r="D1753" s="2" t="str">
        <f t="shared" si="26"/>
        <v>Error?</v>
      </c>
    </row>
    <row r="1754" spans="1:5" x14ac:dyDescent="0.2">
      <c r="A1754" s="5">
        <v>1693</v>
      </c>
      <c r="B1754" s="138">
        <f>'Tax Sched 23'!B14</f>
        <v>5359180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60661888</v>
      </c>
      <c r="C1759" s="2" t="s">
        <v>593</v>
      </c>
      <c r="D1759" s="2" t="str">
        <f t="shared" si="26"/>
        <v>Error?</v>
      </c>
    </row>
    <row r="1760" spans="1:5" x14ac:dyDescent="0.2">
      <c r="A1760" s="5">
        <v>1699</v>
      </c>
      <c r="B1760" s="138">
        <f>'Tax Sched 23'!D4</f>
        <v>11985143</v>
      </c>
      <c r="C1760" s="2" t="s">
        <v>593</v>
      </c>
      <c r="D1760" s="2" t="str">
        <f t="shared" si="26"/>
        <v>Error?</v>
      </c>
    </row>
    <row r="1761" spans="1:5" x14ac:dyDescent="0.2">
      <c r="A1761" s="5">
        <v>1700</v>
      </c>
      <c r="B1761" s="138">
        <f>'Tax Sched 23'!D5</f>
        <v>2328408</v>
      </c>
      <c r="C1761" s="2" t="s">
        <v>593</v>
      </c>
      <c r="D1761" s="2" t="str">
        <f t="shared" si="26"/>
        <v>Error?</v>
      </c>
    </row>
    <row r="1762" spans="1:5" s="8" customFormat="1" x14ac:dyDescent="0.2">
      <c r="A1762" s="5">
        <v>1701</v>
      </c>
      <c r="B1762" s="138">
        <f>'Tax Sched 23'!D6</f>
        <v>4708441</v>
      </c>
      <c r="C1762" s="2" t="s">
        <v>593</v>
      </c>
      <c r="D1762" s="2" t="str">
        <f t="shared" si="26"/>
        <v>Error?</v>
      </c>
      <c r="E1762" s="9"/>
    </row>
    <row r="1763" spans="1:5" x14ac:dyDescent="0.2">
      <c r="A1763" s="5">
        <v>1702</v>
      </c>
      <c r="B1763" s="138">
        <f>'Tax Sched 23'!D7</f>
        <v>3237353</v>
      </c>
      <c r="C1763" s="2" t="s">
        <v>593</v>
      </c>
      <c r="D1763" s="2" t="str">
        <f t="shared" si="26"/>
        <v>Error?</v>
      </c>
    </row>
    <row r="1764" spans="1:5" x14ac:dyDescent="0.2">
      <c r="A1764" s="5">
        <v>1703</v>
      </c>
      <c r="B1764" s="138">
        <f>'Tax Sched 23'!D8</f>
        <v>1628001</v>
      </c>
      <c r="C1764" s="2" t="s">
        <v>593</v>
      </c>
      <c r="D1764" s="2" t="str">
        <f t="shared" si="26"/>
        <v>Error?</v>
      </c>
    </row>
    <row r="1765" spans="1:5" x14ac:dyDescent="0.2">
      <c r="A1765" s="5">
        <v>1704</v>
      </c>
      <c r="B1765" s="138">
        <f>'Tax Sched 23'!D10</f>
        <v>62091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844535</v>
      </c>
      <c r="C1768" s="2" t="s">
        <v>593</v>
      </c>
      <c r="D1768" s="2" t="str">
        <f t="shared" si="26"/>
        <v>Error?</v>
      </c>
    </row>
    <row r="1769" spans="1:5" x14ac:dyDescent="0.2">
      <c r="A1769" s="5">
        <v>1708</v>
      </c>
      <c r="B1769" s="138">
        <f>'Tax Sched 23'!D12</f>
        <v>310455</v>
      </c>
      <c r="C1769" s="2" t="s">
        <v>593</v>
      </c>
      <c r="D1769" s="2" t="str">
        <f t="shared" si="26"/>
        <v>Error?</v>
      </c>
    </row>
    <row r="1770" spans="1:5" x14ac:dyDescent="0.2">
      <c r="A1770" s="5">
        <v>1709</v>
      </c>
      <c r="B1770" s="138">
        <f>'Tax Sched 23'!D14</f>
        <v>2483636</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29216064</v>
      </c>
      <c r="C1775" s="2" t="s">
        <v>593</v>
      </c>
      <c r="D1775" s="2" t="str">
        <f t="shared" si="26"/>
        <v>Error?</v>
      </c>
    </row>
    <row r="1776" spans="1:5" x14ac:dyDescent="0.2">
      <c r="A1776" s="5">
        <v>1715</v>
      </c>
      <c r="B1776" s="138">
        <f>'Tax Sched 23'!C4</f>
        <v>12877441</v>
      </c>
      <c r="D1776" s="2" t="str">
        <f t="shared" si="26"/>
        <v>Error?</v>
      </c>
    </row>
    <row r="1777" spans="1:4" x14ac:dyDescent="0.2">
      <c r="A1777" s="5">
        <v>1716</v>
      </c>
      <c r="B1777" s="138">
        <f>'Tax Sched 23'!C5</f>
        <v>2695822</v>
      </c>
      <c r="D1777" s="2" t="str">
        <f t="shared" si="26"/>
        <v>Error?</v>
      </c>
    </row>
    <row r="1778" spans="1:4" x14ac:dyDescent="0.2">
      <c r="A1778" s="5">
        <v>1717</v>
      </c>
      <c r="B1778" s="138">
        <f>'Tax Sched 23'!C6</f>
        <v>5076172</v>
      </c>
      <c r="D1778" s="2" t="str">
        <f t="shared" si="26"/>
        <v>Error?</v>
      </c>
    </row>
    <row r="1779" spans="1:4" x14ac:dyDescent="0.2">
      <c r="A1779" s="5">
        <v>1718</v>
      </c>
      <c r="B1779" s="138">
        <f>'Tax Sched 23'!C7</f>
        <v>2890182</v>
      </c>
      <c r="D1779" s="2" t="str">
        <f t="shared" si="26"/>
        <v>Error?</v>
      </c>
    </row>
    <row r="1780" spans="1:4" x14ac:dyDescent="0.2">
      <c r="A1780" s="5">
        <v>1719</v>
      </c>
      <c r="B1780" s="138">
        <f>'Tax Sched 23'!C8</f>
        <v>1834863</v>
      </c>
      <c r="D1780" s="2" t="str">
        <f t="shared" si="26"/>
        <v>Error?</v>
      </c>
    </row>
    <row r="1781" spans="1:4" x14ac:dyDescent="0.2">
      <c r="A1781" s="5">
        <v>1720</v>
      </c>
      <c r="B1781" s="138">
        <f>'Tax Sched 23'!C10</f>
        <v>69992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949066</v>
      </c>
      <c r="D1784" s="2" t="str">
        <f t="shared" si="26"/>
        <v>Error?</v>
      </c>
    </row>
    <row r="1785" spans="1:4" x14ac:dyDescent="0.2">
      <c r="A1785" s="5">
        <v>1724</v>
      </c>
      <c r="B1785" s="138">
        <f>'Tax Sched 23'!C12</f>
        <v>341879</v>
      </c>
      <c r="D1785" s="2" t="str">
        <f t="shared" si="26"/>
        <v>Error?</v>
      </c>
    </row>
    <row r="1786" spans="1:4" x14ac:dyDescent="0.2">
      <c r="A1786" s="5">
        <v>1725</v>
      </c>
      <c r="B1786" s="138">
        <f>'Tax Sched 23'!C14</f>
        <v>2875544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31445824</v>
      </c>
      <c r="C1791" s="2" t="s">
        <v>593</v>
      </c>
      <c r="D1791" s="2" t="str">
        <f t="shared" ref="D1791:D1854" si="27">IF(ISBLANK(B1791),"OK",IF(A1791-B1791=0,"OK","Error?"))</f>
        <v>Error?</v>
      </c>
    </row>
    <row r="1792" spans="1:4" x14ac:dyDescent="0.2">
      <c r="A1792" s="5">
        <v>1731</v>
      </c>
      <c r="B1792" s="138">
        <f>'Tax Sched 23'!F4</f>
        <v>12175340</v>
      </c>
      <c r="C1792" s="2" t="s">
        <v>593</v>
      </c>
      <c r="D1792" s="2" t="str">
        <f t="shared" si="27"/>
        <v>Error?</v>
      </c>
    </row>
    <row r="1793" spans="1:4" x14ac:dyDescent="0.2">
      <c r="A1793" s="5">
        <v>1732</v>
      </c>
      <c r="B1793" s="138">
        <f>'Tax Sched 23'!F5</f>
        <v>2548841</v>
      </c>
      <c r="C1793" s="2" t="s">
        <v>593</v>
      </c>
      <c r="D1793" s="2" t="str">
        <f t="shared" si="27"/>
        <v>Error?</v>
      </c>
    </row>
    <row r="1794" spans="1:4" x14ac:dyDescent="0.2">
      <c r="A1794" s="5">
        <v>1733</v>
      </c>
      <c r="B1794" s="138">
        <f>'Tax Sched 23'!F6</f>
        <v>4799409</v>
      </c>
      <c r="C1794" s="2" t="s">
        <v>593</v>
      </c>
      <c r="D1794" s="2" t="str">
        <f t="shared" si="27"/>
        <v>Error?</v>
      </c>
    </row>
    <row r="1795" spans="1:4" x14ac:dyDescent="0.2">
      <c r="A1795" s="5">
        <v>1734</v>
      </c>
      <c r="B1795" s="138">
        <f>'Tax Sched 23'!F7</f>
        <v>2732603</v>
      </c>
      <c r="C1795" s="2" t="s">
        <v>593</v>
      </c>
      <c r="D1795" s="2" t="str">
        <f t="shared" si="27"/>
        <v>Error?</v>
      </c>
    </row>
    <row r="1796" spans="1:4" x14ac:dyDescent="0.2">
      <c r="A1796" s="5">
        <v>1735</v>
      </c>
      <c r="B1796" s="138">
        <f>'Tax Sched 23'!F8</f>
        <v>1734824</v>
      </c>
      <c r="C1796" s="2" t="s">
        <v>593</v>
      </c>
      <c r="D1796" s="2" t="str">
        <f t="shared" si="27"/>
        <v>Error?</v>
      </c>
    </row>
    <row r="1797" spans="1:4" x14ac:dyDescent="0.2">
      <c r="A1797" s="5">
        <v>1736</v>
      </c>
      <c r="B1797" s="138">
        <f>'Tax Sched 23'!F10</f>
        <v>66176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897321</v>
      </c>
      <c r="C1800" s="2" t="s">
        <v>593</v>
      </c>
      <c r="D1800" s="2" t="str">
        <f t="shared" si="27"/>
        <v>Error?</v>
      </c>
    </row>
    <row r="1801" spans="1:4" x14ac:dyDescent="0.2">
      <c r="A1801" s="5">
        <v>1740</v>
      </c>
      <c r="B1801" s="138">
        <f>'Tax Sched 23'!F12</f>
        <v>323239</v>
      </c>
      <c r="C1801" s="2" t="s">
        <v>593</v>
      </c>
      <c r="D1801" s="2" t="str">
        <f t="shared" si="27"/>
        <v>Error?</v>
      </c>
    </row>
    <row r="1802" spans="1:4" x14ac:dyDescent="0.2">
      <c r="A1802" s="5">
        <v>1741</v>
      </c>
      <c r="B1802" s="138">
        <f>'Tax Sched 23'!F14</f>
        <v>2718764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29731341</v>
      </c>
      <c r="C1807" s="2" t="s">
        <v>593</v>
      </c>
      <c r="D1807" s="2" t="str">
        <f t="shared" si="27"/>
        <v>Error?</v>
      </c>
    </row>
    <row r="1808" spans="1:4" x14ac:dyDescent="0.2">
      <c r="A1808" s="5">
        <v>1747</v>
      </c>
      <c r="B1808" s="138">
        <f>'Tax Sched 23'!E4</f>
        <v>25052781</v>
      </c>
      <c r="D1808" s="2" t="str">
        <f t="shared" si="27"/>
        <v>Error?</v>
      </c>
    </row>
    <row r="1809" spans="1:4" x14ac:dyDescent="0.2">
      <c r="A1809" s="5">
        <v>1748</v>
      </c>
      <c r="B1809" s="138">
        <f>'Tax Sched 23'!E5</f>
        <v>5244663</v>
      </c>
      <c r="D1809" s="2" t="str">
        <f t="shared" si="27"/>
        <v>Error?</v>
      </c>
    </row>
    <row r="1810" spans="1:4" x14ac:dyDescent="0.2">
      <c r="A1810" s="5">
        <v>1749</v>
      </c>
      <c r="B1810" s="138">
        <f>'Tax Sched 23'!E6</f>
        <v>9875581</v>
      </c>
      <c r="D1810" s="2" t="str">
        <f t="shared" si="27"/>
        <v>Error?</v>
      </c>
    </row>
    <row r="1811" spans="1:4" x14ac:dyDescent="0.2">
      <c r="A1811" s="5">
        <v>1750</v>
      </c>
      <c r="B1811" s="138">
        <f>'Tax Sched 23'!E7</f>
        <v>5622785</v>
      </c>
      <c r="D1811" s="2" t="str">
        <f t="shared" si="27"/>
        <v>Error?</v>
      </c>
    </row>
    <row r="1812" spans="1:4" x14ac:dyDescent="0.2">
      <c r="A1812" s="5">
        <v>1751</v>
      </c>
      <c r="B1812" s="138">
        <f>'Tax Sched 23'!E8</f>
        <v>3569687</v>
      </c>
      <c r="D1812" s="2" t="str">
        <f t="shared" si="27"/>
        <v>Error?</v>
      </c>
    </row>
    <row r="1813" spans="1:4" x14ac:dyDescent="0.2">
      <c r="A1813" s="5">
        <v>1752</v>
      </c>
      <c r="B1813" s="138">
        <f>'Tax Sched 23'!E10</f>
        <v>136168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1846387</v>
      </c>
      <c r="D1816" s="2" t="str">
        <f t="shared" si="27"/>
        <v>Error?</v>
      </c>
    </row>
    <row r="1817" spans="1:4" x14ac:dyDescent="0.2">
      <c r="A1817" s="5">
        <v>1756</v>
      </c>
      <c r="B1817" s="138">
        <f>'Tax Sched 23'!E12</f>
        <v>665118</v>
      </c>
      <c r="D1817" s="2" t="str">
        <f t="shared" si="27"/>
        <v>Error?</v>
      </c>
    </row>
    <row r="1818" spans="1:4" x14ac:dyDescent="0.2">
      <c r="A1818" s="5">
        <v>1757</v>
      </c>
      <c r="B1818" s="138">
        <f>'Tax Sched 23'!E14</f>
        <v>5594308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61177165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51881725</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5359180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5359180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5359180</v>
      </c>
      <c r="D1980" s="2" t="str">
        <f t="shared" si="29"/>
        <v>Error?</v>
      </c>
    </row>
    <row r="1981" spans="1:5" x14ac:dyDescent="0.2">
      <c r="A1981" s="10">
        <v>1920</v>
      </c>
      <c r="D1981" s="2" t="str">
        <f t="shared" si="29"/>
        <v>OK</v>
      </c>
      <c r="E1981" s="2" t="s">
        <v>137</v>
      </c>
    </row>
    <row r="1982" spans="1:5" x14ac:dyDescent="0.2">
      <c r="A1982" s="5">
        <v>1921</v>
      </c>
      <c r="B1982" s="138">
        <f>'Rest Tax Levies-Tort Im 25'!H23</f>
        <v>5359180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1518042</v>
      </c>
      <c r="D2008" s="2" t="str">
        <f t="shared" si="30"/>
        <v>Error?</v>
      </c>
    </row>
    <row r="2009" spans="1:4" x14ac:dyDescent="0.2">
      <c r="A2009" s="5">
        <v>1948</v>
      </c>
      <c r="B2009" s="138">
        <f>'Cap Outlay Deprec 26'!C8</f>
        <v>131856710</v>
      </c>
      <c r="D2009" s="2" t="str">
        <f t="shared" si="30"/>
        <v>Error?</v>
      </c>
    </row>
    <row r="2010" spans="1:4" x14ac:dyDescent="0.2">
      <c r="A2010" s="5">
        <v>1949</v>
      </c>
      <c r="B2010" s="138">
        <f>'Cap Outlay Deprec 26'!C10</f>
        <v>697952</v>
      </c>
      <c r="D2010" s="2" t="str">
        <f t="shared" si="30"/>
        <v>Error?</v>
      </c>
    </row>
    <row r="2011" spans="1:4" x14ac:dyDescent="0.2">
      <c r="A2011" s="5">
        <v>1950</v>
      </c>
      <c r="B2011" s="138">
        <f>'Cap Outlay Deprec 26'!C12</f>
        <v>9364885</v>
      </c>
      <c r="D2011" s="2" t="str">
        <f t="shared" si="30"/>
        <v>Error?</v>
      </c>
    </row>
    <row r="2012" spans="1:4" x14ac:dyDescent="0.2">
      <c r="A2012" s="5">
        <v>1951</v>
      </c>
      <c r="B2012" s="138">
        <f>'Cap Outlay Deprec 26'!C13</f>
        <v>1715701</v>
      </c>
      <c r="D2012" s="2" t="str">
        <f t="shared" si="30"/>
        <v>Error?</v>
      </c>
    </row>
    <row r="2013" spans="1:4" x14ac:dyDescent="0.2">
      <c r="A2013" s="5">
        <v>1952</v>
      </c>
      <c r="B2013" s="138">
        <f>'Cap Outlay Deprec 26'!C16</f>
        <v>145153290</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2514035</v>
      </c>
      <c r="D2015" s="2" t="str">
        <f t="shared" si="30"/>
        <v>Error?</v>
      </c>
    </row>
    <row r="2016" spans="1:4" x14ac:dyDescent="0.2">
      <c r="A2016" s="5">
        <v>1955</v>
      </c>
      <c r="B2016" s="138">
        <f>'Cap Outlay Deprec 26'!D10</f>
        <v>279263</v>
      </c>
      <c r="D2016" s="2" t="str">
        <f t="shared" si="30"/>
        <v>Error?</v>
      </c>
    </row>
    <row r="2017" spans="1:4" x14ac:dyDescent="0.2">
      <c r="A2017" s="5">
        <v>1956</v>
      </c>
      <c r="B2017" s="138">
        <f>'Cap Outlay Deprec 26'!D12</f>
        <v>314284</v>
      </c>
      <c r="D2017" s="2" t="str">
        <f t="shared" si="30"/>
        <v>Error?</v>
      </c>
    </row>
    <row r="2018" spans="1:4" x14ac:dyDescent="0.2">
      <c r="A2018" s="5">
        <v>1957</v>
      </c>
      <c r="B2018" s="138">
        <f>'Cap Outlay Deprec 26'!D13</f>
        <v>46446</v>
      </c>
      <c r="D2018" s="2" t="str">
        <f t="shared" si="30"/>
        <v>Error?</v>
      </c>
    </row>
    <row r="2019" spans="1:4" x14ac:dyDescent="0.2">
      <c r="A2019" s="5">
        <v>1958</v>
      </c>
      <c r="B2019" s="138">
        <f>'Cap Outlay Deprec 26'!D16</f>
        <v>4625140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1518042</v>
      </c>
      <c r="C2026" s="2" t="s">
        <v>593</v>
      </c>
      <c r="D2026" s="2" t="str">
        <f t="shared" si="30"/>
        <v>Error?</v>
      </c>
    </row>
    <row r="2027" spans="1:4" x14ac:dyDescent="0.2">
      <c r="A2027" s="5">
        <v>1966</v>
      </c>
      <c r="B2027" s="138">
        <f>'Cap Outlay Deprec 26'!F8</f>
        <v>134370745</v>
      </c>
      <c r="C2027" s="2" t="s">
        <v>593</v>
      </c>
      <c r="D2027" s="2" t="str">
        <f t="shared" si="30"/>
        <v>Error?</v>
      </c>
    </row>
    <row r="2028" spans="1:4" x14ac:dyDescent="0.2">
      <c r="A2028" s="5">
        <v>1967</v>
      </c>
      <c r="B2028" s="138">
        <f>'Cap Outlay Deprec 26'!F10</f>
        <v>977215</v>
      </c>
      <c r="C2028" s="2" t="s">
        <v>593</v>
      </c>
      <c r="D2028" s="2" t="str">
        <f t="shared" si="30"/>
        <v>Error?</v>
      </c>
    </row>
    <row r="2029" spans="1:4" x14ac:dyDescent="0.2">
      <c r="A2029" s="5">
        <v>1968</v>
      </c>
      <c r="B2029" s="138">
        <f>'Cap Outlay Deprec 26'!F12</f>
        <v>9679169</v>
      </c>
      <c r="C2029" s="2" t="s">
        <v>593</v>
      </c>
      <c r="D2029" s="2" t="str">
        <f t="shared" si="30"/>
        <v>Error?</v>
      </c>
    </row>
    <row r="2030" spans="1:4" x14ac:dyDescent="0.2">
      <c r="A2030" s="5">
        <v>1969</v>
      </c>
      <c r="B2030" s="138">
        <f>'Cap Outlay Deprec 26'!F13</f>
        <v>1762147</v>
      </c>
      <c r="C2030" s="2" t="s">
        <v>593</v>
      </c>
      <c r="D2030" s="2" t="str">
        <f t="shared" si="30"/>
        <v>Error?</v>
      </c>
    </row>
    <row r="2031" spans="1:4" x14ac:dyDescent="0.2">
      <c r="A2031" s="5">
        <v>1970</v>
      </c>
      <c r="B2031" s="138">
        <f>'Cap Outlay Deprec 26'!F16</f>
        <v>149778430</v>
      </c>
      <c r="C2031" s="2" t="s">
        <v>593</v>
      </c>
      <c r="D2031" s="2" t="str">
        <f t="shared" si="30"/>
        <v>Error?</v>
      </c>
    </row>
    <row r="2032" spans="1:4" x14ac:dyDescent="0.2">
      <c r="A2032" s="10">
        <v>1971</v>
      </c>
      <c r="D2032" s="2" t="str">
        <f t="shared" si="30"/>
        <v>OK</v>
      </c>
    </row>
    <row r="2033" spans="1:4" x14ac:dyDescent="0.2">
      <c r="A2033" s="5">
        <v>1972</v>
      </c>
      <c r="B2033" s="138">
        <f>'Cap Outlay Deprec 26'!H8</f>
        <v>55209870</v>
      </c>
      <c r="D2033" s="2" t="str">
        <f t="shared" si="30"/>
        <v>Error?</v>
      </c>
    </row>
    <row r="2034" spans="1:4" x14ac:dyDescent="0.2">
      <c r="A2034" s="5">
        <v>1973</v>
      </c>
      <c r="B2034" s="138">
        <f>'Cap Outlay Deprec 26'!H10</f>
        <v>122836</v>
      </c>
      <c r="D2034" s="2" t="str">
        <f t="shared" si="30"/>
        <v>Error?</v>
      </c>
    </row>
    <row r="2035" spans="1:4" x14ac:dyDescent="0.2">
      <c r="A2035" s="5">
        <v>1974</v>
      </c>
      <c r="B2035" s="138">
        <f>'Cap Outlay Deprec 26'!H12</f>
        <v>6918509</v>
      </c>
      <c r="D2035" s="2" t="str">
        <f t="shared" si="30"/>
        <v>Error?</v>
      </c>
    </row>
    <row r="2036" spans="1:4" x14ac:dyDescent="0.2">
      <c r="A2036" s="5">
        <v>1975</v>
      </c>
      <c r="B2036" s="138">
        <f>'Cap Outlay Deprec 26'!H13</f>
        <v>1598258</v>
      </c>
      <c r="D2036" s="2" t="str">
        <f t="shared" si="30"/>
        <v>Error?</v>
      </c>
    </row>
    <row r="2037" spans="1:4" x14ac:dyDescent="0.2">
      <c r="A2037" s="5">
        <v>1976</v>
      </c>
      <c r="B2037" s="138">
        <f>'Cap Outlay Deprec 26'!H16</f>
        <v>63849473</v>
      </c>
      <c r="C2037" s="2" t="s">
        <v>593</v>
      </c>
      <c r="D2037" s="2" t="str">
        <f t="shared" si="30"/>
        <v>Error?</v>
      </c>
    </row>
    <row r="2038" spans="1:4" x14ac:dyDescent="0.2">
      <c r="A2038" s="10">
        <v>1977</v>
      </c>
      <c r="D2038" s="2" t="str">
        <f t="shared" si="30"/>
        <v>OK</v>
      </c>
    </row>
    <row r="2039" spans="1:4" x14ac:dyDescent="0.2">
      <c r="A2039" s="5">
        <v>1978</v>
      </c>
      <c r="B2039" s="138">
        <f>'Cap Outlay Deprec 26'!I8</f>
        <v>4426089</v>
      </c>
      <c r="D2039" s="2" t="str">
        <f t="shared" si="30"/>
        <v>Error?</v>
      </c>
    </row>
    <row r="2040" spans="1:4" x14ac:dyDescent="0.2">
      <c r="A2040" s="5">
        <v>1979</v>
      </c>
      <c r="B2040" s="138">
        <f>'Cap Outlay Deprec 26'!I10</f>
        <v>37692</v>
      </c>
      <c r="D2040" s="2" t="str">
        <f t="shared" si="30"/>
        <v>Error?</v>
      </c>
    </row>
    <row r="2041" spans="1:4" x14ac:dyDescent="0.2">
      <c r="A2041" s="5">
        <v>1980</v>
      </c>
      <c r="B2041" s="138">
        <f>'Cap Outlay Deprec 26'!I12</f>
        <v>371969</v>
      </c>
      <c r="D2041" s="2" t="str">
        <f t="shared" si="30"/>
        <v>Error?</v>
      </c>
    </row>
    <row r="2042" spans="1:4" x14ac:dyDescent="0.2">
      <c r="A2042" s="5">
        <v>1981</v>
      </c>
      <c r="B2042" s="138">
        <f>'Cap Outlay Deprec 26'!I13</f>
        <v>76867</v>
      </c>
      <c r="D2042" s="2" t="str">
        <f t="shared" si="30"/>
        <v>Error?</v>
      </c>
    </row>
    <row r="2043" spans="1:4" x14ac:dyDescent="0.2">
      <c r="A2043" s="5">
        <v>1982</v>
      </c>
      <c r="B2043" s="138">
        <f>'Cap Outlay Deprec 26'!I16</f>
        <v>4912617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59635959</v>
      </c>
      <c r="C2051" s="2" t="s">
        <v>593</v>
      </c>
      <c r="D2051" s="2" t="str">
        <f t="shared" si="31"/>
        <v>Error?</v>
      </c>
    </row>
    <row r="2052" spans="1:4" x14ac:dyDescent="0.2">
      <c r="A2052" s="5">
        <v>1991</v>
      </c>
      <c r="B2052" s="138">
        <f>'Cap Outlay Deprec 26'!K10</f>
        <v>160528</v>
      </c>
      <c r="C2052" s="2" t="s">
        <v>593</v>
      </c>
      <c r="D2052" s="2" t="str">
        <f t="shared" si="31"/>
        <v>Error?</v>
      </c>
    </row>
    <row r="2053" spans="1:4" x14ac:dyDescent="0.2">
      <c r="A2053" s="5">
        <v>1992</v>
      </c>
      <c r="B2053" s="138">
        <f>'Cap Outlay Deprec 26'!K12</f>
        <v>7290478</v>
      </c>
      <c r="C2053" s="2" t="s">
        <v>593</v>
      </c>
      <c r="D2053" s="2" t="str">
        <f t="shared" si="31"/>
        <v>Error?</v>
      </c>
    </row>
    <row r="2054" spans="1:4" x14ac:dyDescent="0.2">
      <c r="A2054" s="5">
        <v>1993</v>
      </c>
      <c r="B2054" s="138">
        <f>'Cap Outlay Deprec 26'!K13</f>
        <v>1675125</v>
      </c>
      <c r="C2054" s="2" t="s">
        <v>593</v>
      </c>
      <c r="D2054" s="2" t="str">
        <f t="shared" si="31"/>
        <v>Error?</v>
      </c>
    </row>
    <row r="2055" spans="1:4" x14ac:dyDescent="0.2">
      <c r="A2055" s="5">
        <v>1994</v>
      </c>
      <c r="B2055" s="138">
        <f>'Cap Outlay Deprec 26'!K16</f>
        <v>68762090</v>
      </c>
      <c r="C2055" s="2" t="s">
        <v>593</v>
      </c>
      <c r="D2055" s="2" t="str">
        <f t="shared" si="31"/>
        <v>Error?</v>
      </c>
    </row>
    <row r="2056" spans="1:4" x14ac:dyDescent="0.2">
      <c r="A2056" s="5">
        <v>1995</v>
      </c>
      <c r="B2056" s="138">
        <f>'Cap Outlay Deprec 26'!L5</f>
        <v>1518042</v>
      </c>
      <c r="C2056" s="2" t="s">
        <v>593</v>
      </c>
      <c r="D2056" s="2" t="str">
        <f t="shared" si="31"/>
        <v>Error?</v>
      </c>
    </row>
    <row r="2057" spans="1:4" x14ac:dyDescent="0.2">
      <c r="A2057" s="5">
        <v>1996</v>
      </c>
      <c r="B2057" s="138">
        <f>'Cap Outlay Deprec 26'!L8</f>
        <v>74734786</v>
      </c>
      <c r="C2057" s="2" t="s">
        <v>593</v>
      </c>
      <c r="D2057" s="2" t="str">
        <f t="shared" si="31"/>
        <v>Error?</v>
      </c>
    </row>
    <row r="2058" spans="1:4" x14ac:dyDescent="0.2">
      <c r="A2058" s="5">
        <v>1997</v>
      </c>
      <c r="B2058" s="138">
        <f>'Cap Outlay Deprec 26'!L10</f>
        <v>816687</v>
      </c>
      <c r="C2058" s="2" t="s">
        <v>593</v>
      </c>
      <c r="D2058" s="2" t="str">
        <f t="shared" si="31"/>
        <v>Error?</v>
      </c>
    </row>
    <row r="2059" spans="1:4" x14ac:dyDescent="0.2">
      <c r="A2059" s="5">
        <v>1998</v>
      </c>
      <c r="B2059" s="138">
        <f>'Cap Outlay Deprec 26'!L12</f>
        <v>2388691</v>
      </c>
      <c r="C2059" s="2" t="s">
        <v>593</v>
      </c>
      <c r="D2059" s="2" t="str">
        <f t="shared" si="31"/>
        <v>Error?</v>
      </c>
    </row>
    <row r="2060" spans="1:4" x14ac:dyDescent="0.2">
      <c r="A2060" s="5">
        <v>1999</v>
      </c>
      <c r="B2060" s="138">
        <f>'Cap Outlay Deprec 26'!L13</f>
        <v>87022</v>
      </c>
      <c r="C2060" s="2" t="s">
        <v>593</v>
      </c>
      <c r="D2060" s="2" t="str">
        <f t="shared" si="31"/>
        <v>Error?</v>
      </c>
    </row>
    <row r="2061" spans="1:4" x14ac:dyDescent="0.2">
      <c r="A2061" s="5">
        <v>2000</v>
      </c>
      <c r="B2061" s="138">
        <f>'Cap Outlay Deprec 26'!L16</f>
        <v>81016340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62062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63377</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4769489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5082383</v>
      </c>
      <c r="D2475" s="2" t="str">
        <f t="shared" si="37"/>
        <v>Error?</v>
      </c>
    </row>
    <row r="2476" spans="1:4" x14ac:dyDescent="0.2">
      <c r="A2476" s="10">
        <v>2415</v>
      </c>
      <c r="D2476" s="2" t="str">
        <f t="shared" si="37"/>
        <v>OK</v>
      </c>
    </row>
    <row r="2477" spans="1:4" x14ac:dyDescent="0.2">
      <c r="A2477" s="5">
        <v>2416</v>
      </c>
      <c r="B2477" s="138">
        <f>'Assets-Liab 5-6'!G38</f>
        <v>931215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1702018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37466929</v>
      </c>
      <c r="C2551" s="2" t="s">
        <v>593</v>
      </c>
      <c r="D2551" s="2" t="str">
        <f t="shared" si="38"/>
        <v>Error?</v>
      </c>
    </row>
    <row r="2552" spans="1:4" x14ac:dyDescent="0.2">
      <c r="A2552" s="10">
        <v>2491</v>
      </c>
      <c r="D2552" s="2" t="str">
        <f t="shared" si="38"/>
        <v>OK</v>
      </c>
    </row>
    <row r="2553" spans="1:4" x14ac:dyDescent="0.2">
      <c r="A2553" s="5">
        <v>2492</v>
      </c>
      <c r="B2553" s="138">
        <f>'Acct Summary 7-8'!C6</f>
        <v>133347994</v>
      </c>
      <c r="C2553" s="2" t="s">
        <v>593</v>
      </c>
      <c r="D2553" s="2" t="str">
        <f t="shared" si="38"/>
        <v>Error?</v>
      </c>
    </row>
    <row r="2554" spans="1:4" x14ac:dyDescent="0.2">
      <c r="A2554" s="5">
        <v>2493</v>
      </c>
      <c r="B2554" s="138">
        <f>'Acct Summary 7-8'!C7</f>
        <v>20920916</v>
      </c>
      <c r="C2554" s="2" t="s">
        <v>593</v>
      </c>
      <c r="D2554" s="2" t="str">
        <f t="shared" si="38"/>
        <v>Error?</v>
      </c>
    </row>
    <row r="2555" spans="1:4" x14ac:dyDescent="0.2">
      <c r="A2555" s="5">
        <v>2494</v>
      </c>
      <c r="B2555" s="138">
        <f>'Acct Summary 7-8'!C8</f>
        <v>191735839</v>
      </c>
      <c r="C2555" s="2" t="s">
        <v>593</v>
      </c>
      <c r="D2555" s="2" t="str">
        <f t="shared" si="38"/>
        <v>Error?</v>
      </c>
    </row>
    <row r="2556" spans="1:4" x14ac:dyDescent="0.2">
      <c r="A2556" s="5">
        <v>2495</v>
      </c>
      <c r="B2556" s="138">
        <f>'Acct Summary 7-8'!C12</f>
        <v>104915169</v>
      </c>
      <c r="C2556" s="2" t="s">
        <v>593</v>
      </c>
      <c r="D2556" s="2" t="str">
        <f t="shared" si="38"/>
        <v>Error?</v>
      </c>
    </row>
    <row r="2557" spans="1:4" x14ac:dyDescent="0.2">
      <c r="A2557" s="5">
        <v>2496</v>
      </c>
      <c r="B2557" s="138">
        <f>'Acct Summary 7-8'!C13</f>
        <v>59144676</v>
      </c>
      <c r="C2557" s="2" t="s">
        <v>593</v>
      </c>
      <c r="D2557" s="2" t="str">
        <f t="shared" si="38"/>
        <v>Error?</v>
      </c>
    </row>
    <row r="2558" spans="1:4" x14ac:dyDescent="0.2">
      <c r="A2558" s="5">
        <v>2497</v>
      </c>
      <c r="B2558" s="138">
        <f>'Acct Summary 7-8'!C14</f>
        <v>1007933</v>
      </c>
      <c r="C2558" s="2" t="s">
        <v>593</v>
      </c>
      <c r="D2558" s="2" t="str">
        <f t="shared" si="38"/>
        <v>Error?</v>
      </c>
    </row>
    <row r="2559" spans="1:4" x14ac:dyDescent="0.2">
      <c r="A2559" s="5">
        <v>2498</v>
      </c>
      <c r="B2559" s="138">
        <f>'Acct Summary 7-8'!C15</f>
        <v>63377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165131155</v>
      </c>
      <c r="C2561" s="2" t="s">
        <v>593</v>
      </c>
      <c r="D2561" s="2" t="str">
        <f t="shared" si="39"/>
        <v>Error?</v>
      </c>
    </row>
    <row r="2562" spans="1:4" x14ac:dyDescent="0.2">
      <c r="A2562" s="5">
        <v>2501</v>
      </c>
      <c r="B2562" s="138">
        <f>'Acct Summary 7-8'!C20</f>
        <v>26604684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5053898</v>
      </c>
      <c r="C2564" s="2" t="s">
        <v>593</v>
      </c>
      <c r="D2564" s="2" t="str">
        <f t="shared" si="39"/>
        <v>Error?</v>
      </c>
    </row>
    <row r="2565" spans="1:4" x14ac:dyDescent="0.2">
      <c r="A2565" s="10">
        <v>2504</v>
      </c>
      <c r="D2565" s="2" t="str">
        <f t="shared" si="39"/>
        <v>OK</v>
      </c>
    </row>
    <row r="2566" spans="1:4" x14ac:dyDescent="0.2">
      <c r="A2566" s="5">
        <v>2505</v>
      </c>
      <c r="B2566" s="138">
        <f>'Acct Summary 7-8'!D6</f>
        <v>112014</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5165912</v>
      </c>
      <c r="C2568" s="2" t="s">
        <v>593</v>
      </c>
      <c r="D2568" s="2" t="str">
        <f t="shared" si="39"/>
        <v>Error?</v>
      </c>
    </row>
    <row r="2569" spans="1:4" x14ac:dyDescent="0.2">
      <c r="A2569" s="5">
        <v>2508</v>
      </c>
      <c r="B2569" s="138">
        <f>'Acct Summary 7-8'!D13</f>
        <v>9794177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9794177</v>
      </c>
      <c r="C2573" s="2" t="s">
        <v>593</v>
      </c>
      <c r="D2573" s="2" t="str">
        <f t="shared" si="39"/>
        <v>Error?</v>
      </c>
    </row>
    <row r="2574" spans="1:4" x14ac:dyDescent="0.2">
      <c r="A2574" s="5">
        <v>2513</v>
      </c>
      <c r="B2574" s="138">
        <f>'Acct Summary 7-8'!D20</f>
        <v>-4628265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6158300</v>
      </c>
      <c r="C2591" s="2" t="s">
        <v>593</v>
      </c>
      <c r="D2591" s="2" t="str">
        <f t="shared" si="39"/>
        <v>Error?</v>
      </c>
    </row>
    <row r="2592" spans="1:4" x14ac:dyDescent="0.2">
      <c r="A2592" s="10">
        <v>2531</v>
      </c>
      <c r="D2592" s="2" t="str">
        <f t="shared" si="39"/>
        <v>OK</v>
      </c>
    </row>
    <row r="2593" spans="1:4" x14ac:dyDescent="0.2">
      <c r="A2593" s="5">
        <v>2532</v>
      </c>
      <c r="B2593" s="138">
        <f>'Acct Summary 7-8'!F6</f>
        <v>7953485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14111785</v>
      </c>
      <c r="C2595" s="2" t="s">
        <v>593</v>
      </c>
      <c r="D2595" s="2" t="str">
        <f t="shared" si="39"/>
        <v>Error?</v>
      </c>
    </row>
    <row r="2596" spans="1:4" x14ac:dyDescent="0.2">
      <c r="A2596" s="5">
        <v>2535</v>
      </c>
      <c r="B2596" s="138">
        <f>'Acct Summary 7-8'!F13</f>
        <v>10077562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10077562</v>
      </c>
      <c r="C2600" s="2" t="s">
        <v>593</v>
      </c>
      <c r="D2600" s="2" t="str">
        <f t="shared" si="39"/>
        <v>Error?</v>
      </c>
    </row>
    <row r="2601" spans="1:4" x14ac:dyDescent="0.2">
      <c r="A2601" s="5">
        <v>2540</v>
      </c>
      <c r="B2601" s="138">
        <f>'Acct Summary 7-8'!F20</f>
        <v>4034223</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6935728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6935728</v>
      </c>
      <c r="C2606" s="2" t="s">
        <v>593</v>
      </c>
      <c r="D2606" s="2" t="str">
        <f t="shared" si="39"/>
        <v>Error?</v>
      </c>
    </row>
    <row r="2607" spans="1:4" x14ac:dyDescent="0.2">
      <c r="A2607" s="5">
        <v>2546</v>
      </c>
      <c r="B2607" s="138">
        <f>'Acct Summary 7-8'!G12</f>
        <v>2468003</v>
      </c>
      <c r="C2607" s="2" t="s">
        <v>593</v>
      </c>
      <c r="D2607" s="2" t="str">
        <f t="shared" si="39"/>
        <v>Error?</v>
      </c>
    </row>
    <row r="2608" spans="1:4" x14ac:dyDescent="0.2">
      <c r="A2608" s="5">
        <v>2547</v>
      </c>
      <c r="B2608" s="138">
        <f>'Acct Summary 7-8'!G13</f>
        <v>4156652</v>
      </c>
      <c r="C2608" s="2" t="s">
        <v>593</v>
      </c>
      <c r="D2608" s="2" t="str">
        <f t="shared" si="39"/>
        <v>Error?</v>
      </c>
    </row>
    <row r="2609" spans="1:4" x14ac:dyDescent="0.2">
      <c r="A2609" s="5">
        <v>2548</v>
      </c>
      <c r="B2609" s="138">
        <f>'Acct Summary 7-8'!G14</f>
        <v>48896</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6673551</v>
      </c>
      <c r="C2612" s="2" t="s">
        <v>593</v>
      </c>
      <c r="D2612" s="2" t="str">
        <f t="shared" si="39"/>
        <v>Error?</v>
      </c>
    </row>
    <row r="2613" spans="1:4" x14ac:dyDescent="0.2">
      <c r="A2613" s="5">
        <v>2552</v>
      </c>
      <c r="B2613" s="138">
        <f>'Acct Summary 7-8'!G20</f>
        <v>262177</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9784613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9784613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9885040</v>
      </c>
      <c r="C2634" s="2" t="s">
        <v>593</v>
      </c>
      <c r="D2634" s="2" t="str">
        <f t="shared" si="40"/>
        <v>Error?</v>
      </c>
    </row>
    <row r="2635" spans="1:4" x14ac:dyDescent="0.2">
      <c r="A2635" s="5">
        <v>2574</v>
      </c>
      <c r="B2635" s="138">
        <f>'Acct Summary 7-8'!E17</f>
        <v>9885040</v>
      </c>
      <c r="C2635" s="2" t="s">
        <v>593</v>
      </c>
      <c r="D2635" s="2" t="str">
        <f t="shared" si="40"/>
        <v>Error?</v>
      </c>
    </row>
    <row r="2636" spans="1:4" x14ac:dyDescent="0.2">
      <c r="A2636" s="5">
        <v>2575</v>
      </c>
      <c r="B2636" s="138">
        <f>'Acct Summary 7-8'!E20</f>
        <v>-100427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293000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293000</v>
      </c>
      <c r="C2658" s="2" t="s">
        <v>593</v>
      </c>
      <c r="D2658" s="2" t="str">
        <f t="shared" si="40"/>
        <v>Error?</v>
      </c>
    </row>
    <row r="2659" spans="1:4" x14ac:dyDescent="0.2">
      <c r="A2659" s="5">
        <v>2598</v>
      </c>
      <c r="B2659" s="138">
        <f>'Acct Summary 7-8'!H13</f>
        <v>1243689</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1243689</v>
      </c>
      <c r="C2661" s="2" t="s">
        <v>593</v>
      </c>
      <c r="D2661" s="2" t="str">
        <f t="shared" si="40"/>
        <v>Error?</v>
      </c>
    </row>
    <row r="2662" spans="1:4" x14ac:dyDescent="0.2">
      <c r="A2662" s="5">
        <v>2601</v>
      </c>
      <c r="B2662" s="138">
        <f>'Acct Summary 7-8'!H20</f>
        <v>-950689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1315</v>
      </c>
      <c r="C2789" s="2" t="s">
        <v>593</v>
      </c>
      <c r="D2789" s="2" t="str">
        <f t="shared" si="42"/>
        <v>Error?</v>
      </c>
    </row>
    <row r="2790" spans="1:4" x14ac:dyDescent="0.2">
      <c r="A2790" s="5">
        <v>2729</v>
      </c>
      <c r="B2790" s="138">
        <f>'Expenditures 15-22'!E102</f>
        <v>1315</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1471112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26976281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1302104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26976281</v>
      </c>
      <c r="D2912" s="2" t="str">
        <f t="shared" si="44"/>
        <v>Error?</v>
      </c>
    </row>
    <row r="2913" spans="1:4" x14ac:dyDescent="0.2">
      <c r="A2913" s="5">
        <v>2852</v>
      </c>
      <c r="B2913" s="138">
        <f>'Assets-Liab 5-6'!I41</f>
        <v>26976281</v>
      </c>
      <c r="C2913" s="2" t="s">
        <v>593</v>
      </c>
      <c r="D2913" s="2" t="str">
        <f t="shared" si="44"/>
        <v>Error?</v>
      </c>
    </row>
    <row r="2914" spans="1:4" x14ac:dyDescent="0.2">
      <c r="A2914" s="5">
        <v>2853</v>
      </c>
      <c r="B2914" s="138">
        <f>'Assets-Liab 5-6'!L33</f>
        <v>1302104</v>
      </c>
      <c r="D2914" s="2" t="str">
        <f t="shared" si="44"/>
        <v>Error?</v>
      </c>
    </row>
    <row r="2915" spans="1:4" x14ac:dyDescent="0.2">
      <c r="A2915" s="10">
        <v>2854</v>
      </c>
      <c r="D2915" s="2" t="str">
        <f t="shared" si="44"/>
        <v>OK</v>
      </c>
    </row>
    <row r="2916" spans="1:4" x14ac:dyDescent="0.2">
      <c r="A2916" s="5">
        <v>2855</v>
      </c>
      <c r="B2916" s="138">
        <f>'Assets-Liab 5-6'!L34</f>
        <v>1302104</v>
      </c>
      <c r="C2916" s="2" t="s">
        <v>593</v>
      </c>
      <c r="D2916" s="2" t="str">
        <f t="shared" si="44"/>
        <v>Error?</v>
      </c>
    </row>
    <row r="2917" spans="1:4" x14ac:dyDescent="0.2">
      <c r="A2917" s="5">
        <v>2856</v>
      </c>
      <c r="B2917" s="138">
        <f>'Assets-Liab 5-6'!L41</f>
        <v>1302104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1315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62062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1315</v>
      </c>
      <c r="C2973" s="2" t="s">
        <v>593</v>
      </c>
      <c r="D2973" s="2" t="str">
        <f t="shared" si="45"/>
        <v>Error?</v>
      </c>
    </row>
    <row r="2974" spans="1:4" x14ac:dyDescent="0.2">
      <c r="A2974" s="5">
        <v>2913</v>
      </c>
      <c r="B2974" s="138">
        <f>'Expenditures 15-22'!K79</f>
        <v>62062</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1908750</v>
      </c>
      <c r="D3055" s="2" t="str">
        <f t="shared" si="46"/>
        <v>Error?</v>
      </c>
    </row>
    <row r="3056" spans="1:4" x14ac:dyDescent="0.2">
      <c r="A3056" s="5">
        <v>2995</v>
      </c>
      <c r="B3056" s="138">
        <f>'Expenditures 15-22'!D10</f>
        <v>297995</v>
      </c>
      <c r="D3056" s="2" t="str">
        <f t="shared" si="46"/>
        <v>Error?</v>
      </c>
    </row>
    <row r="3057" spans="1:4" x14ac:dyDescent="0.2">
      <c r="A3057" s="5">
        <v>2996</v>
      </c>
      <c r="B3057" s="138">
        <f>'Expenditures 15-22'!E10</f>
        <v>1183752</v>
      </c>
      <c r="D3057" s="2" t="str">
        <f t="shared" si="46"/>
        <v>Error?</v>
      </c>
    </row>
    <row r="3058" spans="1:4" x14ac:dyDescent="0.2">
      <c r="A3058" s="5">
        <v>2997</v>
      </c>
      <c r="B3058" s="138">
        <f>'Expenditures 15-22'!F10</f>
        <v>2273321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34800</v>
      </c>
      <c r="D3060" s="2" t="str">
        <f t="shared" si="46"/>
        <v>Error?</v>
      </c>
    </row>
    <row r="3061" spans="1:4" x14ac:dyDescent="0.2">
      <c r="A3061" s="10">
        <v>3000</v>
      </c>
      <c r="D3061" s="2" t="str">
        <f t="shared" si="46"/>
        <v>OK</v>
      </c>
    </row>
    <row r="3062" spans="1:4" x14ac:dyDescent="0.2">
      <c r="A3062" s="5">
        <v>3001</v>
      </c>
      <c r="B3062" s="138">
        <f>'Expenditures 15-22'!K10</f>
        <v>5700119</v>
      </c>
      <c r="C3062" s="2" t="s">
        <v>593</v>
      </c>
      <c r="D3062" s="2" t="str">
        <f t="shared" si="46"/>
        <v>Error?</v>
      </c>
    </row>
    <row r="3063" spans="1:4" x14ac:dyDescent="0.2">
      <c r="A3063" s="10">
        <v>3002</v>
      </c>
      <c r="D3063" s="2" t="str">
        <f t="shared" si="46"/>
        <v>OK</v>
      </c>
    </row>
    <row r="3064" spans="1:4" x14ac:dyDescent="0.2">
      <c r="A3064" s="5">
        <v>3003</v>
      </c>
      <c r="B3064" s="138">
        <f>'Expenditures 15-22'!D219</f>
        <v>37243</v>
      </c>
      <c r="D3064" s="2" t="str">
        <f t="shared" si="46"/>
        <v>Error?</v>
      </c>
    </row>
    <row r="3065" spans="1:4" x14ac:dyDescent="0.2">
      <c r="A3065" s="5">
        <v>3004</v>
      </c>
      <c r="B3065" s="138">
        <f>'Expenditures 15-22'!K219</f>
        <v>37243</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132083</v>
      </c>
      <c r="C3225" s="2" t="s">
        <v>593</v>
      </c>
      <c r="D3225" s="2" t="str">
        <f t="shared" si="49"/>
        <v>Error?</v>
      </c>
    </row>
    <row r="3226" spans="1:4" x14ac:dyDescent="0.2">
      <c r="A3226" s="5">
        <v>3165</v>
      </c>
      <c r="B3226" s="138">
        <f>'Acct Summary 7-8'!I8</f>
        <v>132083</v>
      </c>
      <c r="C3226" s="2" t="s">
        <v>593</v>
      </c>
      <c r="D3226" s="2" t="str">
        <f t="shared" si="49"/>
        <v>Error?</v>
      </c>
    </row>
    <row r="3227" spans="1:4" x14ac:dyDescent="0.2">
      <c r="A3227" s="5">
        <v>3166</v>
      </c>
      <c r="B3227" s="138">
        <f>'Acct Summary 7-8'!I20</f>
        <v>132083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207035</v>
      </c>
      <c r="C3231" s="2" t="s">
        <v>593</v>
      </c>
      <c r="D3231" s="2" t="str">
        <f t="shared" si="49"/>
        <v>Error?</v>
      </c>
    </row>
    <row r="3232" spans="1:4" x14ac:dyDescent="0.2">
      <c r="A3232" s="5">
        <v>3171</v>
      </c>
      <c r="B3232" s="138">
        <f>'Acct Summary 7-8'!C77</f>
        <v>-207035</v>
      </c>
      <c r="C3232" s="2" t="s">
        <v>593</v>
      </c>
      <c r="D3232" s="2" t="str">
        <f t="shared" si="49"/>
        <v>Error?</v>
      </c>
    </row>
    <row r="3233" spans="1:4" x14ac:dyDescent="0.2">
      <c r="A3233" s="5">
        <v>3172</v>
      </c>
      <c r="B3233" s="138">
        <f>'Acct Summary 7-8'!C78</f>
        <v>26397649</v>
      </c>
      <c r="C3233" s="2" t="s">
        <v>593</v>
      </c>
      <c r="D3233" s="2" t="str">
        <f t="shared" si="49"/>
        <v>Error?</v>
      </c>
    </row>
    <row r="3234" spans="1:4" x14ac:dyDescent="0.2">
      <c r="A3234" s="5">
        <v>3173</v>
      </c>
      <c r="B3234" s="138">
        <f>'Acct Summary 7-8'!D43</f>
        <v>3000000</v>
      </c>
      <c r="D3234" s="2" t="str">
        <f t="shared" si="49"/>
        <v>Error?</v>
      </c>
    </row>
    <row r="3235" spans="1:4" x14ac:dyDescent="0.2">
      <c r="A3235" s="5">
        <v>3174</v>
      </c>
      <c r="B3235" s="138">
        <f>'Acct Summary 7-8'!D44</f>
        <v>13361300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6809660</v>
      </c>
      <c r="C3237" s="2" t="s">
        <v>593</v>
      </c>
      <c r="D3237" s="2" t="str">
        <f t="shared" si="49"/>
        <v>Error?</v>
      </c>
    </row>
    <row r="3238" spans="1:4" x14ac:dyDescent="0.2">
      <c r="A3238" s="5">
        <v>3177</v>
      </c>
      <c r="B3238" s="138">
        <f>'Acct Summary 7-8'!D77</f>
        <v>6551640</v>
      </c>
      <c r="C3238" s="2" t="s">
        <v>593</v>
      </c>
      <c r="D3238" s="2" t="str">
        <f t="shared" si="49"/>
        <v>Error?</v>
      </c>
    </row>
    <row r="3239" spans="1:4" x14ac:dyDescent="0.2">
      <c r="A3239" s="5">
        <v>3178</v>
      </c>
      <c r="B3239" s="138">
        <f>'Acct Summary 7-8'!D78</f>
        <v>1923375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3561300</v>
      </c>
      <c r="C3254" s="2" t="s">
        <v>593</v>
      </c>
      <c r="D3254" s="2" t="str">
        <f t="shared" si="49"/>
        <v>Error?</v>
      </c>
    </row>
    <row r="3255" spans="1:4" x14ac:dyDescent="0.2">
      <c r="A3255" s="5">
        <v>3194</v>
      </c>
      <c r="B3255" s="138">
        <f>'Acct Summary 7-8'!F77</f>
        <v>-3561300</v>
      </c>
      <c r="C3255" s="2" t="s">
        <v>593</v>
      </c>
      <c r="D3255" s="2" t="str">
        <f t="shared" si="49"/>
        <v>Error?</v>
      </c>
    </row>
    <row r="3256" spans="1:4" x14ac:dyDescent="0.2">
      <c r="A3256" s="5">
        <v>3195</v>
      </c>
      <c r="B3256" s="138">
        <f>'Acct Summary 7-8'!F78</f>
        <v>472923</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262177</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216695</v>
      </c>
      <c r="C3274" s="2" t="s">
        <v>593</v>
      </c>
      <c r="D3274" s="2" t="str">
        <f t="shared" si="50"/>
        <v>Error?</v>
      </c>
    </row>
    <row r="3275" spans="1:4" x14ac:dyDescent="0.2">
      <c r="A3275" s="5">
        <v>3214</v>
      </c>
      <c r="B3275" s="138">
        <f>'Acct Summary 7-8'!E75</f>
        <v>3800000</v>
      </c>
      <c r="D3275" s="2" t="str">
        <f t="shared" si="50"/>
        <v>Error?</v>
      </c>
    </row>
    <row r="3276" spans="1:4" x14ac:dyDescent="0.2">
      <c r="A3276" s="5">
        <v>3215</v>
      </c>
      <c r="B3276" s="138">
        <f>'Acct Summary 7-8'!E76</f>
        <v>3800000</v>
      </c>
      <c r="C3276" s="2" t="s">
        <v>593</v>
      </c>
      <c r="D3276" s="2" t="str">
        <f t="shared" si="50"/>
        <v>Error?</v>
      </c>
    </row>
    <row r="3277" spans="1:4" x14ac:dyDescent="0.2">
      <c r="A3277" s="5">
        <v>3216</v>
      </c>
      <c r="B3277" s="138">
        <f>'Acct Summary 7-8'!E77</f>
        <v>-3583305</v>
      </c>
      <c r="C3277" s="2" t="s">
        <v>593</v>
      </c>
      <c r="D3277" s="2" t="str">
        <f t="shared" si="50"/>
        <v>Error?</v>
      </c>
    </row>
    <row r="3278" spans="1:4" x14ac:dyDescent="0.2">
      <c r="A3278" s="5">
        <v>3217</v>
      </c>
      <c r="B3278" s="138">
        <f>'Acct Summary 7-8'!E78</f>
        <v>-3683732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6800000</v>
      </c>
      <c r="D3295" s="2" t="str">
        <f t="shared" si="50"/>
        <v>Error?</v>
      </c>
    </row>
    <row r="3296" spans="1:4" x14ac:dyDescent="0.2">
      <c r="A3296" s="5">
        <v>3235</v>
      </c>
      <c r="B3296" s="138">
        <f>'Acct Summary 7-8'!H44</f>
        <v>6800000</v>
      </c>
      <c r="C3296" s="2" t="s">
        <v>593</v>
      </c>
      <c r="D3296" s="2" t="str">
        <f t="shared" si="50"/>
        <v>Error?</v>
      </c>
    </row>
    <row r="3297" spans="1:4" x14ac:dyDescent="0.2">
      <c r="A3297" s="5">
        <v>3236</v>
      </c>
      <c r="B3297" s="138">
        <f>'Acct Summary 7-8'!H75</f>
        <v>2600000</v>
      </c>
      <c r="D3297" s="2" t="str">
        <f t="shared" si="50"/>
        <v>Error?</v>
      </c>
    </row>
    <row r="3298" spans="1:4" x14ac:dyDescent="0.2">
      <c r="A3298" s="5">
        <v>3237</v>
      </c>
      <c r="B3298" s="138">
        <f>'Acct Summary 7-8'!H76</f>
        <v>2600000</v>
      </c>
      <c r="C3298" s="2" t="s">
        <v>593</v>
      </c>
      <c r="D3298" s="2" t="str">
        <f t="shared" si="50"/>
        <v>Error?</v>
      </c>
    </row>
    <row r="3299" spans="1:4" x14ac:dyDescent="0.2">
      <c r="A3299" s="5">
        <v>3238</v>
      </c>
      <c r="B3299" s="138">
        <f>'Acct Summary 7-8'!H77</f>
        <v>4200000</v>
      </c>
      <c r="C3299" s="2" t="s">
        <v>593</v>
      </c>
      <c r="D3299" s="2" t="str">
        <f t="shared" si="50"/>
        <v>Error?</v>
      </c>
    </row>
    <row r="3300" spans="1:4" x14ac:dyDescent="0.2">
      <c r="A3300" s="5">
        <v>3239</v>
      </c>
      <c r="B3300" s="138">
        <f>'Acct Summary 7-8'!H78</f>
        <v>3249311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6000000</v>
      </c>
      <c r="C3318" s="2" t="s">
        <v>593</v>
      </c>
      <c r="D3318" s="2" t="str">
        <f t="shared" si="50"/>
        <v>Error?</v>
      </c>
    </row>
    <row r="3319" spans="1:4" x14ac:dyDescent="0.2">
      <c r="A3319" s="5">
        <v>3258</v>
      </c>
      <c r="B3319" s="138">
        <f>'Acct Summary 7-8'!I77</f>
        <v>-6000000</v>
      </c>
      <c r="C3319" s="2" t="s">
        <v>593</v>
      </c>
      <c r="D3319" s="2" t="str">
        <f t="shared" si="50"/>
        <v>Error?</v>
      </c>
    </row>
    <row r="3320" spans="1:4" x14ac:dyDescent="0.2">
      <c r="A3320" s="5">
        <v>3259</v>
      </c>
      <c r="B3320" s="138">
        <f>'Acct Summary 7-8'!I78</f>
        <v>-5867917</v>
      </c>
      <c r="C3320" s="2" t="s">
        <v>593</v>
      </c>
      <c r="D3320" s="2" t="str">
        <f t="shared" si="50"/>
        <v>Error?</v>
      </c>
    </row>
    <row r="3321" spans="1:4" x14ac:dyDescent="0.2">
      <c r="A3321" s="5">
        <v>3260</v>
      </c>
      <c r="B3321" s="138">
        <f>'Acct Summary 7-8'!I79</f>
        <v>32844198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26976281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16992621</v>
      </c>
      <c r="D3366" s="2" t="str">
        <f t="shared" si="51"/>
        <v>Error?</v>
      </c>
    </row>
    <row r="3367" spans="1:4" x14ac:dyDescent="0.2">
      <c r="A3367" s="5">
        <v>3306</v>
      </c>
      <c r="B3367" s="138">
        <f>'Expenditures 15-22'!C19</f>
        <v>291739</v>
      </c>
      <c r="D3367" s="2" t="str">
        <f t="shared" si="51"/>
        <v>Error?</v>
      </c>
    </row>
    <row r="3368" spans="1:4" x14ac:dyDescent="0.2">
      <c r="A3368" s="5">
        <v>3307</v>
      </c>
      <c r="B3368" s="138">
        <f>'Expenditures 15-22'!D8</f>
        <v>3150527</v>
      </c>
      <c r="D3368" s="2" t="str">
        <f t="shared" si="51"/>
        <v>Error?</v>
      </c>
    </row>
    <row r="3369" spans="1:4" x14ac:dyDescent="0.2">
      <c r="A3369" s="5">
        <v>3308</v>
      </c>
      <c r="B3369" s="138">
        <f>'Expenditures 15-22'!D19</f>
        <v>39258</v>
      </c>
      <c r="D3369" s="2" t="str">
        <f t="shared" si="51"/>
        <v>Error?</v>
      </c>
    </row>
    <row r="3370" spans="1:4" x14ac:dyDescent="0.2">
      <c r="A3370" s="5">
        <v>3309</v>
      </c>
      <c r="B3370" s="138">
        <f>'Expenditures 15-22'!E8</f>
        <v>287763</v>
      </c>
      <c r="D3370" s="2" t="str">
        <f t="shared" si="51"/>
        <v>Error?</v>
      </c>
    </row>
    <row r="3371" spans="1:4" x14ac:dyDescent="0.2">
      <c r="A3371" s="5">
        <v>3310</v>
      </c>
      <c r="B3371" s="138">
        <f>'Expenditures 15-22'!E19</f>
        <v>48000</v>
      </c>
      <c r="D3371" s="2" t="str">
        <f t="shared" si="51"/>
        <v>Error?</v>
      </c>
    </row>
    <row r="3372" spans="1:4" x14ac:dyDescent="0.2">
      <c r="A3372" s="5">
        <v>3311</v>
      </c>
      <c r="B3372" s="138">
        <f>'Expenditures 15-22'!F8</f>
        <v>192596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5832615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26477882</v>
      </c>
      <c r="C3380" s="2" t="s">
        <v>593</v>
      </c>
      <c r="D3380" s="2" t="str">
        <f t="shared" si="51"/>
        <v>Error?</v>
      </c>
    </row>
    <row r="3381" spans="1:4" x14ac:dyDescent="0.2">
      <c r="A3381" s="5">
        <v>3320</v>
      </c>
      <c r="B3381" s="138">
        <f>'Expenditures 15-22'!K19</f>
        <v>378997</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898647</v>
      </c>
      <c r="D3387" s="2" t="str">
        <f t="shared" si="51"/>
        <v>Error?</v>
      </c>
    </row>
    <row r="3388" spans="1:4" x14ac:dyDescent="0.2">
      <c r="A3388" s="5">
        <v>3327</v>
      </c>
      <c r="B3388" s="138">
        <f>'Expenditures 15-22'!D217</f>
        <v>1112792</v>
      </c>
      <c r="D3388" s="2" t="str">
        <f t="shared" si="51"/>
        <v>Error?</v>
      </c>
    </row>
    <row r="3389" spans="1:4" x14ac:dyDescent="0.2">
      <c r="A3389" s="5">
        <v>3328</v>
      </c>
      <c r="B3389" s="138">
        <f>'Expenditures 15-22'!D228</f>
        <v>12826</v>
      </c>
      <c r="D3389" s="2" t="str">
        <f t="shared" si="51"/>
        <v>Error?</v>
      </c>
    </row>
    <row r="3390" spans="1:4" x14ac:dyDescent="0.2">
      <c r="A3390" s="5">
        <v>3329</v>
      </c>
      <c r="B3390" s="138">
        <f>'Expenditures 15-22'!K215</f>
        <v>898647</v>
      </c>
      <c r="C3390" s="2" t="s">
        <v>593</v>
      </c>
      <c r="D3390" s="2" t="str">
        <f t="shared" si="51"/>
        <v>Error?</v>
      </c>
    </row>
    <row r="3391" spans="1:4" x14ac:dyDescent="0.2">
      <c r="A3391" s="5">
        <v>3330</v>
      </c>
      <c r="B3391" s="138">
        <f>'Expenditures 15-22'!K217</f>
        <v>1112792</v>
      </c>
      <c r="C3391" s="2" t="s">
        <v>593</v>
      </c>
      <c r="D3391" s="2" t="str">
        <f t="shared" ref="D3391:D3454" si="52">IF(ISBLANK(B3391),"OK",IF(A3391-B3391=0,"OK","Error?"))</f>
        <v>Error?</v>
      </c>
    </row>
    <row r="3392" spans="1:4" x14ac:dyDescent="0.2">
      <c r="A3392" s="5">
        <v>3331</v>
      </c>
      <c r="B3392" s="138">
        <f>'Expenditures 15-22'!K228</f>
        <v>12826</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30817133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4787650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1702018</v>
      </c>
      <c r="D3417" s="2" t="str">
        <f t="shared" si="52"/>
        <v>Error?</v>
      </c>
    </row>
    <row r="3418" spans="1:4" x14ac:dyDescent="0.2">
      <c r="A3418" s="10">
        <v>3357</v>
      </c>
      <c r="D3418" s="2" t="str">
        <f t="shared" si="52"/>
        <v>OK</v>
      </c>
    </row>
    <row r="3419" spans="1:4" x14ac:dyDescent="0.2">
      <c r="A3419" s="5">
        <v>3358</v>
      </c>
      <c r="B3419" s="138">
        <f>'Assets-Liab 5-6'!F4</f>
        <v>5082383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931215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25634843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1302104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3462864</v>
      </c>
      <c r="C3446" s="2" t="s">
        <v>593</v>
      </c>
      <c r="D3446" s="2" t="str">
        <f t="shared" si="52"/>
        <v>Error?</v>
      </c>
    </row>
    <row r="3447" spans="1:4" x14ac:dyDescent="0.2">
      <c r="A3447" s="5">
        <v>3386</v>
      </c>
      <c r="B3447" s="138">
        <f>'Tax Sched 23'!D16</f>
        <v>1628001</v>
      </c>
      <c r="C3447" s="2" t="s">
        <v>593</v>
      </c>
      <c r="D3447" s="2" t="str">
        <f t="shared" si="52"/>
        <v>Error?</v>
      </c>
    </row>
    <row r="3448" spans="1:4" x14ac:dyDescent="0.2">
      <c r="A3448" s="5">
        <v>3387</v>
      </c>
      <c r="B3448" s="138">
        <f>'Tax Sched 23'!C16</f>
        <v>1834863</v>
      </c>
      <c r="D3448" s="2" t="str">
        <f t="shared" si="52"/>
        <v>Error?</v>
      </c>
    </row>
    <row r="3449" spans="1:4" x14ac:dyDescent="0.2">
      <c r="A3449" s="5">
        <v>3388</v>
      </c>
      <c r="B3449" s="138">
        <f>'Tax Sched 23'!F16</f>
        <v>1734824</v>
      </c>
      <c r="C3449" s="2" t="s">
        <v>593</v>
      </c>
      <c r="D3449" s="2" t="str">
        <f t="shared" si="52"/>
        <v>Error?</v>
      </c>
    </row>
    <row r="3450" spans="1:4" x14ac:dyDescent="0.2">
      <c r="A3450" s="5">
        <v>3389</v>
      </c>
      <c r="B3450" s="138">
        <f>'Tax Sched 23'!E16</f>
        <v>3569687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1471112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1471112</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1471112</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42013</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42013</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1896467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1896467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1896467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1896467</v>
      </c>
      <c r="C3568" s="2" t="s">
        <v>593</v>
      </c>
      <c r="D3568" s="2" t="str">
        <f t="shared" si="54"/>
        <v>Error?</v>
      </c>
    </row>
    <row r="3569" spans="1:4" x14ac:dyDescent="0.2">
      <c r="A3569" s="5">
        <v>3508</v>
      </c>
      <c r="B3569" s="138">
        <f>'Acct Summary 7-8'!K4</f>
        <v>652334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652334</v>
      </c>
      <c r="C3571" s="2" t="s">
        <v>593</v>
      </c>
      <c r="D3571" s="2" t="str">
        <f t="shared" si="54"/>
        <v>Error?</v>
      </c>
    </row>
    <row r="3572" spans="1:4" x14ac:dyDescent="0.2">
      <c r="A3572" s="5">
        <v>3511</v>
      </c>
      <c r="B3572" s="138">
        <f>'Acct Summary 7-8'!K13</f>
        <v>2052413</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2052413</v>
      </c>
      <c r="C3575" s="2" t="s">
        <v>593</v>
      </c>
      <c r="D3575" s="2" t="str">
        <f t="shared" si="54"/>
        <v>Error?</v>
      </c>
    </row>
    <row r="3576" spans="1:4" x14ac:dyDescent="0.2">
      <c r="A3576" s="5">
        <v>3515</v>
      </c>
      <c r="B3576" s="138">
        <f>'Acct Summary 7-8'!K20</f>
        <v>-1400079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2600000</v>
      </c>
      <c r="D3583" s="2" t="str">
        <f t="shared" ref="D3583:D3646" si="55">IF(ISBLANK(B3583),"OK",IF(A3583-B3583=0,"OK","Error?"))</f>
        <v>Error?</v>
      </c>
    </row>
    <row r="3584" spans="1:4" x14ac:dyDescent="0.2">
      <c r="A3584" s="5">
        <v>3523</v>
      </c>
      <c r="B3584" s="138">
        <f>'Acct Summary 7-8'!K44</f>
        <v>2600000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2600000</v>
      </c>
      <c r="C3587" s="2" t="s">
        <v>593</v>
      </c>
      <c r="D3587" s="2" t="str">
        <f t="shared" si="55"/>
        <v>Error?</v>
      </c>
    </row>
    <row r="3588" spans="1:4" x14ac:dyDescent="0.2">
      <c r="A3588" s="5">
        <v>3527</v>
      </c>
      <c r="B3588" s="138">
        <f>'Acct Summary 7-8'!K78</f>
        <v>1199921</v>
      </c>
      <c r="C3588" s="2" t="s">
        <v>593</v>
      </c>
      <c r="D3588" s="2" t="str">
        <f t="shared" si="55"/>
        <v>Error?</v>
      </c>
    </row>
    <row r="3589" spans="1:4" x14ac:dyDescent="0.2">
      <c r="A3589" s="5">
        <v>3528</v>
      </c>
      <c r="B3589" s="138">
        <f>'Acct Summary 7-8'!K79</f>
        <v>696546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1896467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88193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88193</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88193</v>
      </c>
      <c r="C3635" s="2" t="s">
        <v>593</v>
      </c>
      <c r="D3635" s="2" t="str">
        <f t="shared" si="55"/>
        <v>Error?</v>
      </c>
    </row>
    <row r="3636" spans="1:4" x14ac:dyDescent="0.2">
      <c r="A3636" s="5">
        <v>3575</v>
      </c>
      <c r="B3636" s="138">
        <f>'Expenditures 15-22'!E367</f>
        <v>88193</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1964220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1964220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1964220</v>
      </c>
      <c r="C3649" s="2" t="s">
        <v>593</v>
      </c>
      <c r="D3649" s="2" t="str">
        <f t="shared" si="56"/>
        <v>Error?</v>
      </c>
    </row>
    <row r="3650" spans="1:4" x14ac:dyDescent="0.2">
      <c r="A3650" s="5">
        <v>3589</v>
      </c>
      <c r="B3650" s="138">
        <f>'Expenditures 15-22'!G367</f>
        <v>1964220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2052413</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2052413</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2052413</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2052413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-1400079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65455233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257191072</v>
      </c>
      <c r="C4122" s="2" t="s">
        <v>593</v>
      </c>
      <c r="D4122" s="2" t="str">
        <f t="shared" si="63"/>
        <v>Error?</v>
      </c>
    </row>
    <row r="4123" spans="1:4" x14ac:dyDescent="0.2">
      <c r="A4123" s="5">
        <v>4062</v>
      </c>
      <c r="B4123" s="138">
        <f>'Acct Summary 7-8'!D10</f>
        <v>5165912</v>
      </c>
      <c r="C4123" s="2" t="s">
        <v>593</v>
      </c>
      <c r="D4123" s="2" t="str">
        <f t="shared" si="63"/>
        <v>Error?</v>
      </c>
    </row>
    <row r="4124" spans="1:4" x14ac:dyDescent="0.2">
      <c r="A4124" s="5">
        <v>4063</v>
      </c>
      <c r="B4124" s="138">
        <f>'Acct Summary 7-8'!E10</f>
        <v>9784613</v>
      </c>
      <c r="C4124" s="2" t="s">
        <v>593</v>
      </c>
      <c r="D4124" s="2" t="str">
        <f t="shared" si="63"/>
        <v>Error?</v>
      </c>
    </row>
    <row r="4125" spans="1:4" x14ac:dyDescent="0.2">
      <c r="A4125" s="5">
        <v>4064</v>
      </c>
      <c r="B4125" s="138">
        <f>'Acct Summary 7-8'!F10</f>
        <v>14111785</v>
      </c>
      <c r="C4125" s="2" t="s">
        <v>593</v>
      </c>
      <c r="D4125" s="2" t="str">
        <f t="shared" si="63"/>
        <v>Error?</v>
      </c>
    </row>
    <row r="4126" spans="1:4" x14ac:dyDescent="0.2">
      <c r="A4126" s="5">
        <v>4065</v>
      </c>
      <c r="B4126" s="138">
        <f>'Acct Summary 7-8'!G10</f>
        <v>6935728</v>
      </c>
      <c r="C4126" s="2" t="s">
        <v>593</v>
      </c>
      <c r="D4126" s="2" t="str">
        <f t="shared" si="63"/>
        <v>Error?</v>
      </c>
    </row>
    <row r="4127" spans="1:4" x14ac:dyDescent="0.2">
      <c r="A4127" s="5">
        <v>4066</v>
      </c>
      <c r="B4127" s="138">
        <f>'Acct Summary 7-8'!H10</f>
        <v>293000</v>
      </c>
      <c r="C4127" s="2" t="s">
        <v>593</v>
      </c>
      <c r="D4127" s="2" t="str">
        <f t="shared" si="63"/>
        <v>Error?</v>
      </c>
    </row>
    <row r="4128" spans="1:4" x14ac:dyDescent="0.2">
      <c r="A4128" s="5">
        <v>4067</v>
      </c>
      <c r="B4128" s="138">
        <f>'Acct Summary 7-8'!I10</f>
        <v>132083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652334</v>
      </c>
      <c r="C4130" s="2" t="s">
        <v>593</v>
      </c>
      <c r="D4130" s="2" t="str">
        <f t="shared" si="63"/>
        <v>Error?</v>
      </c>
    </row>
    <row r="4131" spans="1:4" x14ac:dyDescent="0.2">
      <c r="A4131" s="5">
        <v>4070</v>
      </c>
      <c r="B4131" s="138">
        <f>'Acct Summary 7-8'!C18</f>
        <v>65455233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230586388</v>
      </c>
      <c r="C4136" s="2" t="s">
        <v>593</v>
      </c>
      <c r="D4136" s="2" t="str">
        <f t="shared" si="63"/>
        <v>Error?</v>
      </c>
    </row>
    <row r="4137" spans="1:4" x14ac:dyDescent="0.2">
      <c r="A4137" s="5">
        <v>4076</v>
      </c>
      <c r="B4137" s="138">
        <f>'Acct Summary 7-8'!D19</f>
        <v>9794177</v>
      </c>
      <c r="C4137" s="2" t="s">
        <v>593</v>
      </c>
      <c r="D4137" s="2" t="str">
        <f t="shared" si="63"/>
        <v>Error?</v>
      </c>
    </row>
    <row r="4138" spans="1:4" x14ac:dyDescent="0.2">
      <c r="A4138" s="5">
        <v>4077</v>
      </c>
      <c r="B4138" s="138">
        <f>'Acct Summary 7-8'!E19</f>
        <v>9885040</v>
      </c>
      <c r="C4138" s="2" t="s">
        <v>593</v>
      </c>
      <c r="D4138" s="2" t="str">
        <f t="shared" si="63"/>
        <v>Error?</v>
      </c>
    </row>
    <row r="4139" spans="1:4" x14ac:dyDescent="0.2">
      <c r="A4139" s="5">
        <v>4078</v>
      </c>
      <c r="B4139" s="138">
        <f>'Acct Summary 7-8'!F19</f>
        <v>10077562</v>
      </c>
      <c r="C4139" s="2" t="s">
        <v>593</v>
      </c>
      <c r="D4139" s="2" t="str">
        <f t="shared" si="63"/>
        <v>Error?</v>
      </c>
    </row>
    <row r="4140" spans="1:4" x14ac:dyDescent="0.2">
      <c r="A4140" s="5">
        <v>4079</v>
      </c>
      <c r="B4140" s="138">
        <f>'Acct Summary 7-8'!G19</f>
        <v>6673551</v>
      </c>
      <c r="C4140" s="2" t="s">
        <v>593</v>
      </c>
      <c r="D4140" s="2" t="str">
        <f t="shared" si="63"/>
        <v>Error?</v>
      </c>
    </row>
    <row r="4141" spans="1:4" x14ac:dyDescent="0.2">
      <c r="A4141" s="5">
        <v>4080</v>
      </c>
      <c r="B4141" s="138">
        <f>'Acct Summary 7-8'!H19</f>
        <v>1243689</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2052413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48219581</v>
      </c>
      <c r="C4171" s="2" t="s">
        <v>593</v>
      </c>
      <c r="D4171" s="2" t="str">
        <f t="shared" si="64"/>
        <v>Error?</v>
      </c>
    </row>
    <row r="4172" spans="1:4" x14ac:dyDescent="0.2">
      <c r="A4172" s="5">
        <v>4111</v>
      </c>
      <c r="B4172" s="138">
        <f>'Short-Term Long-Term Debt 24'!J49</f>
        <v>46517563</v>
      </c>
      <c r="C4172" s="2" t="s">
        <v>593</v>
      </c>
      <c r="D4172" s="2" t="str">
        <f t="shared" si="64"/>
        <v>Error?</v>
      </c>
    </row>
    <row r="4173" spans="1:4" x14ac:dyDescent="0.2">
      <c r="A4173" s="5">
        <v>4112</v>
      </c>
      <c r="B4173" s="138">
        <f>'Short-Term Long-Term Debt 24'!H49</f>
        <v>3662144</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3459.0820000000003</v>
      </c>
      <c r="C4265" s="2" t="s">
        <v>593</v>
      </c>
      <c r="D4265" s="2" t="str">
        <f t="shared" si="65"/>
        <v>Error?</v>
      </c>
      <c r="E4265" s="128"/>
    </row>
    <row r="4266" spans="1:5" x14ac:dyDescent="0.2">
      <c r="A4266" s="12">
        <v>4205</v>
      </c>
      <c r="B4266" s="138">
        <f>('FP Info 3'!F10)*100000</f>
        <v>724.14</v>
      </c>
      <c r="C4266" s="2" t="s">
        <v>593</v>
      </c>
      <c r="D4266" s="2" t="str">
        <f t="shared" si="65"/>
        <v>Error?</v>
      </c>
      <c r="E4266" s="128"/>
    </row>
    <row r="4267" spans="1:5" x14ac:dyDescent="0.2">
      <c r="A4267" s="12">
        <v>4206</v>
      </c>
      <c r="B4267" s="138">
        <f>('FP Info 3'!H10)*100000</f>
        <v>776.34799999999996</v>
      </c>
      <c r="C4267" s="2" t="s">
        <v>593</v>
      </c>
      <c r="D4267" s="2" t="str">
        <f t="shared" si="65"/>
        <v>Error?</v>
      </c>
      <c r="E4267" s="128"/>
    </row>
    <row r="4268" spans="1:5" x14ac:dyDescent="0.2">
      <c r="A4268" s="12">
        <v>4207</v>
      </c>
      <c r="B4268" s="138">
        <f>('FP Info 3'!J10)*100000</f>
        <v>4960</v>
      </c>
      <c r="C4268" s="2" t="s">
        <v>593</v>
      </c>
      <c r="D4268" s="2" t="str">
        <f t="shared" si="65"/>
        <v>Error?</v>
      </c>
    </row>
    <row r="4269" spans="1:5" x14ac:dyDescent="0.2">
      <c r="A4269" s="12">
        <v>4208</v>
      </c>
      <c r="B4269" s="138">
        <f>'FP Info 3'!J16</f>
        <v>67611117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257214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1085240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40659</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442539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176094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18.801000000000002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440580</v>
      </c>
      <c r="D4792" s="2" t="str">
        <f t="shared" si="73"/>
        <v>Error?</v>
      </c>
    </row>
    <row r="4793" spans="1:4" x14ac:dyDescent="0.2">
      <c r="A4793" s="5">
        <v>4732</v>
      </c>
      <c r="B4793" s="138">
        <f>'Revenues 9-14'!D171</f>
        <v>42014</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672980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724260971</v>
      </c>
      <c r="D4995" s="2" t="str">
        <f t="shared" si="77"/>
        <v>Error?</v>
      </c>
    </row>
    <row r="4996" spans="1:4" x14ac:dyDescent="0.2">
      <c r="A4996" s="12">
        <v>4935</v>
      </c>
      <c r="B4996" s="138">
        <f>'FP Info 3'!H31</f>
        <v>99948013.998000011</v>
      </c>
      <c r="D4996" s="2" t="str">
        <f t="shared" si="77"/>
        <v>Error?</v>
      </c>
    </row>
    <row r="4997" spans="1:4" x14ac:dyDescent="0.2">
      <c r="A4997" s="12">
        <v>4936</v>
      </c>
      <c r="B4997" s="138">
        <f>'FP Info 3'!H37</f>
        <v>48219581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10361300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6800000</v>
      </c>
      <c r="D5023" s="2" t="str">
        <f t="shared" si="77"/>
        <v>Error?</v>
      </c>
    </row>
    <row r="5024" spans="1:4" x14ac:dyDescent="0.2">
      <c r="A5024" s="5">
        <v>4963</v>
      </c>
      <c r="B5024" s="138">
        <f>'Acct Summary 7-8'!F49</f>
        <v>3561300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24862584</v>
      </c>
      <c r="D5061" s="2" t="str">
        <f t="shared" si="78"/>
        <v>Error?</v>
      </c>
    </row>
    <row r="5062" spans="1:4" x14ac:dyDescent="0.2">
      <c r="A5062" s="10">
        <v>5001</v>
      </c>
      <c r="D5062" s="2" t="str">
        <f t="shared" si="78"/>
        <v>OK</v>
      </c>
    </row>
    <row r="5063" spans="1:4" x14ac:dyDescent="0.2">
      <c r="A5063" s="5">
        <v>5002</v>
      </c>
      <c r="B5063" s="138">
        <f>'Revenues 9-14'!C7</f>
        <v>5359180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30221764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6163061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6163061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13960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13960</v>
      </c>
      <c r="C5087" s="2" t="s">
        <v>593</v>
      </c>
      <c r="D5087" s="2" t="str">
        <f t="shared" si="78"/>
        <v>Error?</v>
      </c>
    </row>
    <row r="5088" spans="1:4" x14ac:dyDescent="0.2">
      <c r="A5088" s="5">
        <v>5027</v>
      </c>
      <c r="B5088" s="138">
        <f>'Revenues 9-14'!C65</f>
        <v>63176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63176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146124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15134</v>
      </c>
      <c r="D5095" s="2" t="str">
        <f t="shared" si="78"/>
        <v>Error?</v>
      </c>
    </row>
    <row r="5096" spans="1:4" x14ac:dyDescent="0.2">
      <c r="A5096" s="5">
        <v>5035</v>
      </c>
      <c r="B5096" s="138">
        <f>'Revenues 9-14'!C75</f>
        <v>161786</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162564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162564</v>
      </c>
      <c r="C5102" s="2" t="s">
        <v>593</v>
      </c>
      <c r="D5102" s="2" t="str">
        <f t="shared" si="78"/>
        <v>Error?</v>
      </c>
    </row>
    <row r="5103" spans="1:4" x14ac:dyDescent="0.2">
      <c r="A5103" s="5">
        <v>5042</v>
      </c>
      <c r="B5103" s="138">
        <f>'Revenues 9-14'!C84</f>
        <v>356017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356017</v>
      </c>
      <c r="C5112" s="2" t="s">
        <v>593</v>
      </c>
      <c r="D5112" s="2" t="str">
        <f t="shared" si="78"/>
        <v>Error?</v>
      </c>
    </row>
    <row r="5113" spans="1:4" x14ac:dyDescent="0.2">
      <c r="A5113" s="5">
        <v>5052</v>
      </c>
      <c r="B5113" s="138">
        <f>'Revenues 9-14'!C95</f>
        <v>96060</v>
      </c>
      <c r="D5113" s="2" t="str">
        <f t="shared" si="78"/>
        <v>Error?</v>
      </c>
    </row>
    <row r="5114" spans="1:4" x14ac:dyDescent="0.2">
      <c r="A5114" s="5">
        <v>5053</v>
      </c>
      <c r="B5114" s="138">
        <f>'Revenues 9-14'!C96</f>
        <v>21873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31515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175153</v>
      </c>
      <c r="D5119" s="2" t="str">
        <f t="shared" ref="D5119:D5182" si="79">IF(ISBLANK(B5119),"OK",IF(A5119-B5119=0,"OK","Error?"))</f>
        <v>Error?</v>
      </c>
    </row>
    <row r="5120" spans="1:4" x14ac:dyDescent="0.2">
      <c r="A5120" s="5">
        <v>5059</v>
      </c>
      <c r="B5120" s="138">
        <f>'Revenues 9-14'!C108</f>
        <v>324601</v>
      </c>
      <c r="C5120" s="2" t="s">
        <v>593</v>
      </c>
      <c r="D5120" s="2" t="str">
        <f t="shared" si="79"/>
        <v>Error?</v>
      </c>
    </row>
    <row r="5121" spans="1:4" x14ac:dyDescent="0.2">
      <c r="A5121" s="5">
        <v>5060</v>
      </c>
      <c r="B5121" s="138">
        <f>'Revenues 9-14'!C109</f>
        <v>37466929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117702881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117702881</v>
      </c>
      <c r="C5132" s="2" t="s">
        <v>593</v>
      </c>
      <c r="D5132" s="2" t="str">
        <f t="shared" si="79"/>
        <v>Error?</v>
      </c>
    </row>
    <row r="5133" spans="1:4" x14ac:dyDescent="0.2">
      <c r="A5133" s="5">
        <v>5072</v>
      </c>
      <c r="B5133" s="138">
        <f>'Revenues 9-14'!C124</f>
        <v>1835143</v>
      </c>
      <c r="D5133" s="2" t="str">
        <f t="shared" si="79"/>
        <v>Error?</v>
      </c>
    </row>
    <row r="5134" spans="1:4" x14ac:dyDescent="0.2">
      <c r="A5134" s="5">
        <v>5073</v>
      </c>
      <c r="B5134" s="138">
        <f>'Revenues 9-14'!C125</f>
        <v>1178523</v>
      </c>
      <c r="D5134" s="2" t="str">
        <f t="shared" si="79"/>
        <v>Error?</v>
      </c>
    </row>
    <row r="5135" spans="1:4" x14ac:dyDescent="0.2">
      <c r="A5135" s="5">
        <v>5074</v>
      </c>
      <c r="B5135" s="138">
        <f>'Revenues 9-14'!C126</f>
        <v>1732271</v>
      </c>
      <c r="D5135" s="2" t="str">
        <f t="shared" si="79"/>
        <v>Error?</v>
      </c>
    </row>
    <row r="5136" spans="1:4" x14ac:dyDescent="0.2">
      <c r="A5136" s="10">
        <v>5075</v>
      </c>
      <c r="D5136" s="2" t="str">
        <f t="shared" si="79"/>
        <v>OK</v>
      </c>
    </row>
    <row r="5137" spans="1:4" x14ac:dyDescent="0.2">
      <c r="A5137" s="5">
        <v>5076</v>
      </c>
      <c r="B5137" s="138">
        <f>'Revenues 9-14'!C127</f>
        <v>504099</v>
      </c>
      <c r="D5137" s="2" t="str">
        <f t="shared" si="79"/>
        <v>Error?</v>
      </c>
    </row>
    <row r="5138" spans="1:4" x14ac:dyDescent="0.2">
      <c r="A5138" s="10">
        <v>5077</v>
      </c>
      <c r="D5138" s="2" t="str">
        <f t="shared" si="79"/>
        <v>OK</v>
      </c>
    </row>
    <row r="5139" spans="1:4" x14ac:dyDescent="0.2">
      <c r="A5139" s="5">
        <v>5078</v>
      </c>
      <c r="B5139" s="138">
        <f>'Revenues 9-14'!C128</f>
        <v>111859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5361895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81309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81309</v>
      </c>
      <c r="C5161" s="2" t="s">
        <v>593</v>
      </c>
      <c r="D5161" s="2" t="str">
        <f t="shared" si="79"/>
        <v>Error?</v>
      </c>
    </row>
    <row r="5162" spans="1:4" x14ac:dyDescent="0.2">
      <c r="A5162" s="10">
        <v>5101</v>
      </c>
      <c r="D5162" s="2" t="str">
        <f t="shared" si="79"/>
        <v>OK</v>
      </c>
    </row>
    <row r="5163" spans="1:4" x14ac:dyDescent="0.2">
      <c r="A5163" s="5">
        <v>5102</v>
      </c>
      <c r="B5163" s="138">
        <f>'Revenues 9-14'!C142</f>
        <v>2451635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2451635</v>
      </c>
      <c r="C5165" s="2" t="s">
        <v>593</v>
      </c>
      <c r="D5165" s="2" t="str">
        <f t="shared" si="79"/>
        <v>Error?</v>
      </c>
    </row>
    <row r="5166" spans="1:4" x14ac:dyDescent="0.2">
      <c r="A5166" s="10">
        <v>5105</v>
      </c>
      <c r="D5166" s="2" t="str">
        <f t="shared" si="79"/>
        <v>OK</v>
      </c>
    </row>
    <row r="5167" spans="1:4" x14ac:dyDescent="0.2">
      <c r="A5167" s="5">
        <v>5106</v>
      </c>
      <c r="B5167" s="138">
        <f>'Revenues 9-14'!C145</f>
        <v>144373</v>
      </c>
      <c r="D5167" s="2" t="str">
        <f t="shared" si="79"/>
        <v>Error?</v>
      </c>
    </row>
    <row r="5168" spans="1:4" x14ac:dyDescent="0.2">
      <c r="A5168" s="5">
        <v>5107</v>
      </c>
      <c r="B5168" s="138">
        <f>'Revenues 9-14'!C147</f>
        <v>58970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131291</v>
      </c>
      <c r="D5194" s="2" t="str">
        <f t="shared" si="80"/>
        <v>Error?</v>
      </c>
    </row>
    <row r="5195" spans="1:4" x14ac:dyDescent="0.2">
      <c r="A5195" s="10">
        <v>5134</v>
      </c>
      <c r="D5195" s="2" t="str">
        <f t="shared" si="80"/>
        <v>OK</v>
      </c>
    </row>
    <row r="5196" spans="1:4" x14ac:dyDescent="0.2">
      <c r="A5196" s="5">
        <v>5135</v>
      </c>
      <c r="B5196" s="138">
        <f>'Revenues 9-14'!C158</f>
        <v>6975060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15645113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133347994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6884195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1456627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8599618</v>
      </c>
      <c r="C5246" s="2" t="s">
        <v>593</v>
      </c>
      <c r="D5246" s="2" t="str">
        <f t="shared" si="80"/>
        <v>Error?</v>
      </c>
    </row>
    <row r="5247" spans="1:4" x14ac:dyDescent="0.2">
      <c r="A5247" s="5">
        <v>5186</v>
      </c>
      <c r="B5247" s="138">
        <f>'Revenues 9-14'!C203</f>
        <v>6537664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40659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6537664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137528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2840346</v>
      </c>
      <c r="D5278" s="2" t="str">
        <f t="shared" si="81"/>
        <v>Error?</v>
      </c>
    </row>
    <row r="5279" spans="1:4" x14ac:dyDescent="0.2">
      <c r="A5279" s="5">
        <v>5218</v>
      </c>
      <c r="B5279" s="138">
        <f>'Revenues 9-14'!C221</f>
        <v>1662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2979536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66762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66762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57610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5000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20920916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20920916</v>
      </c>
      <c r="C5326" s="2" t="s">
        <v>593</v>
      </c>
      <c r="D5326" s="2" t="str">
        <f t="shared" si="82"/>
        <v>Error?</v>
      </c>
    </row>
    <row r="5327" spans="1:4" x14ac:dyDescent="0.2">
      <c r="A5327" s="5">
        <v>5266</v>
      </c>
      <c r="B5327" s="138">
        <f>'Revenues 9-14'!C275</f>
        <v>191735839</v>
      </c>
      <c r="C5327" s="2" t="s">
        <v>593</v>
      </c>
      <c r="D5327" s="2" t="str">
        <f t="shared" si="82"/>
        <v>Error?</v>
      </c>
    </row>
    <row r="5328" spans="1:4" x14ac:dyDescent="0.2">
      <c r="A5328" s="5">
        <v>5267</v>
      </c>
      <c r="B5328" s="138">
        <f>'Revenues 9-14'!D5</f>
        <v>5024230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5024230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18248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11213</v>
      </c>
      <c r="D5354" s="2" t="str">
        <f t="shared" si="82"/>
        <v>Error?</v>
      </c>
    </row>
    <row r="5355" spans="1:4" x14ac:dyDescent="0.2">
      <c r="A5355" s="5">
        <v>5294</v>
      </c>
      <c r="B5355" s="138">
        <f>'Revenues 9-14'!D108</f>
        <v>29461</v>
      </c>
      <c r="C5355" s="2" t="s">
        <v>593</v>
      </c>
      <c r="D5355" s="2" t="str">
        <f t="shared" si="82"/>
        <v>Error?</v>
      </c>
    </row>
    <row r="5356" spans="1:4" x14ac:dyDescent="0.2">
      <c r="A5356" s="5">
        <v>5295</v>
      </c>
      <c r="B5356" s="138">
        <f>'Revenues 9-14'!D109</f>
        <v>5053898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70000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42014</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112014</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5165912</v>
      </c>
      <c r="C5508" s="2" t="s">
        <v>593</v>
      </c>
      <c r="D5508" s="2" t="str">
        <f t="shared" si="85"/>
        <v>Error?</v>
      </c>
    </row>
    <row r="5509" spans="1:4" x14ac:dyDescent="0.2">
      <c r="A5509" s="5">
        <v>5448</v>
      </c>
      <c r="B5509" s="138">
        <f>'Revenues 9-14'!E5</f>
        <v>9784613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9784613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9784613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9784613</v>
      </c>
      <c r="C5552" s="2" t="s">
        <v>593</v>
      </c>
      <c r="D5552" s="2" t="str">
        <f t="shared" si="85"/>
        <v>Error?</v>
      </c>
    </row>
    <row r="5553" spans="1:4" x14ac:dyDescent="0.2">
      <c r="A5553" s="5">
        <v>5492</v>
      </c>
      <c r="B5553" s="138">
        <f>'Revenues 9-14'!F5</f>
        <v>6127535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6127535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30765</v>
      </c>
      <c r="D5586" s="2" t="str">
        <f t="shared" si="86"/>
        <v>Error?</v>
      </c>
    </row>
    <row r="5587" spans="1:4" x14ac:dyDescent="0.2">
      <c r="A5587" s="5">
        <v>5526</v>
      </c>
      <c r="B5587" s="138">
        <f>'Revenues 9-14'!F108</f>
        <v>30765</v>
      </c>
      <c r="C5587" s="2" t="s">
        <v>593</v>
      </c>
      <c r="D5587" s="2" t="str">
        <f t="shared" si="86"/>
        <v>Error?</v>
      </c>
    </row>
    <row r="5588" spans="1:4" x14ac:dyDescent="0.2">
      <c r="A5588" s="5">
        <v>5527</v>
      </c>
      <c r="B5588" s="138">
        <f>'Revenues 9-14'!F109</f>
        <v>6158300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3437364</v>
      </c>
      <c r="D5615" s="2" t="str">
        <f t="shared" si="86"/>
        <v>Error?</v>
      </c>
    </row>
    <row r="5616" spans="1:4" x14ac:dyDescent="0.2">
      <c r="A5616" s="10">
        <v>5555</v>
      </c>
      <c r="D5616" s="2" t="str">
        <f t="shared" si="86"/>
        <v>OK</v>
      </c>
    </row>
    <row r="5617" spans="1:4" x14ac:dyDescent="0.2">
      <c r="A5617" s="5">
        <v>5556</v>
      </c>
      <c r="B5617" s="138">
        <f>'Revenues 9-14'!F152</f>
        <v>4516121</v>
      </c>
      <c r="D5617" s="2" t="str">
        <f t="shared" si="86"/>
        <v>Error?</v>
      </c>
    </row>
    <row r="5618" spans="1:4" x14ac:dyDescent="0.2">
      <c r="A5618" s="5">
        <v>5557</v>
      </c>
      <c r="B5618" s="138">
        <f>'Revenues 9-14'!F154</f>
        <v>7953485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7953485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7953485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14111785</v>
      </c>
      <c r="C5720" s="2" t="s">
        <v>593</v>
      </c>
      <c r="D5720" s="2" t="str">
        <f t="shared" si="88"/>
        <v>Error?</v>
      </c>
    </row>
    <row r="5721" spans="1:4" x14ac:dyDescent="0.2">
      <c r="A5721" s="5">
        <v>5660</v>
      </c>
      <c r="B5721" s="138">
        <f>'Revenues 9-14'!G5</f>
        <v>3462864</v>
      </c>
      <c r="D5721" s="2" t="str">
        <f t="shared" si="88"/>
        <v>Error?</v>
      </c>
    </row>
    <row r="5722" spans="1:4" x14ac:dyDescent="0.2">
      <c r="A5722" s="5">
        <v>5661</v>
      </c>
      <c r="B5722" s="138">
        <f>'Revenues 9-14'!G7</f>
        <v>0</v>
      </c>
      <c r="D5722" s="2" t="str">
        <f t="shared" si="88"/>
        <v>Error?</v>
      </c>
    </row>
    <row r="5723" spans="1:4" x14ac:dyDescent="0.2">
      <c r="A5723" s="5">
        <v>5662</v>
      </c>
      <c r="B5723" s="138">
        <f>'Revenues 9-14'!G8</f>
        <v>3462864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6925728</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6935728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293000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293000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293000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293000</v>
      </c>
      <c r="C5915" s="2" t="s">
        <v>593</v>
      </c>
      <c r="D5915" s="2" t="str">
        <f t="shared" si="91"/>
        <v>Error?</v>
      </c>
    </row>
    <row r="5916" spans="1:4" x14ac:dyDescent="0.2">
      <c r="A5916" s="5">
        <v>5855</v>
      </c>
      <c r="B5916" s="138">
        <f>'Revenues 9-14'!I5</f>
        <v>132083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132083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132083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652334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652334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652334</v>
      </c>
      <c r="C6023" s="2" t="s">
        <v>593</v>
      </c>
      <c r="D6023" s="2" t="str">
        <f t="shared" si="93"/>
        <v>Error?</v>
      </c>
    </row>
    <row r="6024" spans="1:5" x14ac:dyDescent="0.2">
      <c r="A6024" s="5">
        <v>5963</v>
      </c>
      <c r="B6024" s="138">
        <f>'Revenues 9-14'!G109</f>
        <v>6935728</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132083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652334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1129431</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13676.01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1206870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1341438</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1224174</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1206870</v>
      </c>
      <c r="D6130" s="2" t="str">
        <f t="shared" si="94"/>
        <v>Error?</v>
      </c>
      <c r="E6130" s="2" t="s">
        <v>199</v>
      </c>
    </row>
    <row r="6131" spans="1:5" x14ac:dyDescent="0.2">
      <c r="A6131">
        <v>6070</v>
      </c>
      <c r="B6131" s="138">
        <f>'Assets-Liab 5-6'!J25</f>
        <v>117264</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-469</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4939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1020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118284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-118284</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1796944</v>
      </c>
      <c r="D6220" s="2" t="str">
        <f t="shared" si="96"/>
        <v>Error?</v>
      </c>
      <c r="E6220" s="2" t="s">
        <v>199</v>
      </c>
    </row>
    <row r="6221" spans="1:5" x14ac:dyDescent="0.2">
      <c r="A6221">
        <v>6160</v>
      </c>
      <c r="B6221" s="138">
        <f>'Acct Summary 7-8'!J6</f>
        <v>1979375</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3776319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3776319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3186835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3186835</v>
      </c>
      <c r="D6229" s="2" t="str">
        <f t="shared" si="96"/>
        <v>Error?</v>
      </c>
      <c r="E6229" s="2" t="s">
        <v>199</v>
      </c>
    </row>
    <row r="6230" spans="1:5" x14ac:dyDescent="0.2">
      <c r="A6230">
        <v>6169</v>
      </c>
      <c r="B6230" s="138">
        <f>'Acct Summary 7-8'!J20</f>
        <v>589484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6000000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589484</v>
      </c>
      <c r="D6263" s="2" t="str">
        <f t="shared" si="96"/>
        <v>Error?</v>
      </c>
      <c r="E6263" s="2" t="s">
        <v>199</v>
      </c>
    </row>
    <row r="6264" spans="1:5" x14ac:dyDescent="0.2">
      <c r="A6264">
        <v>6203</v>
      </c>
      <c r="B6264" s="138">
        <f>'Acct Summary 7-8'!J79</f>
        <v>-707768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-118284</v>
      </c>
      <c r="D6266" s="2" t="str">
        <f t="shared" si="96"/>
        <v>Error?</v>
      </c>
      <c r="E6266" s="2" t="s">
        <v>199</v>
      </c>
    </row>
    <row r="6267" spans="1:5" x14ac:dyDescent="0.2">
      <c r="A6267">
        <v>6206</v>
      </c>
      <c r="B6267" s="138">
        <f>'Acct Summary 7-8'!C82</f>
        <v>26397649</v>
      </c>
      <c r="D6267" s="2" t="str">
        <f t="shared" si="96"/>
        <v>Error?</v>
      </c>
      <c r="E6267" s="2" t="s">
        <v>199</v>
      </c>
    </row>
    <row r="6268" spans="1:5" x14ac:dyDescent="0.2">
      <c r="A6268">
        <v>6207</v>
      </c>
      <c r="B6268" s="138">
        <f>'Acct Summary 7-8'!D82</f>
        <v>1923375</v>
      </c>
      <c r="D6268" s="2" t="str">
        <f t="shared" si="96"/>
        <v>Error?</v>
      </c>
      <c r="E6268" s="2" t="s">
        <v>199</v>
      </c>
    </row>
    <row r="6269" spans="1:5" x14ac:dyDescent="0.2">
      <c r="A6269">
        <v>6208</v>
      </c>
      <c r="B6269" s="138">
        <f>'Acct Summary 7-8'!E82</f>
        <v>-3683732</v>
      </c>
      <c r="D6269" s="2" t="str">
        <f t="shared" si="96"/>
        <v>Error?</v>
      </c>
      <c r="E6269" s="2" t="s">
        <v>199</v>
      </c>
    </row>
    <row r="6270" spans="1:5" x14ac:dyDescent="0.2">
      <c r="A6270">
        <v>6209</v>
      </c>
      <c r="B6270" s="138">
        <f>'Acct Summary 7-8'!F82</f>
        <v>472923</v>
      </c>
      <c r="D6270" s="2" t="str">
        <f t="shared" si="96"/>
        <v>Error?</v>
      </c>
      <c r="E6270" s="2" t="s">
        <v>199</v>
      </c>
    </row>
    <row r="6271" spans="1:5" x14ac:dyDescent="0.2">
      <c r="A6271">
        <v>6210</v>
      </c>
      <c r="B6271" s="138">
        <f>'Acct Summary 7-8'!G82</f>
        <v>262177</v>
      </c>
      <c r="D6271" s="2" t="str">
        <f t="shared" ref="D6271:D6334" si="97">IF(ISBLANK(B6271),"OK",IF(A6271-B6271=0,"OK","Error?"))</f>
        <v>Error?</v>
      </c>
      <c r="E6271" s="2" t="s">
        <v>199</v>
      </c>
    </row>
    <row r="6272" spans="1:5" x14ac:dyDescent="0.2">
      <c r="A6272">
        <v>6211</v>
      </c>
      <c r="B6272" s="138">
        <f>'Acct Summary 7-8'!H82</f>
        <v>3249311</v>
      </c>
      <c r="D6272" s="2" t="str">
        <f t="shared" si="97"/>
        <v>Error?</v>
      </c>
      <c r="E6272" s="2" t="s">
        <v>199</v>
      </c>
    </row>
    <row r="6273" spans="1:5" x14ac:dyDescent="0.2">
      <c r="A6273">
        <v>6212</v>
      </c>
      <c r="B6273" s="138">
        <f>'Acct Summary 7-8'!I82</f>
        <v>-5867917</v>
      </c>
      <c r="D6273" s="2" t="str">
        <f t="shared" si="97"/>
        <v>Error?</v>
      </c>
      <c r="E6273" s="2" t="s">
        <v>199</v>
      </c>
    </row>
    <row r="6274" spans="1:5" x14ac:dyDescent="0.2">
      <c r="A6274">
        <v>6213</v>
      </c>
      <c r="B6274" s="138">
        <f>'Acct Summary 7-8'!J82</f>
        <v>589484</v>
      </c>
      <c r="D6274" s="2" t="str">
        <f t="shared" si="97"/>
        <v>Error?</v>
      </c>
      <c r="E6274" s="2" t="s">
        <v>199</v>
      </c>
    </row>
    <row r="6275" spans="1:5" x14ac:dyDescent="0.2">
      <c r="A6275">
        <v>6214</v>
      </c>
      <c r="B6275" s="138">
        <f>'Acct Summary 7-8'!K82</f>
        <v>1199921</v>
      </c>
      <c r="D6275" s="2" t="str">
        <f t="shared" si="97"/>
        <v>Error?</v>
      </c>
      <c r="E6275" s="2" t="s">
        <v>199</v>
      </c>
    </row>
    <row r="6276" spans="1:5" x14ac:dyDescent="0.2">
      <c r="A6276">
        <v>6215</v>
      </c>
      <c r="B6276" s="138">
        <f>'Acct Summary 7-8'!C83</f>
        <v>0.85754084629407357</v>
      </c>
      <c r="D6276" s="2" t="str">
        <f t="shared" si="97"/>
        <v>Error?</v>
      </c>
      <c r="E6276" s="2" t="s">
        <v>199</v>
      </c>
    </row>
    <row r="6277" spans="1:5" x14ac:dyDescent="0.2">
      <c r="A6277">
        <v>6216</v>
      </c>
      <c r="B6277" s="138">
        <f>'Acct Summary 7-8'!D83</f>
        <v>0.40326647152346928</v>
      </c>
      <c r="D6277" s="2" t="str">
        <f t="shared" si="97"/>
        <v>Error?</v>
      </c>
      <c r="E6277" s="2" t="s">
        <v>199</v>
      </c>
    </row>
    <row r="6278" spans="1:5" x14ac:dyDescent="0.2">
      <c r="A6278">
        <v>6217</v>
      </c>
      <c r="B6278" s="138">
        <f>'Acct Summary 7-8'!E83</f>
        <v>-2.1643319870882682</v>
      </c>
      <c r="D6278" s="2" t="str">
        <f t="shared" si="97"/>
        <v>Error?</v>
      </c>
      <c r="E6278" s="2" t="s">
        <v>199</v>
      </c>
    </row>
    <row r="6279" spans="1:5" x14ac:dyDescent="0.2">
      <c r="A6279">
        <v>6218</v>
      </c>
      <c r="B6279" s="138">
        <f>'Acct Summary 7-8'!F83</f>
        <v>9.3051428827776256E-2</v>
      </c>
      <c r="D6279" s="2" t="str">
        <f t="shared" si="97"/>
        <v>Error?</v>
      </c>
      <c r="E6279" s="2" t="s">
        <v>199</v>
      </c>
    </row>
    <row r="6280" spans="1:5" x14ac:dyDescent="0.2">
      <c r="A6280">
        <v>6219</v>
      </c>
      <c r="B6280" s="138">
        <f>'Acct Summary 7-8'!G83</f>
        <v>0.28154293047255469</v>
      </c>
      <c r="D6280" s="2" t="str">
        <f t="shared" si="97"/>
        <v>Error?</v>
      </c>
      <c r="E6280" s="2" t="s">
        <v>199</v>
      </c>
    </row>
    <row r="6281" spans="1:5" x14ac:dyDescent="0.2">
      <c r="A6281">
        <v>6220</v>
      </c>
      <c r="B6281" s="138">
        <f>'Acct Summary 7-8'!H83</f>
        <v>-2.6923454887436096</v>
      </c>
      <c r="D6281" s="2" t="str">
        <f t="shared" si="97"/>
        <v>Error?</v>
      </c>
      <c r="E6281" s="2" t="s">
        <v>199</v>
      </c>
    </row>
    <row r="6282" spans="1:5" x14ac:dyDescent="0.2">
      <c r="A6282">
        <v>6221</v>
      </c>
      <c r="B6282" s="138">
        <f>'Acct Summary 7-8'!I83</f>
        <v>-0.21752134773507142</v>
      </c>
      <c r="D6282" s="2" t="str">
        <f t="shared" si="97"/>
        <v>Error?</v>
      </c>
      <c r="E6282" s="2" t="s">
        <v>199</v>
      </c>
    </row>
    <row r="6283" spans="1:5" x14ac:dyDescent="0.2">
      <c r="A6283">
        <v>6222</v>
      </c>
      <c r="B6283" s="138">
        <f>'Acct Summary 7-8'!J83</f>
        <v>-4.9836326130330395</v>
      </c>
      <c r="D6283" s="2" t="str">
        <f t="shared" si="97"/>
        <v>Error?</v>
      </c>
      <c r="E6283" s="2" t="s">
        <v>199</v>
      </c>
    </row>
    <row r="6284" spans="1:5" x14ac:dyDescent="0.2">
      <c r="A6284">
        <v>6223</v>
      </c>
      <c r="B6284" s="138">
        <f>'Acct Summary 7-8'!K83</f>
        <v>0.63271388323656563</v>
      </c>
      <c r="D6284" s="2" t="str">
        <f t="shared" si="97"/>
        <v>Error?</v>
      </c>
      <c r="E6284" s="2" t="s">
        <v>199</v>
      </c>
    </row>
    <row r="6285" spans="1:5" x14ac:dyDescent="0.2">
      <c r="A6285">
        <v>6224</v>
      </c>
      <c r="B6285" s="138">
        <f>'Acct Summary 7-8'!E37</f>
        <v>197913</v>
      </c>
      <c r="D6285" s="2" t="str">
        <f t="shared" si="97"/>
        <v>Error?</v>
      </c>
      <c r="E6285" s="2" t="s">
        <v>199</v>
      </c>
    </row>
    <row r="6286" spans="1:5" x14ac:dyDescent="0.2">
      <c r="A6286">
        <v>6225</v>
      </c>
      <c r="B6286" s="138">
        <f>'Acct Summary 7-8'!E38</f>
        <v>9122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9660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1793601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1793601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3343</v>
      </c>
      <c r="D6350" s="2" t="str">
        <f t="shared" si="98"/>
        <v>Error?</v>
      </c>
      <c r="E6350" s="2" t="s">
        <v>199</v>
      </c>
    </row>
    <row r="6351" spans="1:5" x14ac:dyDescent="0.2">
      <c r="A6351">
        <v>6290</v>
      </c>
      <c r="B6351" s="138">
        <f>'Revenues 9-14'!J108</f>
        <v>3343</v>
      </c>
      <c r="D6351" s="2" t="str">
        <f t="shared" si="98"/>
        <v>Error?</v>
      </c>
      <c r="E6351" s="2" t="s">
        <v>199</v>
      </c>
    </row>
    <row r="6352" spans="1:5" x14ac:dyDescent="0.2">
      <c r="A6352">
        <v>6291</v>
      </c>
      <c r="B6352" s="138">
        <f>'Revenues 9-14'!J109</f>
        <v>1796944</v>
      </c>
      <c r="D6352" s="2" t="str">
        <f t="shared" si="98"/>
        <v>Error?</v>
      </c>
      <c r="E6352" s="2" t="s">
        <v>199</v>
      </c>
    </row>
    <row r="6353" spans="1:5" x14ac:dyDescent="0.2">
      <c r="A6353">
        <v>6292</v>
      </c>
      <c r="B6353" s="138">
        <f>'Revenues 9-14'!J117</f>
        <v>1979375</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1979375</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1979375</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1748991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29081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2309341</v>
      </c>
      <c r="D6848" s="2" t="str">
        <f t="shared" si="106"/>
        <v>Error?</v>
      </c>
    </row>
    <row r="6849" spans="1:4" x14ac:dyDescent="0.2">
      <c r="A6849">
        <v>6788</v>
      </c>
      <c r="B6849" s="138">
        <f>'Expenditures 15-22'!I8</f>
        <v>21760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1005331</v>
      </c>
      <c r="D6853" s="2" t="str">
        <f t="shared" si="106"/>
        <v>Error?</v>
      </c>
    </row>
    <row r="6854" spans="1:4" x14ac:dyDescent="0.2">
      <c r="A6854">
        <v>6793</v>
      </c>
      <c r="B6854" s="138">
        <f>'Expenditures 15-22'!I10</f>
        <v>1501</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363408</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30593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147695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82935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1768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1768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31560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84611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116171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207257</v>
      </c>
      <c r="D6932" s="2" t="str">
        <f t="shared" si="107"/>
        <v>Error?</v>
      </c>
    </row>
    <row r="6933" spans="1:4" x14ac:dyDescent="0.2">
      <c r="A6933">
        <v>6872</v>
      </c>
      <c r="B6933" s="138">
        <f>'Expenditures 15-22'!D52</f>
        <v>10538</v>
      </c>
      <c r="D6933" s="2" t="str">
        <f t="shared" si="107"/>
        <v>Error?</v>
      </c>
    </row>
    <row r="6934" spans="1:4" x14ac:dyDescent="0.2">
      <c r="A6934">
        <v>6873</v>
      </c>
      <c r="B6934" s="138">
        <f>'Expenditures 15-22'!E52</f>
        <v>14728</v>
      </c>
      <c r="D6934" s="2" t="str">
        <f t="shared" si="107"/>
        <v>Error?</v>
      </c>
    </row>
    <row r="6935" spans="1:4" x14ac:dyDescent="0.2">
      <c r="A6935">
        <v>6874</v>
      </c>
      <c r="B6935" s="138">
        <f>'Expenditures 15-22'!F52</f>
        <v>1353</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1305</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235181</v>
      </c>
      <c r="D6940" s="2" t="str">
        <f t="shared" si="107"/>
        <v>Error?</v>
      </c>
    </row>
    <row r="6941" spans="1:4" x14ac:dyDescent="0.2">
      <c r="A6941">
        <v>6880</v>
      </c>
      <c r="B6941" s="138">
        <f>'Expenditures 15-22'!L52</f>
        <v>235424</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9670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9670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119891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119891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87714</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335214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418149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36598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36598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36598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3186835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36598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3776319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118145</v>
      </c>
      <c r="D7073" s="2" t="str">
        <f t="shared" si="109"/>
        <v>Error?</v>
      </c>
    </row>
    <row r="7074" spans="1:4" x14ac:dyDescent="0.2">
      <c r="A7074">
        <v>7013</v>
      </c>
      <c r="B7074" s="138">
        <f>'Expenditures 15-22'!K216</f>
        <v>118145</v>
      </c>
      <c r="D7074" s="2" t="str">
        <f t="shared" si="109"/>
        <v>Error?</v>
      </c>
    </row>
    <row r="7075" spans="1:4" x14ac:dyDescent="0.2">
      <c r="A7075">
        <v>7014</v>
      </c>
      <c r="B7075" s="138">
        <f>'Expenditures 15-22'!D218</f>
        <v>12316</v>
      </c>
      <c r="D7075" s="2" t="str">
        <f t="shared" si="109"/>
        <v>Error?</v>
      </c>
    </row>
    <row r="7076" spans="1:4" x14ac:dyDescent="0.2">
      <c r="A7076">
        <v>7015</v>
      </c>
      <c r="B7076" s="138">
        <f>'Expenditures 15-22'!K218</f>
        <v>12316</v>
      </c>
      <c r="D7076" s="2" t="str">
        <f t="shared" si="109"/>
        <v>Error?</v>
      </c>
    </row>
    <row r="7077" spans="1:4" x14ac:dyDescent="0.2">
      <c r="A7077">
        <v>7016</v>
      </c>
      <c r="B7077" s="138">
        <f>'Expenditures 15-22'!D220</f>
        <v>47631</v>
      </c>
      <c r="D7077" s="2" t="str">
        <f t="shared" si="109"/>
        <v>Error?</v>
      </c>
    </row>
    <row r="7078" spans="1:4" x14ac:dyDescent="0.2">
      <c r="A7078">
        <v>7017</v>
      </c>
      <c r="B7078" s="138">
        <f>'Expenditures 15-22'!K220</f>
        <v>47631</v>
      </c>
      <c r="D7078" s="2" t="str">
        <f t="shared" si="109"/>
        <v>Error?</v>
      </c>
    </row>
    <row r="7079" spans="1:4" x14ac:dyDescent="0.2">
      <c r="A7079">
        <v>7018</v>
      </c>
      <c r="B7079" s="138">
        <f>'Expenditures 15-22'!D226</f>
        <v>1721</v>
      </c>
      <c r="D7079" s="2" t="str">
        <f t="shared" si="109"/>
        <v>Error?</v>
      </c>
    </row>
    <row r="7080" spans="1:4" x14ac:dyDescent="0.2">
      <c r="A7080">
        <v>7019</v>
      </c>
      <c r="B7080" s="138">
        <f>'Expenditures 15-22'!K226</f>
        <v>1721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69449</v>
      </c>
      <c r="D7089" s="2" t="str">
        <f t="shared" si="109"/>
        <v>Error?</v>
      </c>
    </row>
    <row r="7090" spans="1:4" x14ac:dyDescent="0.2">
      <c r="A7090">
        <v>7029</v>
      </c>
      <c r="B7090" s="138">
        <f>'Expenditures 15-22'!K252</f>
        <v>69449</v>
      </c>
      <c r="D7090" s="2" t="str">
        <f t="shared" si="109"/>
        <v>Error?</v>
      </c>
    </row>
    <row r="7091" spans="1:4" x14ac:dyDescent="0.2">
      <c r="A7091">
        <v>7030</v>
      </c>
      <c r="B7091" s="138">
        <f>'Expenditures 15-22'!D253</f>
        <v>36</v>
      </c>
      <c r="D7091" s="2" t="str">
        <f t="shared" si="109"/>
        <v>Error?</v>
      </c>
    </row>
    <row r="7092" spans="1:4" x14ac:dyDescent="0.2">
      <c r="A7092">
        <v>7031</v>
      </c>
      <c r="B7092" s="138">
        <f>'Expenditures 15-22'!K253</f>
        <v>36</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39318</v>
      </c>
      <c r="D7097" s="2" t="str">
        <f t="shared" si="109"/>
        <v>Error?</v>
      </c>
    </row>
    <row r="7098" spans="1:4" x14ac:dyDescent="0.2">
      <c r="A7098">
        <v>7037</v>
      </c>
      <c r="B7098" s="138">
        <f>'Expenditures 15-22'!K256</f>
        <v>39318</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897305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897305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597991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597991</v>
      </c>
      <c r="D7153" s="2" t="str">
        <f t="shared" si="110"/>
        <v>Error?</v>
      </c>
    </row>
    <row r="7154" spans="1:4" x14ac:dyDescent="0.2">
      <c r="A7154">
        <v>7093</v>
      </c>
      <c r="B7154" s="138">
        <f>'Expenditures 15-22'!C323</f>
        <v>1017205</v>
      </c>
      <c r="D7154" s="2" t="str">
        <f t="shared" si="110"/>
        <v>Error?</v>
      </c>
    </row>
    <row r="7155" spans="1:4" x14ac:dyDescent="0.2">
      <c r="A7155">
        <v>7094</v>
      </c>
      <c r="B7155" s="138">
        <f>'Expenditures 15-22'!D323</f>
        <v>147353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1164558</v>
      </c>
      <c r="D7162" s="2" t="str">
        <f t="shared" si="110"/>
        <v>Error?</v>
      </c>
    </row>
    <row r="7163" spans="1:4" x14ac:dyDescent="0.2">
      <c r="A7163">
        <v>7102</v>
      </c>
      <c r="B7163" s="138">
        <f>'Expenditures 15-22'!C324</f>
        <v>2500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96039</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98539</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7500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7500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68302</v>
      </c>
      <c r="D7190" s="2" t="str">
        <f t="shared" si="111"/>
        <v>Error?</v>
      </c>
    </row>
    <row r="7191" spans="1:4" x14ac:dyDescent="0.2">
      <c r="A7191">
        <v>7130</v>
      </c>
      <c r="B7191" s="138">
        <f>'Expenditures 15-22'!D327</f>
        <v>3812</v>
      </c>
      <c r="D7191" s="2" t="str">
        <f t="shared" si="111"/>
        <v>Error?</v>
      </c>
    </row>
    <row r="7192" spans="1:4" x14ac:dyDescent="0.2">
      <c r="A7192">
        <v>7131</v>
      </c>
      <c r="B7192" s="138">
        <f>'Expenditures 15-22'!E327</f>
        <v>348828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420942</v>
      </c>
      <c r="D7198" s="2" t="str">
        <f t="shared" si="111"/>
        <v>Error?</v>
      </c>
    </row>
    <row r="7199" spans="1:4" x14ac:dyDescent="0.2">
      <c r="A7199">
        <v>7138</v>
      </c>
      <c r="B7199" s="138">
        <f>'Expenditures 15-22'!C330</f>
        <v>1088007</v>
      </c>
      <c r="D7199" s="2" t="str">
        <f t="shared" si="111"/>
        <v>Error?</v>
      </c>
    </row>
    <row r="7200" spans="1:4" x14ac:dyDescent="0.2">
      <c r="A7200">
        <v>7139</v>
      </c>
      <c r="B7200" s="138">
        <f>'Expenditures 15-22'!D330</f>
        <v>151165</v>
      </c>
      <c r="D7200" s="2" t="str">
        <f t="shared" si="111"/>
        <v>Error?</v>
      </c>
    </row>
    <row r="7201" spans="1:4" x14ac:dyDescent="0.2">
      <c r="A7201">
        <v>7140</v>
      </c>
      <c r="B7201" s="138">
        <f>'Expenditures 15-22'!E330</f>
        <v>1851624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96039</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3186835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1088007</v>
      </c>
      <c r="D7216" s="2" t="str">
        <f t="shared" si="111"/>
        <v>Error?</v>
      </c>
    </row>
    <row r="7217" spans="1:4" x14ac:dyDescent="0.2">
      <c r="A7217">
        <v>7156</v>
      </c>
      <c r="B7217" s="138">
        <f>'Expenditures 15-22'!D342</f>
        <v>151165</v>
      </c>
      <c r="D7217" s="2" t="str">
        <f t="shared" si="111"/>
        <v>Error?</v>
      </c>
    </row>
    <row r="7218" spans="1:4" x14ac:dyDescent="0.2">
      <c r="A7218">
        <v>7157</v>
      </c>
      <c r="B7218" s="138">
        <f>'Expenditures 15-22'!E342</f>
        <v>1851624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96039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3186835</v>
      </c>
      <c r="D7224" s="2" t="str">
        <f t="shared" si="111"/>
        <v>Error?</v>
      </c>
    </row>
    <row r="7225" spans="1:4" x14ac:dyDescent="0.2">
      <c r="A7225">
        <v>7164</v>
      </c>
      <c r="B7225" s="138">
        <f>'Expenditures 15-22'!K343</f>
        <v>589484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303041</v>
      </c>
      <c r="D7246" s="2" t="str">
        <f t="shared" si="112"/>
        <v>Error?</v>
      </c>
    </row>
    <row r="7247" spans="1:4" x14ac:dyDescent="0.2">
      <c r="A7247">
        <f t="shared" si="113"/>
        <v>7186</v>
      </c>
      <c r="B7247" s="138">
        <f>'Expenditures 15-22'!E7</f>
        <v>13983</v>
      </c>
      <c r="D7247" s="2" t="str">
        <f t="shared" si="112"/>
        <v>Error?</v>
      </c>
    </row>
    <row r="7248" spans="1:4" x14ac:dyDescent="0.2">
      <c r="A7248">
        <f t="shared" si="113"/>
        <v>7187</v>
      </c>
      <c r="B7248" s="138">
        <f>'Expenditures 15-22'!F7</f>
        <v>243326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879960</v>
      </c>
      <c r="D7251" s="2" t="str">
        <f t="shared" si="112"/>
        <v>Error?</v>
      </c>
    </row>
    <row r="7252" spans="1:4" x14ac:dyDescent="0.2">
      <c r="A7252">
        <f t="shared" si="113"/>
        <v>7191</v>
      </c>
      <c r="B7252" s="138">
        <f>'Expenditures 15-22'!D9</f>
        <v>123919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1452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281295</v>
      </c>
      <c r="D7257" s="2" t="str">
        <f t="shared" si="112"/>
        <v>Error?</v>
      </c>
    </row>
    <row r="7258" spans="1:4" x14ac:dyDescent="0.2">
      <c r="A7258">
        <f t="shared" si="113"/>
        <v>7197</v>
      </c>
      <c r="B7258" s="138">
        <f>'Expenditures 15-22'!D11</f>
        <v>82113</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123940</v>
      </c>
      <c r="D7263" s="2" t="str">
        <f t="shared" si="112"/>
        <v>Error?</v>
      </c>
    </row>
    <row r="7264" spans="1:4" x14ac:dyDescent="0.2">
      <c r="A7264">
        <f t="shared" si="113"/>
        <v>7203</v>
      </c>
      <c r="B7264" s="138">
        <f>'Expenditures 15-22'!D17</f>
        <v>23755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454747</v>
      </c>
      <c r="D7624" s="2" t="str">
        <f t="shared" si="124"/>
        <v>Error?</v>
      </c>
      <c r="E7624" s="2" t="s">
        <v>19</v>
      </c>
    </row>
    <row r="7625" spans="1:5" x14ac:dyDescent="0.2">
      <c r="A7625">
        <f t="shared" si="123"/>
        <v>7564</v>
      </c>
      <c r="B7625" s="138">
        <f>'Cap Outlay Deprec 26'!I17</f>
        <v>45474.7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4958091.7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197913</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9122</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9660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258796</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58970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58970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58970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29'!D290</f>
        <v>20510209</v>
      </c>
      <c r="D7797" s="2" t="str">
        <f t="shared" si="127"/>
        <v>Error?</v>
      </c>
      <c r="E7797" s="4" t="s">
        <v>2016</v>
      </c>
    </row>
    <row r="7798" spans="1:5" x14ac:dyDescent="0.2">
      <c r="A7798">
        <v>7737</v>
      </c>
      <c r="B7798" s="138">
        <f>'Contracts Paid in CY 29'!F290</f>
        <v>3273026</v>
      </c>
      <c r="D7798" s="2" t="str">
        <f t="shared" si="127"/>
        <v>Error?</v>
      </c>
      <c r="E7798" s="4" t="s">
        <v>2016</v>
      </c>
    </row>
    <row r="7799" spans="1:5" x14ac:dyDescent="0.2">
      <c r="A7799">
        <v>7738</v>
      </c>
      <c r="B7799" s="138">
        <f>'Contracts Paid in CY 29'!G290</f>
        <v>15319305</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5" t="s">
        <v>1252</v>
      </c>
      <c r="B2" s="2405"/>
      <c r="C2" s="2405"/>
      <c r="D2" s="2405"/>
      <c r="E2" s="2405"/>
      <c r="F2" s="2405"/>
      <c r="G2" s="2405"/>
      <c r="H2" s="2405"/>
      <c r="I2" s="2405"/>
      <c r="J2" s="2405"/>
      <c r="K2" s="2405"/>
      <c r="L2" s="2405"/>
    </row>
    <row r="3" spans="1:29" ht="13.5" customHeight="1" x14ac:dyDescent="0.2">
      <c r="A3" s="2436" t="s">
        <v>1251</v>
      </c>
      <c r="B3" s="2436"/>
      <c r="C3" s="2436"/>
      <c r="D3" s="2436"/>
      <c r="E3" s="2436"/>
      <c r="F3" s="2436"/>
      <c r="G3" s="2436"/>
      <c r="H3" s="2436"/>
      <c r="I3" s="2436"/>
      <c r="J3" s="2436"/>
      <c r="K3" s="2436"/>
      <c r="L3" s="2436"/>
    </row>
    <row r="4" spans="1:29" ht="13.5" customHeight="1" x14ac:dyDescent="0.2">
      <c r="A4" s="2405" t="s">
        <v>1798</v>
      </c>
      <c r="B4" s="2426"/>
      <c r="C4" s="2426"/>
      <c r="D4" s="2426"/>
      <c r="E4" s="2426"/>
      <c r="F4" s="2426"/>
      <c r="G4" s="2426"/>
      <c r="H4" s="2426"/>
      <c r="I4" s="2426"/>
      <c r="J4" s="2426"/>
      <c r="K4" s="2426"/>
      <c r="L4" s="242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7" t="str">
        <f>COVER!A17</f>
        <v>Waukegan CUSD 60</v>
      </c>
      <c r="B7" s="2428"/>
      <c r="C7" s="2428"/>
      <c r="D7" s="2429"/>
      <c r="E7" s="2430">
        <f>COVER!A13</f>
        <v>34049060026</v>
      </c>
      <c r="F7" s="2431"/>
      <c r="G7" s="2437" t="str">
        <f>COVER!T23</f>
        <v>060-003973</v>
      </c>
      <c r="H7" s="2438"/>
      <c r="I7" s="2438"/>
      <c r="J7" s="2438"/>
      <c r="K7" s="2438"/>
      <c r="L7" s="2439"/>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0"/>
      <c r="B9" s="2441"/>
      <c r="C9" s="2441"/>
      <c r="D9" s="2441"/>
      <c r="E9" s="2441"/>
      <c r="F9" s="2442"/>
      <c r="G9" s="2411" t="str">
        <f>COVER!T13</f>
        <v>EVANS, MARSHALL &amp; PEASE, P.C.</v>
      </c>
      <c r="H9" s="2443"/>
      <c r="I9" s="2443"/>
      <c r="J9" s="2443"/>
      <c r="K9" s="2443"/>
      <c r="L9" s="2444"/>
    </row>
    <row r="10" spans="1:29" ht="13.5" customHeight="1" x14ac:dyDescent="0.2">
      <c r="A10" s="2417">
        <f>COVER!A38</f>
        <v>0</v>
      </c>
      <c r="B10" s="2418"/>
      <c r="C10" s="2418"/>
      <c r="D10" s="2418"/>
      <c r="E10" s="2418"/>
      <c r="F10" s="2419"/>
      <c r="G10" s="2411" t="str">
        <f>COVER!T17</f>
        <v>1875 HICKS ROAD</v>
      </c>
      <c r="H10" s="2412"/>
      <c r="I10" s="2412"/>
      <c r="J10" s="2412"/>
      <c r="K10" s="2412"/>
      <c r="L10" s="2413"/>
    </row>
    <row r="11" spans="1:29" ht="13.5" customHeight="1" x14ac:dyDescent="0.2">
      <c r="A11" s="1185" t="s">
        <v>1598</v>
      </c>
      <c r="B11" s="1186"/>
      <c r="C11" s="1187"/>
      <c r="D11" s="1192"/>
      <c r="E11" s="1187"/>
      <c r="F11" s="1191"/>
      <c r="G11" s="2411" t="str">
        <f>COVER!T19</f>
        <v>ROLLING MEADOWS</v>
      </c>
      <c r="H11" s="2412"/>
      <c r="I11" s="2412"/>
      <c r="J11" s="2412"/>
      <c r="K11" s="2412"/>
      <c r="L11" s="2413"/>
    </row>
    <row r="12" spans="1:29" ht="13.5" customHeight="1" x14ac:dyDescent="0.2">
      <c r="A12" s="2420" t="s">
        <v>1597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1599</v>
      </c>
      <c r="H13" s="2407"/>
      <c r="I13" s="2423" t="str">
        <f>COVER!T25</f>
        <v>JEFF@EMPCPA.COM</v>
      </c>
      <c r="J13" s="2424"/>
      <c r="K13" s="2424"/>
      <c r="L13" s="2425"/>
    </row>
    <row r="14" spans="1:29" ht="13.5" customHeight="1" x14ac:dyDescent="0.2">
      <c r="A14" s="2411" t="str">
        <f>COVER!A19</f>
        <v>1201 NORTH SHERIDAN ROAD</v>
      </c>
      <c r="B14" s="2412"/>
      <c r="C14" s="2412"/>
      <c r="D14" s="2412"/>
      <c r="E14" s="2412"/>
      <c r="F14" s="2413"/>
      <c r="G14" s="1196" t="s">
        <v>1246</v>
      </c>
      <c r="H14" s="1194"/>
      <c r="I14" s="1194"/>
      <c r="J14" s="1194"/>
      <c r="K14" s="1194"/>
      <c r="L14" s="1195"/>
    </row>
    <row r="15" spans="1:29" ht="13.5" customHeight="1" x14ac:dyDescent="0.2">
      <c r="A15" s="2411" t="str">
        <f>COVER!A21</f>
        <v>WAUKEGAN</v>
      </c>
      <c r="B15" s="2412"/>
      <c r="C15" s="2412"/>
      <c r="D15" s="2412"/>
      <c r="E15" s="2412"/>
      <c r="F15" s="2413"/>
      <c r="G15" s="2408" t="str">
        <f>COVER!T15</f>
        <v>JEFFERY M. ROLLEFSON, CPA</v>
      </c>
      <c r="H15" s="2409"/>
      <c r="I15" s="2409"/>
      <c r="J15" s="2409"/>
      <c r="K15" s="2409"/>
      <c r="L15" s="2410"/>
    </row>
    <row r="16" spans="1:29" ht="12.2" customHeight="1" x14ac:dyDescent="0.2">
      <c r="A16" s="2433">
        <f>COVER!A25</f>
        <v>60085</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6" t="s">
        <v>1245</v>
      </c>
      <c r="H17" s="1194"/>
      <c r="I17" s="1194"/>
      <c r="J17" s="1194"/>
      <c r="K17" s="1198" t="s">
        <v>1244</v>
      </c>
      <c r="L17" s="1191"/>
      <c r="M17" s="1184"/>
    </row>
    <row r="18" spans="1:13" ht="12.2" customHeight="1" x14ac:dyDescent="0.2">
      <c r="A18" s="2417"/>
      <c r="B18" s="2418"/>
      <c r="C18" s="2418"/>
      <c r="D18" s="2418"/>
      <c r="E18" s="2418"/>
      <c r="F18" s="2419"/>
      <c r="G18" s="2427" t="str">
        <f>COVER!T21</f>
        <v>847-221-5700</v>
      </c>
      <c r="H18" s="2428"/>
      <c r="I18" s="2428"/>
      <c r="J18" s="2428"/>
      <c r="K18" s="2427" t="str">
        <f>COVER!X21</f>
        <v>847-221-5701</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Waukegan CUSD 60</v>
      </c>
      <c r="B1" s="2426"/>
      <c r="C1" s="2426"/>
      <c r="D1" s="2426"/>
    </row>
    <row r="2" spans="1:11" s="1215" customFormat="1" ht="12.75" x14ac:dyDescent="0.2">
      <c r="A2" s="2450">
        <f>'Single Audit Cover'!E7</f>
        <v>34049060026</v>
      </c>
      <c r="B2" s="2451"/>
      <c r="C2" s="2451"/>
      <c r="D2" s="2451"/>
    </row>
    <row r="3" spans="1:11" s="1215" customFormat="1" ht="12.75" x14ac:dyDescent="0.2">
      <c r="A3" s="2449" t="s">
        <v>1592</v>
      </c>
      <c r="B3" s="2426"/>
      <c r="C3" s="2426"/>
      <c r="D3" s="2426"/>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Waukegan CUSD 60</v>
      </c>
      <c r="B1" s="2453"/>
      <c r="C1" s="2453"/>
      <c r="D1" s="2453"/>
      <c r="E1" s="2453"/>
    </row>
    <row r="2" spans="1:5" x14ac:dyDescent="0.2">
      <c r="A2" s="2454">
        <f>'Single Audit Cover'!E7</f>
        <v>34049060026</v>
      </c>
      <c r="B2" s="2454"/>
      <c r="C2" s="2454"/>
      <c r="D2" s="2454"/>
      <c r="E2" s="2454"/>
    </row>
    <row r="3" spans="1:5" ht="4.5" customHeight="1" x14ac:dyDescent="0.2"/>
    <row r="4" spans="1:5" x14ac:dyDescent="0.2">
      <c r="A4" s="2453" t="s">
        <v>1306</v>
      </c>
      <c r="B4" s="2453"/>
      <c r="C4" s="2453"/>
      <c r="D4" s="2453"/>
      <c r="E4" s="2453"/>
    </row>
    <row r="5" spans="1:5" x14ac:dyDescent="0.2">
      <c r="A5" s="2456" t="str">
        <f>'Single Audit Cover'!A4</f>
        <v>Year Ending June 30, 2018</v>
      </c>
      <c r="B5" s="2456"/>
      <c r="C5" s="2456"/>
      <c r="D5" s="2456"/>
      <c r="E5" s="2456"/>
    </row>
    <row r="6" spans="1:5" x14ac:dyDescent="0.2">
      <c r="A6" s="2453" t="s">
        <v>1305</v>
      </c>
      <c r="B6" s="2453"/>
      <c r="C6" s="2453"/>
      <c r="D6" s="2453"/>
      <c r="E6" s="2453"/>
    </row>
    <row r="8" spans="1:5" x14ac:dyDescent="0.2">
      <c r="A8" s="1260" t="s">
        <v>1304</v>
      </c>
    </row>
    <row r="10" spans="1:5" x14ac:dyDescent="0.2">
      <c r="A10" s="1261" t="s">
        <v>1303</v>
      </c>
      <c r="B10" s="1262" t="s">
        <v>1302</v>
      </c>
      <c r="C10" s="1262"/>
      <c r="D10" s="1263">
        <f>SUM('Acct Summary 7-8'!C7:K7)</f>
        <v>20920916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1129431</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-1085240</v>
      </c>
    </row>
    <row r="19" spans="1:4" ht="13.5" thickBot="1" x14ac:dyDescent="0.25">
      <c r="A19" s="1265" t="s">
        <v>1296</v>
      </c>
      <c r="D19" s="1266">
        <f>SUM(D10:D17)</f>
        <v>20965107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1294</v>
      </c>
      <c r="D32" s="1263">
        <f>SUM(D19:D30)</f>
        <v>20965107</v>
      </c>
    </row>
    <row r="33" spans="1:4" x14ac:dyDescent="0.2">
      <c r="D33" s="1269"/>
    </row>
    <row r="34" spans="1:4" x14ac:dyDescent="0.2">
      <c r="A34" s="317" t="s">
        <v>1293</v>
      </c>
    </row>
    <row r="35" spans="1:4" x14ac:dyDescent="0.2">
      <c r="A35" s="317" t="s">
        <v>1292</v>
      </c>
      <c r="B35" s="1258" t="s">
        <v>1291</v>
      </c>
      <c r="D35" s="1270">
        <v>20965107</v>
      </c>
    </row>
    <row r="37" spans="1:4" x14ac:dyDescent="0.2">
      <c r="A37" s="1260" t="s">
        <v>1290</v>
      </c>
    </row>
    <row r="39" spans="1:4" ht="13.35" customHeight="1" x14ac:dyDescent="0.2">
      <c r="A39" s="1267" t="s">
        <v>1289</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1288</v>
      </c>
      <c r="C47" s="1272"/>
      <c r="D47" s="1273">
        <f>SUM(D35:D45)</f>
        <v>20965107</v>
      </c>
    </row>
    <row r="49" spans="2:4" x14ac:dyDescent="0.2">
      <c r="B49" s="1272" t="s">
        <v>1287</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23" sqref="C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Waukegan CUSD 60</v>
      </c>
      <c r="B1" s="2466"/>
      <c r="C1" s="2466"/>
      <c r="D1" s="2466"/>
      <c r="E1" s="2466"/>
      <c r="F1" s="2466"/>
    </row>
    <row r="2" spans="1:7" ht="13.5" customHeight="1" x14ac:dyDescent="0.2">
      <c r="A2" s="2467">
        <f>'Single Audit Cover'!E7</f>
        <v>34049060026</v>
      </c>
      <c r="B2" s="2467"/>
      <c r="C2" s="2467"/>
      <c r="D2" s="2467"/>
      <c r="E2" s="2467"/>
      <c r="F2" s="2467"/>
      <c r="G2" s="1275"/>
    </row>
    <row r="3" spans="1:7" ht="15.75" customHeight="1" x14ac:dyDescent="0.2">
      <c r="A3" s="2468" t="s">
        <v>1332</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6" t="s">
        <v>1830</v>
      </c>
      <c r="C6" s="317"/>
      <c r="D6" s="317"/>
    </row>
    <row r="7" spans="1:7" ht="60.95" customHeight="1" x14ac:dyDescent="0.2">
      <c r="A7" s="2465" t="s">
        <v>2104</v>
      </c>
      <c r="B7" s="2465"/>
      <c r="C7" s="2465"/>
      <c r="D7" s="2465"/>
      <c r="E7" s="2465"/>
      <c r="F7" s="2465"/>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2105</v>
      </c>
      <c r="F10" s="1280" t="s">
        <v>101</v>
      </c>
      <c r="G10" s="1278"/>
    </row>
    <row r="11" spans="1:7" ht="12" customHeight="1" x14ac:dyDescent="0.2">
      <c r="A11" s="1279"/>
      <c r="B11" s="1280"/>
      <c r="C11" s="1903"/>
      <c r="D11" s="1280"/>
      <c r="E11" s="1903"/>
      <c r="F11" s="1280"/>
      <c r="G11" s="1278"/>
    </row>
    <row r="12" spans="1:7" x14ac:dyDescent="0.2">
      <c r="A12" s="1276" t="s">
        <v>1668</v>
      </c>
      <c r="C12" s="1260"/>
      <c r="D12" s="1260"/>
    </row>
    <row r="13" spans="1:7" ht="15" customHeight="1" x14ac:dyDescent="0.2">
      <c r="A13" s="2465" t="s">
        <v>1832</v>
      </c>
      <c r="B13" s="2465"/>
      <c r="C13" s="2465"/>
      <c r="D13" s="2465"/>
      <c r="E13" s="2465"/>
      <c r="F13" s="2465"/>
    </row>
    <row r="14" spans="1:7" ht="9.75" customHeight="1" x14ac:dyDescent="0.2">
      <c r="C14" s="1260"/>
      <c r="D14" s="1260"/>
    </row>
    <row r="15" spans="1:7" ht="13.5" customHeight="1" x14ac:dyDescent="0.2">
      <c r="C15" s="1847" t="s">
        <v>1331</v>
      </c>
      <c r="D15" s="2463" t="s">
        <v>1330</v>
      </c>
      <c r="E15" s="2463"/>
      <c r="F15" s="2463"/>
    </row>
    <row r="16" spans="1:7" ht="13.5" customHeight="1" x14ac:dyDescent="0.2">
      <c r="A16" s="1282"/>
      <c r="B16" s="1276" t="s">
        <v>1329</v>
      </c>
      <c r="C16" s="1847" t="s">
        <v>1328</v>
      </c>
      <c r="D16" s="2464" t="s">
        <v>1669</v>
      </c>
      <c r="E16" s="2464"/>
      <c r="F16" s="2464"/>
    </row>
    <row r="17" spans="1:6" ht="20.45" customHeight="1" x14ac:dyDescent="0.2">
      <c r="A17" s="1283"/>
      <c r="B17" s="1284" t="s">
        <v>2106</v>
      </c>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04"/>
      <c r="E30" s="1286"/>
    </row>
    <row r="31" spans="1:6" ht="12" customHeight="1" x14ac:dyDescent="0.2">
      <c r="A31" s="1287" t="s">
        <v>1629</v>
      </c>
      <c r="B31" s="328"/>
      <c r="C31" s="1478"/>
      <c r="D31" s="1904"/>
      <c r="E31" s="1286"/>
    </row>
    <row r="32" spans="1:6" ht="30" customHeight="1" x14ac:dyDescent="0.2">
      <c r="A32" s="2459" t="s">
        <v>2107</v>
      </c>
      <c r="B32" s="2459"/>
      <c r="C32" s="2459"/>
      <c r="D32" s="2459"/>
      <c r="E32" s="2459"/>
      <c r="F32" s="2459"/>
    </row>
    <row r="33" spans="1:6" ht="13.5" customHeight="1" x14ac:dyDescent="0.2">
      <c r="A33" s="328" t="s">
        <v>1508</v>
      </c>
      <c r="B33" s="328"/>
      <c r="C33" s="1288">
        <v>1058404</v>
      </c>
      <c r="D33" s="1904"/>
      <c r="E33" s="1286"/>
    </row>
    <row r="34" spans="1:6" ht="13.5" customHeight="1" x14ac:dyDescent="0.2">
      <c r="A34" s="328" t="s">
        <v>1945</v>
      </c>
      <c r="B34" s="328"/>
      <c r="C34" s="1289">
        <v>71027</v>
      </c>
      <c r="D34" s="1904" t="s">
        <v>1670</v>
      </c>
      <c r="E34" s="2460">
        <f>+C33+C34</f>
        <v>1129431</v>
      </c>
      <c r="F34" s="2461"/>
    </row>
    <row r="35" spans="1:6" ht="12" customHeight="1" x14ac:dyDescent="0.2">
      <c r="A35" s="328"/>
      <c r="B35" s="328"/>
      <c r="C35" s="1905"/>
      <c r="D35" s="1904"/>
      <c r="E35" s="1290"/>
      <c r="F35" s="1291"/>
    </row>
    <row r="36" spans="1:6" ht="13.5" customHeight="1" x14ac:dyDescent="0.2">
      <c r="A36" s="1287" t="s">
        <v>1630</v>
      </c>
      <c r="B36" s="328"/>
      <c r="C36" s="1478"/>
      <c r="D36" s="1904"/>
      <c r="E36" s="1286"/>
    </row>
    <row r="37" spans="1:6" ht="14.25" customHeight="1" x14ac:dyDescent="0.2">
      <c r="A37" s="328" t="s">
        <v>1562</v>
      </c>
      <c r="B37" s="328"/>
      <c r="C37" s="1906"/>
      <c r="D37" s="1904"/>
      <c r="E37" s="1286"/>
    </row>
    <row r="38" spans="1:6" ht="14.25" customHeight="1" x14ac:dyDescent="0.2">
      <c r="A38" s="328"/>
      <c r="B38" s="328" t="s">
        <v>1509</v>
      </c>
      <c r="C38" s="1292">
        <v>0</v>
      </c>
      <c r="D38" s="1904"/>
      <c r="E38" s="1286"/>
    </row>
    <row r="39" spans="1:6" ht="14.25" customHeight="1" x14ac:dyDescent="0.2">
      <c r="A39" s="328"/>
      <c r="B39" s="328" t="s">
        <v>1510</v>
      </c>
      <c r="C39" s="1292">
        <v>0</v>
      </c>
      <c r="D39" s="1904"/>
      <c r="E39" s="1286"/>
    </row>
    <row r="40" spans="1:6" ht="14.25" customHeight="1" x14ac:dyDescent="0.2">
      <c r="A40" s="328"/>
      <c r="B40" s="328" t="s">
        <v>1511</v>
      </c>
      <c r="C40" s="1292">
        <v>0</v>
      </c>
      <c r="D40" s="1904"/>
      <c r="E40" s="1286"/>
    </row>
    <row r="41" spans="1:6" ht="14.25" customHeight="1" x14ac:dyDescent="0.2">
      <c r="A41" s="328"/>
      <c r="B41" s="328" t="s">
        <v>1512</v>
      </c>
      <c r="C41" s="1292">
        <v>0</v>
      </c>
      <c r="D41" s="1904"/>
      <c r="E41" s="1286"/>
    </row>
    <row r="42" spans="1:6" ht="14.25" customHeight="1" x14ac:dyDescent="0.2">
      <c r="A42" s="328" t="s">
        <v>1513</v>
      </c>
      <c r="B42" s="328"/>
      <c r="C42" s="1902">
        <v>0</v>
      </c>
      <c r="D42" s="1904"/>
      <c r="E42" s="1286"/>
    </row>
    <row r="43" spans="1:6" ht="14.25" customHeight="1" x14ac:dyDescent="0.2">
      <c r="A43" s="328" t="s">
        <v>1514</v>
      </c>
      <c r="B43" s="328"/>
      <c r="C43" s="1293" t="s">
        <v>2108</v>
      </c>
      <c r="D43" s="1904"/>
      <c r="E43" s="1286"/>
    </row>
    <row r="44" spans="1:6" ht="14.25" customHeight="1" x14ac:dyDescent="0.2">
      <c r="A44" s="328"/>
      <c r="B44" s="328"/>
      <c r="C44" s="1906" t="s">
        <v>1515</v>
      </c>
      <c r="D44" s="190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1671</v>
      </c>
      <c r="C49" s="2462"/>
      <c r="D49" s="2462"/>
      <c r="E49" s="1399"/>
    </row>
    <row r="50" spans="1:5" s="1300" customFormat="1" ht="3.75" customHeight="1" x14ac:dyDescent="0.2">
      <c r="A50" s="1299"/>
      <c r="B50" s="1846"/>
      <c r="C50" s="1846"/>
      <c r="D50" s="1846"/>
      <c r="E50" s="1399"/>
    </row>
    <row r="51" spans="1:5" s="1300" customFormat="1" ht="20.25" customHeight="1" x14ac:dyDescent="0.2">
      <c r="A51" s="1301">
        <v>6</v>
      </c>
      <c r="B51" s="2457" t="s">
        <v>1631</v>
      </c>
      <c r="C51" s="2457"/>
      <c r="D51" s="2457"/>
    </row>
    <row r="52" spans="1:5" ht="14.25" customHeight="1" x14ac:dyDescent="0.2">
      <c r="A52" s="1301"/>
      <c r="B52" s="2457"/>
      <c r="C52" s="2457"/>
      <c r="D52" s="245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70"/>
      <c r="D1" s="2470"/>
      <c r="E1" s="2470"/>
      <c r="F1" s="2470"/>
      <c r="G1" s="2470"/>
      <c r="H1" s="2470"/>
      <c r="I1" s="2470"/>
      <c r="J1" s="2470"/>
      <c r="K1" s="2470"/>
      <c r="L1" s="2470"/>
      <c r="M1" s="2470"/>
    </row>
    <row r="2" spans="2:14" ht="15" x14ac:dyDescent="0.2">
      <c r="B2" s="2467">
        <f>'Single Audit Cover'!E7</f>
        <v>34049060026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6"/>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32" t="s">
        <v>2109</v>
      </c>
      <c r="C11" s="1338"/>
      <c r="D11" s="1339"/>
      <c r="E11" s="1340"/>
      <c r="F11" s="1340"/>
      <c r="G11" s="1340"/>
      <c r="H11" s="1340"/>
      <c r="I11" s="1340"/>
      <c r="J11" s="1340"/>
      <c r="K11" s="1340"/>
      <c r="L11" s="1340"/>
      <c r="M11" s="1340"/>
    </row>
    <row r="12" spans="2:14" ht="20.100000000000001" customHeight="1" x14ac:dyDescent="0.2">
      <c r="B12" s="1337" t="s">
        <v>2110</v>
      </c>
      <c r="C12" s="1341" t="s">
        <v>2111</v>
      </c>
      <c r="D12" s="1342" t="s">
        <v>2112</v>
      </c>
      <c r="E12" s="1343">
        <v>390798</v>
      </c>
      <c r="F12" s="1343"/>
      <c r="G12" s="1343">
        <v>390798</v>
      </c>
      <c r="H12" s="1343"/>
      <c r="I12" s="1343"/>
      <c r="J12" s="1343"/>
      <c r="K12" s="1343"/>
      <c r="L12" s="1340">
        <f t="shared" ref="L12:L27" si="0">+G12+I12+K12</f>
        <v>390798</v>
      </c>
      <c r="M12" s="1343" t="s">
        <v>2114</v>
      </c>
    </row>
    <row r="13" spans="2:14" ht="20.100000000000001" customHeight="1" x14ac:dyDescent="0.2">
      <c r="B13" s="1337" t="s">
        <v>2110</v>
      </c>
      <c r="C13" s="1341" t="s">
        <v>2111</v>
      </c>
      <c r="D13" s="1342" t="s">
        <v>2113</v>
      </c>
      <c r="E13" s="1343"/>
      <c r="F13" s="1343">
        <v>269845</v>
      </c>
      <c r="G13" s="1343"/>
      <c r="H13" s="1343"/>
      <c r="I13" s="1343">
        <v>269845</v>
      </c>
      <c r="J13" s="1343"/>
      <c r="K13" s="1343"/>
      <c r="L13" s="1340">
        <f t="shared" si="0"/>
        <v>269845</v>
      </c>
      <c r="M13" s="1343" t="s">
        <v>2114</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933" t="s">
        <v>2128</v>
      </c>
      <c r="C15" s="1341"/>
      <c r="D15" s="1342"/>
      <c r="E15" s="1343"/>
      <c r="F15" s="1343"/>
      <c r="G15" s="1343"/>
      <c r="H15" s="1343"/>
      <c r="I15" s="1343"/>
      <c r="J15" s="1343"/>
      <c r="K15" s="1343"/>
      <c r="L15" s="1340"/>
      <c r="M15" s="1343"/>
    </row>
    <row r="16" spans="2:14" ht="20.100000000000001" customHeight="1" x14ac:dyDescent="0.2">
      <c r="B16" s="1337" t="s">
        <v>2115</v>
      </c>
      <c r="C16" s="1341">
        <v>84.01</v>
      </c>
      <c r="D16" s="1342" t="s">
        <v>2116</v>
      </c>
      <c r="E16" s="1343">
        <v>2963136</v>
      </c>
      <c r="F16" s="1343">
        <v>3082884</v>
      </c>
      <c r="G16" s="1343">
        <v>3893489</v>
      </c>
      <c r="H16" s="1343"/>
      <c r="I16" s="1343">
        <v>2152531</v>
      </c>
      <c r="J16" s="1343"/>
      <c r="K16" s="1343"/>
      <c r="L16" s="1340">
        <f t="shared" si="0"/>
        <v>6046020</v>
      </c>
      <c r="M16" s="1343">
        <v>6540251</v>
      </c>
    </row>
    <row r="17" spans="2:14" ht="20.100000000000001" customHeight="1" x14ac:dyDescent="0.2">
      <c r="B17" s="1337" t="s">
        <v>2115</v>
      </c>
      <c r="C17" s="1341">
        <v>84.01</v>
      </c>
      <c r="D17" s="1342" t="s">
        <v>2117</v>
      </c>
      <c r="E17" s="1343"/>
      <c r="F17" s="1343">
        <v>3454780</v>
      </c>
      <c r="G17" s="1343"/>
      <c r="H17" s="1343"/>
      <c r="I17" s="1343">
        <v>4240214</v>
      </c>
      <c r="J17" s="1343"/>
      <c r="K17" s="1343"/>
      <c r="L17" s="1340" t="s">
        <v>2118</v>
      </c>
      <c r="M17" s="1343">
        <v>6257953</v>
      </c>
    </row>
    <row r="18" spans="2:14" ht="20.100000000000001" customHeight="1" x14ac:dyDescent="0.2">
      <c r="B18" s="1337" t="s">
        <v>2119</v>
      </c>
      <c r="C18" s="1341">
        <v>84.367000000000004</v>
      </c>
      <c r="D18" s="1342" t="s">
        <v>2120</v>
      </c>
      <c r="E18" s="1343">
        <v>365770</v>
      </c>
      <c r="F18" s="1343">
        <v>176094</v>
      </c>
      <c r="G18" s="1343">
        <v>486987</v>
      </c>
      <c r="H18" s="1343"/>
      <c r="I18" s="1343">
        <v>54877</v>
      </c>
      <c r="J18" s="1343"/>
      <c r="K18" s="1343"/>
      <c r="L18" s="1340">
        <f t="shared" si="0"/>
        <v>541864</v>
      </c>
      <c r="M18" s="1343">
        <v>645598</v>
      </c>
    </row>
    <row r="19" spans="2:14" ht="20.100000000000001" customHeight="1" x14ac:dyDescent="0.2">
      <c r="B19" s="1337" t="s">
        <v>2119</v>
      </c>
      <c r="C19" s="1341">
        <v>84.367000000000004</v>
      </c>
      <c r="D19" s="1342" t="s">
        <v>2121</v>
      </c>
      <c r="E19" s="1343"/>
      <c r="F19" s="1343"/>
      <c r="G19" s="1343"/>
      <c r="H19" s="1343"/>
      <c r="I19" s="1343">
        <v>589212</v>
      </c>
      <c r="J19" s="1343"/>
      <c r="K19" s="1343"/>
      <c r="L19" s="1340" t="s">
        <v>2118</v>
      </c>
      <c r="M19" s="1343">
        <v>912899</v>
      </c>
    </row>
    <row r="20" spans="2:14" ht="20.100000000000001" customHeight="1" x14ac:dyDescent="0.2">
      <c r="B20" s="1337" t="s">
        <v>2122</v>
      </c>
      <c r="C20" s="1341">
        <v>84.364999999999995</v>
      </c>
      <c r="D20" s="1342" t="s">
        <v>2123</v>
      </c>
      <c r="E20" s="1343">
        <v>440271</v>
      </c>
      <c r="F20" s="1343">
        <v>120624</v>
      </c>
      <c r="G20" s="1343">
        <v>520099</v>
      </c>
      <c r="H20" s="1343"/>
      <c r="I20" s="1343">
        <v>40796</v>
      </c>
      <c r="J20" s="1343"/>
      <c r="K20" s="1343"/>
      <c r="L20" s="1340">
        <f t="shared" si="0"/>
        <v>560895</v>
      </c>
      <c r="M20" s="1343">
        <v>724197</v>
      </c>
    </row>
    <row r="21" spans="2:14" ht="20.100000000000001" customHeight="1" x14ac:dyDescent="0.2">
      <c r="B21" s="1337" t="s">
        <v>2122</v>
      </c>
      <c r="C21" s="1341">
        <v>84.364999999999995</v>
      </c>
      <c r="D21" s="1342" t="s">
        <v>2124</v>
      </c>
      <c r="E21" s="1343"/>
      <c r="F21" s="1343">
        <v>321915</v>
      </c>
      <c r="G21" s="1343"/>
      <c r="H21" s="1343"/>
      <c r="I21" s="1343">
        <v>434563</v>
      </c>
      <c r="J21" s="1343"/>
      <c r="K21" s="1343"/>
      <c r="L21" s="1340" t="s">
        <v>2118</v>
      </c>
      <c r="M21" s="1343">
        <v>793251</v>
      </c>
    </row>
    <row r="22" spans="2:14" ht="20.100000000000001" customHeight="1" x14ac:dyDescent="0.2">
      <c r="B22" s="1337" t="s">
        <v>2125</v>
      </c>
      <c r="C22" s="1341">
        <v>84.364999999999995</v>
      </c>
      <c r="D22" s="1342" t="s">
        <v>2126</v>
      </c>
      <c r="E22" s="1343"/>
      <c r="F22" s="1343">
        <v>43092</v>
      </c>
      <c r="G22" s="1343">
        <v>11029</v>
      </c>
      <c r="H22" s="1343"/>
      <c r="I22" s="1343">
        <v>32063</v>
      </c>
      <c r="J22" s="1343"/>
      <c r="K22" s="1343"/>
      <c r="L22" s="1340">
        <f t="shared" si="0"/>
        <v>43092</v>
      </c>
      <c r="M22" s="1343">
        <v>43202</v>
      </c>
    </row>
    <row r="23" spans="2:14" ht="20.100000000000001" customHeight="1" x14ac:dyDescent="0.2">
      <c r="B23" s="1337" t="s">
        <v>2125</v>
      </c>
      <c r="C23" s="1341">
        <v>84.364999999999995</v>
      </c>
      <c r="D23" s="1342" t="s">
        <v>2127</v>
      </c>
      <c r="E23" s="1343"/>
      <c r="F23" s="1343">
        <v>14518</v>
      </c>
      <c r="G23" s="1343"/>
      <c r="H23" s="1343"/>
      <c r="I23" s="1343">
        <v>22034</v>
      </c>
      <c r="J23" s="1343"/>
      <c r="K23" s="1343"/>
      <c r="L23" s="1340" t="s">
        <v>2118</v>
      </c>
      <c r="M23" s="1343">
        <v>47704</v>
      </c>
    </row>
    <row r="24" spans="2:14" ht="20.100000000000001" customHeight="1" x14ac:dyDescent="0.2">
      <c r="B24" s="1337" t="s">
        <v>2129</v>
      </c>
      <c r="C24" s="1341">
        <v>84.424000000000007</v>
      </c>
      <c r="D24" s="1342" t="s">
        <v>2130</v>
      </c>
      <c r="E24" s="1343"/>
      <c r="F24" s="1343">
        <v>40659</v>
      </c>
      <c r="G24" s="1343"/>
      <c r="H24" s="1343"/>
      <c r="I24" s="1343">
        <v>58042</v>
      </c>
      <c r="J24" s="1343"/>
      <c r="K24" s="1343"/>
      <c r="L24" s="1340" t="s">
        <v>2118</v>
      </c>
      <c r="M24" s="1343">
        <v>100204</v>
      </c>
    </row>
    <row r="25" spans="2:14" ht="20.100000000000001" customHeight="1" x14ac:dyDescent="0.2">
      <c r="B25" s="1337" t="s">
        <v>2131</v>
      </c>
      <c r="C25" s="1341">
        <v>84.027000000000001</v>
      </c>
      <c r="D25" s="1342" t="s">
        <v>2132</v>
      </c>
      <c r="E25" s="1343"/>
      <c r="F25" s="1343">
        <v>1662</v>
      </c>
      <c r="G25" s="1343"/>
      <c r="H25" s="1343"/>
      <c r="I25" s="1343">
        <v>1662</v>
      </c>
      <c r="J25" s="1343"/>
      <c r="K25" s="1343"/>
      <c r="L25" s="1340">
        <f t="shared" si="0"/>
        <v>1662</v>
      </c>
      <c r="M25" s="1343" t="s">
        <v>2114</v>
      </c>
    </row>
    <row r="26" spans="2:14" ht="20.100000000000001" customHeight="1" x14ac:dyDescent="0.2">
      <c r="B26" s="1337" t="s">
        <v>2136</v>
      </c>
      <c r="C26" s="1341">
        <v>84.027000000000001</v>
      </c>
      <c r="D26" s="1342" t="s">
        <v>2134</v>
      </c>
      <c r="E26" s="1343">
        <v>48241</v>
      </c>
      <c r="F26" s="1343">
        <v>79528</v>
      </c>
      <c r="G26" s="1343">
        <v>114042</v>
      </c>
      <c r="H26" s="1343"/>
      <c r="I26" s="1343">
        <v>13727</v>
      </c>
      <c r="J26" s="1343"/>
      <c r="K26" s="1343"/>
      <c r="L26" s="1340">
        <f t="shared" si="0"/>
        <v>127769</v>
      </c>
      <c r="M26" s="1343">
        <v>135009</v>
      </c>
    </row>
    <row r="27" spans="2:14" ht="20.100000000000001" customHeight="1" x14ac:dyDescent="0.2">
      <c r="B27" s="1337" t="s">
        <v>2136</v>
      </c>
      <c r="C27" s="1341">
        <v>84.027000000000001</v>
      </c>
      <c r="D27" s="1342" t="s">
        <v>2135</v>
      </c>
      <c r="E27" s="1343"/>
      <c r="F27" s="1343">
        <v>58000</v>
      </c>
      <c r="G27" s="1343"/>
      <c r="H27" s="1343"/>
      <c r="I27" s="1343">
        <v>72436</v>
      </c>
      <c r="J27" s="1343"/>
      <c r="K27" s="1343"/>
      <c r="L27" s="1340">
        <f t="shared" si="0"/>
        <v>72436</v>
      </c>
      <c r="M27" s="1343">
        <v>94414</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2:L13 L16:L2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10" colorId="8" zoomScale="110" zoomScaleNormal="110" workbookViewId="0">
      <selection activeCell="A47" sqref="A47:I4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1229</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2" t="s">
        <v>1730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330</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33512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1389</v>
      </c>
      <c r="B70" s="2095"/>
      <c r="C70" s="2095"/>
      <c r="D70" s="2095"/>
      <c r="E70" s="2096"/>
      <c r="F70" s="2096"/>
      <c r="G70" s="2096"/>
      <c r="H70" s="2096"/>
      <c r="I70" s="20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4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1386</v>
      </c>
      <c r="B83" s="2097"/>
      <c r="C83" s="2097"/>
      <c r="D83" s="20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2079</v>
      </c>
      <c r="D114" s="20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1396</v>
      </c>
      <c r="D117" s="2090"/>
      <c r="E117" s="2091"/>
      <c r="F117" s="2091"/>
      <c r="G117" s="2091"/>
      <c r="H117" s="2091"/>
      <c r="I117" s="304"/>
    </row>
    <row r="118" spans="1:9" s="181" customFormat="1" ht="24" customHeight="1" x14ac:dyDescent="0.2">
      <c r="A118" s="316"/>
      <c r="B118" s="316"/>
      <c r="C118" s="316"/>
      <c r="D118" s="323"/>
      <c r="E118" s="322"/>
      <c r="F118" s="324"/>
      <c r="G118" s="1842"/>
      <c r="H118" s="322"/>
      <c r="I118" s="304"/>
    </row>
    <row r="119" spans="1:9" s="181" customFormat="1" ht="11.25" customHeight="1" x14ac:dyDescent="0.2">
      <c r="A119" s="325"/>
      <c r="B119" s="325"/>
      <c r="C119" s="326"/>
      <c r="D119" s="327" t="s">
        <v>378</v>
      </c>
      <c r="E119" s="310"/>
      <c r="F119" s="1841"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3" sqref="I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70"/>
      <c r="D1" s="2470"/>
      <c r="E1" s="2470"/>
      <c r="F1" s="2470"/>
      <c r="G1" s="2470"/>
      <c r="H1" s="2470"/>
      <c r="I1" s="2470"/>
      <c r="J1" s="2470"/>
      <c r="K1" s="2470"/>
      <c r="L1" s="2470"/>
      <c r="M1" s="2470"/>
    </row>
    <row r="2" spans="2:14" ht="15" x14ac:dyDescent="0.2">
      <c r="B2" s="2467">
        <f>'Single Audit Cover'!E7</f>
        <v>34049060026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6"/>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32" t="s">
        <v>2137</v>
      </c>
      <c r="C11" s="1338"/>
      <c r="D11" s="1339"/>
      <c r="E11" s="1340"/>
      <c r="F11" s="1340"/>
      <c r="G11" s="1340"/>
      <c r="H11" s="1340"/>
      <c r="I11" s="1340"/>
      <c r="J11" s="1340"/>
      <c r="K11" s="1340"/>
      <c r="L11" s="1340"/>
      <c r="M11" s="1340"/>
    </row>
    <row r="12" spans="2:14" ht="20.100000000000001" customHeight="1" x14ac:dyDescent="0.2">
      <c r="B12" s="1933" t="s">
        <v>2138</v>
      </c>
      <c r="C12" s="1341"/>
      <c r="D12" s="1342"/>
      <c r="E12" s="1343"/>
      <c r="F12" s="1343"/>
      <c r="G12" s="1343"/>
      <c r="H12" s="1343"/>
      <c r="I12" s="1343"/>
      <c r="J12" s="1343"/>
      <c r="K12" s="1343"/>
      <c r="L12" s="1340"/>
      <c r="M12" s="1343"/>
    </row>
    <row r="13" spans="2:14" ht="20.100000000000001" customHeight="1" x14ac:dyDescent="0.2">
      <c r="B13" s="1337" t="s">
        <v>2133</v>
      </c>
      <c r="C13" s="1341">
        <v>84.027000000000001</v>
      </c>
      <c r="D13" s="1342" t="s">
        <v>2139</v>
      </c>
      <c r="E13" s="1343">
        <v>3051928</v>
      </c>
      <c r="F13" s="1343">
        <v>806226</v>
      </c>
      <c r="G13" s="1343">
        <v>3633524</v>
      </c>
      <c r="H13" s="1343"/>
      <c r="I13" s="1343">
        <v>224630</v>
      </c>
      <c r="J13" s="1343"/>
      <c r="K13" s="1343"/>
      <c r="L13" s="1340">
        <f t="shared" ref="L13:L21" si="0">+G13+I13+K13</f>
        <v>3858154</v>
      </c>
      <c r="M13" s="1343">
        <v>3971925</v>
      </c>
    </row>
    <row r="14" spans="2:14" ht="20.100000000000001" customHeight="1" x14ac:dyDescent="0.2">
      <c r="B14" s="1337" t="s">
        <v>2133</v>
      </c>
      <c r="C14" s="1341">
        <v>84.027000000000001</v>
      </c>
      <c r="D14" s="1342" t="s">
        <v>2140</v>
      </c>
      <c r="E14" s="1343"/>
      <c r="F14" s="1343">
        <v>2034120</v>
      </c>
      <c r="G14" s="1343"/>
      <c r="H14" s="1343"/>
      <c r="I14" s="1343">
        <v>2034120</v>
      </c>
      <c r="J14" s="1343"/>
      <c r="K14" s="1343"/>
      <c r="L14" s="1340" t="s">
        <v>2118</v>
      </c>
      <c r="M14" s="1343">
        <v>3823324</v>
      </c>
    </row>
    <row r="15" spans="2:14" ht="20.100000000000001" customHeight="1" x14ac:dyDescent="0.2">
      <c r="B15" s="1337" t="s">
        <v>1230</v>
      </c>
      <c r="C15" s="1341"/>
      <c r="D15" s="1342"/>
      <c r="E15" s="1343"/>
      <c r="F15" s="1343"/>
      <c r="G15" s="1343"/>
      <c r="H15" s="1343"/>
      <c r="I15" s="1343"/>
      <c r="J15" s="1343"/>
      <c r="K15" s="1343"/>
      <c r="L15" s="1340"/>
      <c r="M15" s="1343"/>
    </row>
    <row r="16" spans="2:14" ht="20.100000000000001" customHeight="1" x14ac:dyDescent="0.2">
      <c r="B16" s="1933" t="s">
        <v>2141</v>
      </c>
      <c r="C16" s="1341"/>
      <c r="D16" s="1342"/>
      <c r="E16" s="1343"/>
      <c r="F16" s="1343"/>
      <c r="G16" s="1343"/>
      <c r="H16" s="1343"/>
      <c r="I16" s="1343"/>
      <c r="J16" s="1343"/>
      <c r="K16" s="1343"/>
      <c r="L16" s="1340"/>
      <c r="M16" s="1343"/>
    </row>
    <row r="17" spans="2:14" ht="20.100000000000001" customHeight="1" x14ac:dyDescent="0.2">
      <c r="B17" s="1337" t="s">
        <v>2142</v>
      </c>
      <c r="C17" s="1341">
        <v>84.048000000000002</v>
      </c>
      <c r="D17" s="1342" t="s">
        <v>2143</v>
      </c>
      <c r="E17" s="1343">
        <v>79877</v>
      </c>
      <c r="F17" s="1343"/>
      <c r="G17" s="1343">
        <v>79877</v>
      </c>
      <c r="H17" s="1343"/>
      <c r="I17" s="1343"/>
      <c r="J17" s="1343"/>
      <c r="K17" s="1343"/>
      <c r="L17" s="1340">
        <f t="shared" si="0"/>
        <v>79877</v>
      </c>
      <c r="M17" s="1343" t="s">
        <v>2114</v>
      </c>
    </row>
    <row r="18" spans="2:14" ht="20.100000000000001" customHeight="1" x14ac:dyDescent="0.2">
      <c r="B18" s="1337" t="s">
        <v>2142</v>
      </c>
      <c r="C18" s="1341">
        <v>84.048000000000002</v>
      </c>
      <c r="D18" s="1342" t="s">
        <v>2144</v>
      </c>
      <c r="E18" s="1343"/>
      <c r="F18" s="1343">
        <v>66762</v>
      </c>
      <c r="G18" s="1343"/>
      <c r="H18" s="1343"/>
      <c r="I18" s="1343">
        <v>66762</v>
      </c>
      <c r="J18" s="1343"/>
      <c r="K18" s="1343"/>
      <c r="L18" s="1340">
        <f t="shared" si="0"/>
        <v>66762</v>
      </c>
      <c r="M18" s="1343" t="s">
        <v>2114</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33" t="s">
        <v>2173</v>
      </c>
      <c r="C20" s="1341"/>
      <c r="D20" s="1342"/>
      <c r="E20" s="1343"/>
      <c r="F20" s="1934"/>
      <c r="G20" s="1343"/>
      <c r="H20" s="1343"/>
      <c r="I20" s="1934"/>
      <c r="J20" s="1343"/>
      <c r="K20" s="1343"/>
      <c r="L20" s="1340"/>
      <c r="M20" s="1343"/>
    </row>
    <row r="21" spans="2:14" ht="20.100000000000001" customHeight="1" x14ac:dyDescent="0.2">
      <c r="B21" s="1337" t="s">
        <v>2174</v>
      </c>
      <c r="C21" s="1341">
        <v>84.195999999999998</v>
      </c>
      <c r="D21" s="1342" t="s">
        <v>2169</v>
      </c>
      <c r="E21" s="1343"/>
      <c r="F21" s="1343">
        <v>5000</v>
      </c>
      <c r="G21" s="1343"/>
      <c r="H21" s="1343"/>
      <c r="I21" s="1343">
        <v>5000</v>
      </c>
      <c r="J21" s="1343"/>
      <c r="K21" s="1343"/>
      <c r="L21" s="1340">
        <f t="shared" si="0"/>
        <v>5000</v>
      </c>
      <c r="M21" s="1343" t="s">
        <v>2114</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32" t="s">
        <v>2145</v>
      </c>
      <c r="C23" s="1341"/>
      <c r="D23" s="1342"/>
      <c r="E23" s="1343"/>
      <c r="F23" s="1934">
        <v>10575709</v>
      </c>
      <c r="G23" s="1343"/>
      <c r="H23" s="1343"/>
      <c r="I23" s="1934">
        <v>10312514</v>
      </c>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932"/>
      <c r="C27" s="1341"/>
      <c r="D27" s="1342"/>
      <c r="E27" s="1343"/>
      <c r="F27" s="1934"/>
      <c r="G27" s="1343"/>
      <c r="H27" s="1343"/>
      <c r="I27" s="1934"/>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L19 L2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I12" sqref="I12:I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70"/>
      <c r="D1" s="2470"/>
      <c r="E1" s="2470"/>
      <c r="F1" s="2470"/>
      <c r="G1" s="2470"/>
      <c r="H1" s="2470"/>
      <c r="I1" s="2470"/>
      <c r="J1" s="2470"/>
      <c r="K1" s="2470"/>
      <c r="L1" s="2470"/>
      <c r="M1" s="2470"/>
    </row>
    <row r="2" spans="2:14" ht="15" x14ac:dyDescent="0.2">
      <c r="B2" s="2467">
        <f>'Single Audit Cover'!E7</f>
        <v>34049060026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6"/>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32" t="s">
        <v>2152</v>
      </c>
      <c r="C11" s="1338"/>
      <c r="D11" s="1339"/>
      <c r="E11" s="1340"/>
      <c r="F11" s="1340"/>
      <c r="G11" s="1340"/>
      <c r="H11" s="1340"/>
      <c r="I11" s="1340"/>
      <c r="J11" s="1340"/>
      <c r="K11" s="1340"/>
      <c r="L11" s="1340"/>
      <c r="M11" s="1340"/>
    </row>
    <row r="12" spans="2:14" ht="20.100000000000001" customHeight="1" x14ac:dyDescent="0.2">
      <c r="B12" s="1337" t="s">
        <v>2153</v>
      </c>
      <c r="C12" s="1341">
        <v>12.356999999999999</v>
      </c>
      <c r="D12" s="1342" t="s">
        <v>2112</v>
      </c>
      <c r="E12" s="1343">
        <v>105826</v>
      </c>
      <c r="F12" s="1343">
        <v>111637</v>
      </c>
      <c r="G12" s="1343">
        <v>105826</v>
      </c>
      <c r="H12" s="1343"/>
      <c r="I12" s="1343">
        <v>111637</v>
      </c>
      <c r="J12" s="1343"/>
      <c r="K12" s="1343"/>
      <c r="L12" s="1340">
        <f t="shared" ref="L12:L27" si="0">+G12+I12+K12</f>
        <v>217463</v>
      </c>
      <c r="M12" s="1343" t="s">
        <v>2114</v>
      </c>
    </row>
    <row r="13" spans="2:14" ht="20.100000000000001" customHeight="1" x14ac:dyDescent="0.2">
      <c r="B13" s="1337" t="s">
        <v>2153</v>
      </c>
      <c r="C13" s="1341">
        <v>12.356999999999999</v>
      </c>
      <c r="D13" s="1342" t="s">
        <v>2113</v>
      </c>
      <c r="E13" s="1343"/>
      <c r="F13" s="1343">
        <v>156165</v>
      </c>
      <c r="G13" s="1343"/>
      <c r="H13" s="1343"/>
      <c r="I13" s="1343">
        <v>180496</v>
      </c>
      <c r="J13" s="1343"/>
      <c r="K13" s="1343"/>
      <c r="L13" s="1340">
        <f t="shared" si="0"/>
        <v>180496</v>
      </c>
      <c r="M13" s="1343" t="s">
        <v>2114</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932" t="s">
        <v>2154</v>
      </c>
      <c r="C15" s="1341"/>
      <c r="D15" s="1342"/>
      <c r="E15" s="1343"/>
      <c r="F15" s="1934">
        <f>SUM(F12:F14)</f>
        <v>267802</v>
      </c>
      <c r="G15" s="1934"/>
      <c r="H15" s="1934"/>
      <c r="I15" s="1934">
        <f>SUM(I12:I14)</f>
        <v>292133</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32" t="s">
        <v>2155</v>
      </c>
      <c r="C17" s="1341"/>
      <c r="D17" s="1342"/>
      <c r="E17" s="1343"/>
      <c r="F17" s="1343"/>
      <c r="G17" s="1343"/>
      <c r="H17" s="1343"/>
      <c r="I17" s="1343"/>
      <c r="J17" s="1343"/>
      <c r="K17" s="1343"/>
      <c r="L17" s="1340"/>
      <c r="M17" s="1343"/>
    </row>
    <row r="18" spans="2:14" ht="20.100000000000001" customHeight="1" x14ac:dyDescent="0.2">
      <c r="B18" s="1933" t="s">
        <v>2128</v>
      </c>
      <c r="C18" s="1341"/>
      <c r="D18" s="1342"/>
      <c r="E18" s="1343"/>
      <c r="F18" s="1343"/>
      <c r="G18" s="1343"/>
      <c r="H18" s="1343"/>
      <c r="I18" s="1343"/>
      <c r="J18" s="1343"/>
      <c r="K18" s="1343"/>
      <c r="L18" s="1340"/>
      <c r="M18" s="1343"/>
    </row>
    <row r="19" spans="2:14" ht="20.100000000000001" customHeight="1" x14ac:dyDescent="0.2">
      <c r="B19" s="1337" t="s">
        <v>2156</v>
      </c>
      <c r="C19" s="1341">
        <v>10.555</v>
      </c>
      <c r="D19" s="1342" t="s">
        <v>2157</v>
      </c>
      <c r="E19" s="1343">
        <v>5522458</v>
      </c>
      <c r="F19" s="1343">
        <v>1301858</v>
      </c>
      <c r="G19" s="1343">
        <v>5522458</v>
      </c>
      <c r="H19" s="1343"/>
      <c r="I19" s="1343">
        <v>1301858</v>
      </c>
      <c r="J19" s="1343"/>
      <c r="K19" s="1343"/>
      <c r="L19" s="1340">
        <f t="shared" si="0"/>
        <v>6824316</v>
      </c>
      <c r="M19" s="1343" t="s">
        <v>2114</v>
      </c>
    </row>
    <row r="20" spans="2:14" ht="20.100000000000001" customHeight="1" x14ac:dyDescent="0.2">
      <c r="B20" s="1337" t="s">
        <v>2156</v>
      </c>
      <c r="C20" s="1341">
        <v>10.555</v>
      </c>
      <c r="D20" s="1342" t="s">
        <v>2158</v>
      </c>
      <c r="E20" s="1343"/>
      <c r="F20" s="1343">
        <v>5582338</v>
      </c>
      <c r="G20" s="1343"/>
      <c r="H20" s="1343"/>
      <c r="I20" s="1343">
        <v>5582338</v>
      </c>
      <c r="J20" s="1343"/>
      <c r="K20" s="1343"/>
      <c r="L20" s="1340" t="s">
        <v>2159</v>
      </c>
      <c r="M20" s="1343" t="s">
        <v>2114</v>
      </c>
    </row>
    <row r="21" spans="2:14" ht="20.100000000000001" customHeight="1" x14ac:dyDescent="0.2">
      <c r="B21" s="1337" t="s">
        <v>2160</v>
      </c>
      <c r="C21" s="1341">
        <v>10.553000000000001</v>
      </c>
      <c r="D21" s="1342" t="s">
        <v>2161</v>
      </c>
      <c r="E21" s="1343">
        <v>1127461</v>
      </c>
      <c r="F21" s="1343">
        <v>287102</v>
      </c>
      <c r="G21" s="1343">
        <v>1127461</v>
      </c>
      <c r="H21" s="1343"/>
      <c r="I21" s="1343">
        <v>287102</v>
      </c>
      <c r="J21" s="1343"/>
      <c r="K21" s="1343"/>
      <c r="L21" s="1340">
        <f t="shared" si="0"/>
        <v>1414563</v>
      </c>
      <c r="M21" s="1343" t="s">
        <v>2114</v>
      </c>
    </row>
    <row r="22" spans="2:14" ht="20.100000000000001" customHeight="1" x14ac:dyDescent="0.2">
      <c r="B22" s="1337" t="s">
        <v>2160</v>
      </c>
      <c r="C22" s="1341">
        <v>10.553000000000001</v>
      </c>
      <c r="D22" s="1342" t="s">
        <v>2162</v>
      </c>
      <c r="E22" s="1343"/>
      <c r="F22" s="1343">
        <v>1169524</v>
      </c>
      <c r="G22" s="1343"/>
      <c r="H22" s="1343"/>
      <c r="I22" s="1343">
        <v>1169524</v>
      </c>
      <c r="J22" s="1343"/>
      <c r="K22" s="1343"/>
      <c r="L22" s="1340" t="s">
        <v>2159</v>
      </c>
      <c r="M22" s="1343" t="s">
        <v>2114</v>
      </c>
    </row>
    <row r="23" spans="2:14" ht="20.100000000000001" customHeight="1" x14ac:dyDescent="0.2">
      <c r="B23" s="1337" t="s">
        <v>2163</v>
      </c>
      <c r="C23" s="1341">
        <v>10.555</v>
      </c>
      <c r="D23" s="1342" t="s">
        <v>2165</v>
      </c>
      <c r="E23" s="1343"/>
      <c r="F23" s="1343">
        <v>1058404</v>
      </c>
      <c r="G23" s="1343"/>
      <c r="H23" s="1343"/>
      <c r="I23" s="1343">
        <v>1058404</v>
      </c>
      <c r="J23" s="1343"/>
      <c r="K23" s="1343"/>
      <c r="L23" s="1340">
        <f t="shared" si="0"/>
        <v>1058404</v>
      </c>
      <c r="M23" s="1343" t="s">
        <v>2114</v>
      </c>
    </row>
    <row r="24" spans="2:14" ht="20.100000000000001" customHeight="1" x14ac:dyDescent="0.2">
      <c r="B24" s="1337" t="s">
        <v>2164</v>
      </c>
      <c r="C24" s="1341">
        <v>10.55</v>
      </c>
      <c r="D24" s="1342" t="s">
        <v>2165</v>
      </c>
      <c r="E24" s="1343"/>
      <c r="F24" s="1343">
        <v>71027</v>
      </c>
      <c r="G24" s="1343"/>
      <c r="H24" s="1343"/>
      <c r="I24" s="1343">
        <v>71027</v>
      </c>
      <c r="J24" s="1343"/>
      <c r="K24" s="1343"/>
      <c r="L24" s="1340">
        <f t="shared" si="0"/>
        <v>71027</v>
      </c>
      <c r="M24" s="1343" t="s">
        <v>2114</v>
      </c>
    </row>
    <row r="25" spans="2:14" ht="20.100000000000001" customHeight="1" x14ac:dyDescent="0.2">
      <c r="B25" s="1337" t="s">
        <v>2172</v>
      </c>
      <c r="C25" s="1341">
        <v>10.585000000000001</v>
      </c>
      <c r="D25" s="1342" t="s">
        <v>2166</v>
      </c>
      <c r="E25" s="1343">
        <v>221652</v>
      </c>
      <c r="F25" s="1343">
        <v>75188</v>
      </c>
      <c r="G25" s="1343">
        <v>221652</v>
      </c>
      <c r="H25" s="1343"/>
      <c r="I25" s="1343">
        <v>75188</v>
      </c>
      <c r="J25" s="1343"/>
      <c r="K25" s="1343"/>
      <c r="L25" s="1340">
        <f t="shared" si="0"/>
        <v>296840</v>
      </c>
      <c r="M25" s="1343" t="s">
        <v>2114</v>
      </c>
    </row>
    <row r="26" spans="2:14" ht="20.100000000000001" customHeight="1" x14ac:dyDescent="0.2">
      <c r="B26" s="1337" t="s">
        <v>2172</v>
      </c>
      <c r="C26" s="1341">
        <v>10.585000000000001</v>
      </c>
      <c r="D26" s="1342" t="s">
        <v>2167</v>
      </c>
      <c r="E26" s="1343"/>
      <c r="F26" s="1343">
        <v>183608</v>
      </c>
      <c r="G26" s="1343"/>
      <c r="H26" s="1343"/>
      <c r="I26" s="1343">
        <v>183608</v>
      </c>
      <c r="J26" s="1343"/>
      <c r="K26" s="1343"/>
      <c r="L26" s="1340">
        <f t="shared" si="0"/>
        <v>183608</v>
      </c>
      <c r="M26" s="1343" t="s">
        <v>2114</v>
      </c>
    </row>
    <row r="27" spans="2:14" ht="20.100000000000001" customHeight="1" x14ac:dyDescent="0.2">
      <c r="B27" s="1337" t="s">
        <v>2168</v>
      </c>
      <c r="C27" s="1341">
        <v>10.579000000000001</v>
      </c>
      <c r="D27" s="1342" t="s">
        <v>2113</v>
      </c>
      <c r="E27" s="1343"/>
      <c r="F27" s="1343">
        <v>4368</v>
      </c>
      <c r="G27" s="1343"/>
      <c r="H27" s="1343"/>
      <c r="I27" s="1343">
        <v>4368</v>
      </c>
      <c r="J27" s="1343"/>
      <c r="K27" s="1343"/>
      <c r="L27" s="1340">
        <f t="shared" si="0"/>
        <v>4368</v>
      </c>
      <c r="M27" s="1343" t="s">
        <v>2114</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15:I15 L12:L2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G18" sqref="G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70"/>
      <c r="D1" s="2470"/>
      <c r="E1" s="2470"/>
      <c r="F1" s="2470"/>
      <c r="G1" s="2470"/>
      <c r="H1" s="2470"/>
      <c r="I1" s="2470"/>
      <c r="J1" s="2470"/>
      <c r="K1" s="2470"/>
      <c r="L1" s="2470"/>
      <c r="M1" s="2470"/>
    </row>
    <row r="2" spans="2:14" ht="15" x14ac:dyDescent="0.2">
      <c r="B2" s="2467">
        <f>'Single Audit Cover'!E7</f>
        <v>34049060026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6"/>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32" t="s">
        <v>2170</v>
      </c>
      <c r="C11" s="1338"/>
      <c r="D11" s="1339"/>
      <c r="E11" s="1340"/>
      <c r="F11" s="1340"/>
      <c r="G11" s="1340"/>
      <c r="H11" s="1340"/>
      <c r="I11" s="1340"/>
      <c r="J11" s="1340"/>
      <c r="K11" s="1340"/>
      <c r="L11" s="1340"/>
      <c r="M11" s="1340"/>
    </row>
    <row r="12" spans="2:14" ht="20.100000000000001" customHeight="1" x14ac:dyDescent="0.2">
      <c r="B12" s="1933" t="s">
        <v>2138</v>
      </c>
      <c r="C12" s="1341"/>
      <c r="D12" s="1342"/>
      <c r="E12" s="1343"/>
      <c r="F12" s="1343"/>
      <c r="G12" s="1343"/>
      <c r="H12" s="1343"/>
      <c r="I12" s="1343"/>
      <c r="J12" s="1343"/>
      <c r="K12" s="1343"/>
      <c r="L12" s="1340"/>
      <c r="M12" s="1343"/>
    </row>
    <row r="13" spans="2:14" ht="20.100000000000001" customHeight="1" x14ac:dyDescent="0.2">
      <c r="B13" s="1932" t="s">
        <v>2171</v>
      </c>
      <c r="C13" s="1341"/>
      <c r="D13" s="1342"/>
      <c r="E13" s="1343"/>
      <c r="F13" s="1934">
        <v>9733417</v>
      </c>
      <c r="G13" s="1343"/>
      <c r="H13" s="1343"/>
      <c r="I13" s="1934">
        <v>9733417</v>
      </c>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932" t="s">
        <v>2151</v>
      </c>
      <c r="C15" s="1341"/>
      <c r="D15" s="1342"/>
      <c r="E15" s="1343"/>
      <c r="F15" s="1343"/>
      <c r="G15" s="1343"/>
      <c r="H15" s="1343"/>
      <c r="I15" s="1343"/>
      <c r="J15" s="1343"/>
      <c r="K15" s="1343"/>
      <c r="L15" s="1340"/>
      <c r="M15" s="1343"/>
    </row>
    <row r="16" spans="2:14" ht="20.100000000000001" customHeight="1" x14ac:dyDescent="0.2">
      <c r="B16" s="1933" t="s">
        <v>2146</v>
      </c>
      <c r="C16" s="1341"/>
      <c r="D16" s="1342"/>
      <c r="E16" s="1343"/>
      <c r="F16" s="1343"/>
      <c r="G16" s="1343"/>
      <c r="H16" s="1343"/>
      <c r="I16" s="1343"/>
      <c r="J16" s="1343"/>
      <c r="K16" s="1343"/>
      <c r="L16" s="1340"/>
      <c r="M16" s="1343"/>
    </row>
    <row r="17" spans="2:14" ht="20.100000000000001" customHeight="1" x14ac:dyDescent="0.2">
      <c r="B17" s="1337" t="s">
        <v>2147</v>
      </c>
      <c r="C17" s="1341">
        <v>93.778000000000006</v>
      </c>
      <c r="D17" s="1342" t="s">
        <v>2148</v>
      </c>
      <c r="E17" s="1343">
        <v>603324</v>
      </c>
      <c r="F17" s="1343"/>
      <c r="G17" s="1343">
        <v>603324</v>
      </c>
      <c r="H17" s="1343"/>
      <c r="I17" s="1343"/>
      <c r="J17" s="1343"/>
      <c r="K17" s="1343"/>
      <c r="L17" s="1340">
        <f t="shared" ref="L17:L18" si="0">+G17+I17+K17</f>
        <v>603324</v>
      </c>
      <c r="M17" s="1343" t="s">
        <v>2114</v>
      </c>
    </row>
    <row r="18" spans="2:14" ht="20.100000000000001" customHeight="1" x14ac:dyDescent="0.2">
      <c r="B18" s="1337" t="s">
        <v>2147</v>
      </c>
      <c r="C18" s="1341">
        <v>93.778000000000006</v>
      </c>
      <c r="D18" s="1342" t="s">
        <v>2149</v>
      </c>
      <c r="E18" s="1343"/>
      <c r="F18" s="1343">
        <v>257214</v>
      </c>
      <c r="G18" s="1343"/>
      <c r="H18" s="1343"/>
      <c r="I18" s="1343">
        <v>257214</v>
      </c>
      <c r="J18" s="1343"/>
      <c r="K18" s="1343"/>
      <c r="L18" s="1340">
        <f t="shared" si="0"/>
        <v>257214</v>
      </c>
      <c r="M18" s="1343" t="s">
        <v>2114</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32" t="s">
        <v>2150</v>
      </c>
      <c r="C20" s="1341"/>
      <c r="D20" s="1342"/>
      <c r="E20" s="1343"/>
      <c r="F20" s="1934">
        <f>SUM(F18:F19)</f>
        <v>257214</v>
      </c>
      <c r="G20" s="1934"/>
      <c r="H20" s="1934"/>
      <c r="I20" s="1934">
        <f>SUM(I18:I19)</f>
        <v>257214</v>
      </c>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932" t="s">
        <v>2175</v>
      </c>
      <c r="C22" s="1341"/>
      <c r="D22" s="1342"/>
      <c r="E22" s="1343"/>
      <c r="F22" s="1343"/>
      <c r="G22" s="1343"/>
      <c r="H22" s="1343"/>
      <c r="I22" s="1343"/>
      <c r="J22" s="1343"/>
      <c r="K22" s="1343"/>
      <c r="L22" s="1340"/>
      <c r="M22" s="1343"/>
    </row>
    <row r="23" spans="2:14" ht="20.100000000000001" customHeight="1" x14ac:dyDescent="0.2">
      <c r="B23" s="1337" t="s">
        <v>2176</v>
      </c>
      <c r="C23" s="1341">
        <v>17.259</v>
      </c>
      <c r="D23" s="1342">
        <v>12003</v>
      </c>
      <c r="E23" s="1343">
        <v>133859</v>
      </c>
      <c r="F23" s="1343">
        <v>22385</v>
      </c>
      <c r="G23" s="1343">
        <v>133859</v>
      </c>
      <c r="H23" s="1343"/>
      <c r="I23" s="1343">
        <v>22385</v>
      </c>
      <c r="J23" s="1343"/>
      <c r="K23" s="1343"/>
      <c r="L23" s="1340">
        <f t="shared" ref="L23:L26" si="1">+G23+I23+K23</f>
        <v>156244</v>
      </c>
      <c r="M23" s="1343" t="s">
        <v>2114</v>
      </c>
    </row>
    <row r="24" spans="2:14" ht="20.100000000000001" customHeight="1" x14ac:dyDescent="0.2">
      <c r="B24" s="1337" t="s">
        <v>2176</v>
      </c>
      <c r="C24" s="1341">
        <v>17.259</v>
      </c>
      <c r="D24" s="1342">
        <v>12003</v>
      </c>
      <c r="E24" s="1343"/>
      <c r="F24" s="1343">
        <v>66317</v>
      </c>
      <c r="G24" s="1343"/>
      <c r="H24" s="1343"/>
      <c r="I24" s="1343">
        <v>66317</v>
      </c>
      <c r="J24" s="1343"/>
      <c r="K24" s="1343"/>
      <c r="L24" s="1340">
        <f t="shared" si="1"/>
        <v>66317</v>
      </c>
      <c r="M24" s="1343" t="s">
        <v>2114</v>
      </c>
    </row>
    <row r="25" spans="2:14" ht="20.100000000000001" customHeight="1" x14ac:dyDescent="0.2">
      <c r="B25" s="1337" t="s">
        <v>2177</v>
      </c>
      <c r="C25" s="1341">
        <v>17.259</v>
      </c>
      <c r="D25" s="1342" t="s">
        <v>2178</v>
      </c>
      <c r="E25" s="1343">
        <v>38789</v>
      </c>
      <c r="F25" s="1343">
        <v>2325</v>
      </c>
      <c r="G25" s="1343">
        <v>38789</v>
      </c>
      <c r="H25" s="1343"/>
      <c r="I25" s="1343">
        <v>2325</v>
      </c>
      <c r="J25" s="1343"/>
      <c r="K25" s="1343"/>
      <c r="L25" s="1340">
        <f t="shared" si="1"/>
        <v>41114</v>
      </c>
      <c r="M25" s="1343" t="s">
        <v>2114</v>
      </c>
    </row>
    <row r="26" spans="2:14" ht="20.100000000000001" customHeight="1" x14ac:dyDescent="0.2">
      <c r="B26" s="1337" t="s">
        <v>2177</v>
      </c>
      <c r="C26" s="1341">
        <v>17.259</v>
      </c>
      <c r="D26" s="1342" t="s">
        <v>2178</v>
      </c>
      <c r="E26" s="1343"/>
      <c r="F26" s="1343">
        <v>39938</v>
      </c>
      <c r="G26" s="1343"/>
      <c r="H26" s="1343"/>
      <c r="I26" s="1343">
        <v>39938</v>
      </c>
      <c r="J26" s="1343"/>
      <c r="K26" s="1343"/>
      <c r="L26" s="1340">
        <f t="shared" si="1"/>
        <v>39938</v>
      </c>
      <c r="M26" s="1343" t="s">
        <v>2114</v>
      </c>
    </row>
    <row r="27" spans="2:14" ht="20.100000000000001" customHeight="1" x14ac:dyDescent="0.2">
      <c r="B27" s="1932" t="s">
        <v>2179</v>
      </c>
      <c r="C27" s="1341"/>
      <c r="D27" s="1342"/>
      <c r="E27" s="1343"/>
      <c r="F27" s="1934">
        <f>SUM(F23:F26)</f>
        <v>130965</v>
      </c>
      <c r="G27" s="1934"/>
      <c r="H27" s="1934"/>
      <c r="I27" s="1934">
        <f>SUM(I23:I26)</f>
        <v>130965</v>
      </c>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20:I20 L17:L18 F27:I27 L23:L26"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7" sqref="F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Waukegan CUSD 60</v>
      </c>
      <c r="C1" s="2470"/>
      <c r="D1" s="2470"/>
      <c r="E1" s="2470"/>
      <c r="F1" s="2470"/>
      <c r="G1" s="2470"/>
      <c r="H1" s="2470"/>
      <c r="I1" s="2470"/>
      <c r="J1" s="2470"/>
      <c r="K1" s="2470"/>
      <c r="L1" s="2470"/>
      <c r="M1" s="2470"/>
    </row>
    <row r="2" spans="2:14" ht="15" x14ac:dyDescent="0.2">
      <c r="B2" s="2467">
        <f>'Single Audit Cover'!E7</f>
        <v>34049060026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6"/>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c r="M11" s="1340"/>
    </row>
    <row r="12" spans="2:14" ht="20.100000000000001" customHeight="1" x14ac:dyDescent="0.2">
      <c r="B12" s="1935" t="s">
        <v>2180</v>
      </c>
      <c r="C12" s="1341"/>
      <c r="D12" s="1342"/>
      <c r="E12" s="1343"/>
      <c r="F12" s="1936">
        <v>20965107</v>
      </c>
      <c r="G12" s="1343"/>
      <c r="H12" s="1343"/>
      <c r="I12" s="1936">
        <v>20726243</v>
      </c>
      <c r="J12" s="1343"/>
      <c r="K12" s="1343"/>
      <c r="L12" s="1340"/>
      <c r="M12" s="1343"/>
    </row>
    <row r="13" spans="2:14" ht="20.100000000000001" customHeight="1" x14ac:dyDescent="0.2">
      <c r="B13" s="1337"/>
      <c r="C13" s="1341"/>
      <c r="D13" s="1342"/>
      <c r="E13" s="1343"/>
      <c r="F13" s="1343"/>
      <c r="G13" s="1343"/>
      <c r="H13" s="1343"/>
      <c r="I13" s="1343"/>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1230</v>
      </c>
      <c r="C15" s="1341"/>
      <c r="D15" s="1342"/>
      <c r="E15" s="1343"/>
      <c r="F15" s="1343"/>
      <c r="G15" s="1343"/>
      <c r="H15" s="1343"/>
      <c r="I15" s="1343"/>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C47" sqref="C4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Waukegan CUSD 60</v>
      </c>
      <c r="C1" s="2485"/>
      <c r="D1" s="2485"/>
      <c r="E1" s="2485"/>
      <c r="F1" s="2485"/>
      <c r="G1" s="2485"/>
      <c r="H1" s="2485"/>
      <c r="I1" s="2485"/>
      <c r="J1" s="1422"/>
    </row>
    <row r="2" spans="2:10" s="317" customFormat="1" ht="12.75" customHeight="1" x14ac:dyDescent="0.2">
      <c r="B2" s="2486">
        <f>'Single Audit Cover'!E7</f>
        <v>34049060026</v>
      </c>
      <c r="C2" s="2487"/>
      <c r="D2" s="2487"/>
      <c r="E2" s="2487"/>
      <c r="F2" s="2487"/>
      <c r="G2" s="2487"/>
      <c r="H2" s="2487"/>
      <c r="I2" s="2487"/>
      <c r="J2" s="1422"/>
    </row>
    <row r="3" spans="2:10" s="317" customFormat="1" ht="12.75" customHeight="1" x14ac:dyDescent="0.2">
      <c r="B3" s="2488" t="s">
        <v>1346</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1345</v>
      </c>
      <c r="C7" s="2489"/>
      <c r="D7" s="2489"/>
      <c r="E7" s="2489"/>
      <c r="F7" s="2489"/>
      <c r="G7" s="2489"/>
      <c r="H7" s="2489"/>
      <c r="I7" s="2489"/>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90" t="s">
        <v>2181</v>
      </c>
      <c r="D11" s="2490"/>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2105</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2105</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2105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2105</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2105</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1" t="s">
        <v>2181</v>
      </c>
      <c r="E29" s="2491"/>
      <c r="F29" s="2491"/>
      <c r="G29" s="2491"/>
      <c r="H29" s="2491"/>
      <c r="I29" s="2491"/>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2105</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2" t="s">
        <v>1851</v>
      </c>
      <c r="D37" s="2493"/>
      <c r="E37" s="2493"/>
      <c r="F37" s="2494"/>
      <c r="G37" s="2492" t="s">
        <v>1673</v>
      </c>
      <c r="H37" s="2493"/>
      <c r="I37" s="2494"/>
    </row>
    <row r="38" spans="2:9" ht="16.5" customHeight="1" x14ac:dyDescent="0.2">
      <c r="B38" s="1444">
        <v>84.01</v>
      </c>
      <c r="C38" s="2480" t="s">
        <v>2182</v>
      </c>
      <c r="D38" s="2481"/>
      <c r="E38" s="2481"/>
      <c r="F38" s="2482"/>
      <c r="G38" s="2495">
        <v>6392745</v>
      </c>
      <c r="H38" s="2496"/>
      <c r="I38" s="2497"/>
    </row>
    <row r="39" spans="2:9" ht="16.5" customHeight="1" x14ac:dyDescent="0.2">
      <c r="B39" s="1444"/>
      <c r="C39" s="2480"/>
      <c r="D39" s="2481"/>
      <c r="E39" s="2481"/>
      <c r="F39" s="2482"/>
      <c r="G39" s="2483"/>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73" t="s">
        <v>1674</v>
      </c>
      <c r="D43" s="2474"/>
      <c r="E43" s="2474"/>
      <c r="F43" s="2475"/>
      <c r="G43" s="2476">
        <f>SUM(G38:I42)</f>
        <v>6392745</v>
      </c>
      <c r="H43" s="2476"/>
      <c r="I43" s="2476"/>
    </row>
    <row r="44" spans="2:9" ht="12.75" customHeight="1" x14ac:dyDescent="0.2"/>
    <row r="45" spans="2:9" ht="12.75" customHeight="1" x14ac:dyDescent="0.2">
      <c r="B45" s="1435" t="s">
        <v>1948</v>
      </c>
      <c r="D45" s="2477">
        <v>20726243</v>
      </c>
      <c r="E45" s="2478"/>
    </row>
    <row r="46" spans="2:9" ht="5.25" customHeight="1" x14ac:dyDescent="0.2">
      <c r="B46" s="1445"/>
      <c r="D46" s="1446"/>
      <c r="E46" s="1447"/>
    </row>
    <row r="47" spans="2:9" ht="12.75" customHeight="1" x14ac:dyDescent="0.2">
      <c r="B47" s="1300" t="s">
        <v>1675</v>
      </c>
      <c r="C47" s="1300"/>
      <c r="D47" s="1448">
        <f>+G43/D45</f>
        <v>0.30843723100226123</v>
      </c>
      <c r="E47" s="1449"/>
      <c r="F47" s="1450"/>
      <c r="I47" s="1451"/>
    </row>
    <row r="48" spans="2:9" ht="9.9499999999999993" customHeight="1" x14ac:dyDescent="0.2"/>
    <row r="49" spans="1:9" x14ac:dyDescent="0.2">
      <c r="B49" s="1368" t="s">
        <v>1334</v>
      </c>
      <c r="C49" s="1282"/>
      <c r="D49" s="1282"/>
      <c r="E49" s="2479">
        <v>750000</v>
      </c>
      <c r="F49" s="2479"/>
      <c r="G49" s="2479"/>
      <c r="H49" s="322"/>
    </row>
    <row r="51" spans="1:9" ht="13.5" customHeight="1" x14ac:dyDescent="0.2">
      <c r="B51" s="1368" t="s">
        <v>1333</v>
      </c>
      <c r="C51" s="1282"/>
      <c r="E51" s="1438" t="s">
        <v>2105</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Waukegan CUSD 60</v>
      </c>
      <c r="C1" s="2484"/>
      <c r="D1" s="2484"/>
      <c r="E1" s="2484"/>
      <c r="F1" s="2484"/>
      <c r="G1" s="2484"/>
      <c r="H1" s="2484"/>
      <c r="I1" s="2484"/>
      <c r="J1" s="2484"/>
      <c r="K1" s="2484"/>
      <c r="L1" s="1374"/>
      <c r="M1" s="1374"/>
    </row>
    <row r="2" spans="1:13" ht="12" customHeight="1" x14ac:dyDescent="0.2">
      <c r="B2" s="2486">
        <f>'Single Audit Cover'!E7</f>
        <v>34049060026</v>
      </c>
      <c r="C2" s="2486"/>
      <c r="D2" s="2486"/>
      <c r="E2" s="2486"/>
      <c r="F2" s="2486"/>
      <c r="G2" s="2486"/>
      <c r="H2" s="2486"/>
      <c r="I2" s="2486"/>
      <c r="J2" s="2486"/>
      <c r="K2" s="2486"/>
      <c r="L2" s="1375"/>
      <c r="M2" s="1376"/>
    </row>
    <row r="3" spans="1:13" ht="10.35" customHeight="1" x14ac:dyDescent="0.2">
      <c r="B3" s="2500" t="s">
        <v>1346</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1362</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2106</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1347</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Waukegan CUSD 60</v>
      </c>
      <c r="C1" s="2507"/>
      <c r="D1" s="2507"/>
      <c r="E1" s="2507"/>
      <c r="F1" s="2507"/>
      <c r="G1" s="2507"/>
      <c r="H1" s="2507"/>
      <c r="I1" s="2507"/>
      <c r="J1" s="2507"/>
      <c r="K1" s="2507"/>
      <c r="L1" s="1465"/>
    </row>
    <row r="2" spans="1:12" ht="12.75" customHeight="1" x14ac:dyDescent="0.2">
      <c r="B2" s="2508">
        <f>'Single Audit Cover'!E7</f>
        <v>34049060026</v>
      </c>
      <c r="C2" s="2508"/>
      <c r="D2" s="2508"/>
      <c r="E2" s="2508"/>
      <c r="F2" s="2508"/>
      <c r="G2" s="2508"/>
      <c r="H2" s="2508"/>
      <c r="I2" s="2508"/>
      <c r="J2" s="2508"/>
      <c r="K2" s="2508"/>
      <c r="L2" s="1466"/>
    </row>
    <row r="3" spans="1:12" ht="12.75" customHeight="1" x14ac:dyDescent="0.2">
      <c r="B3" s="2500" t="s">
        <v>1346</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1230</v>
      </c>
      <c r="C5" s="1260"/>
      <c r="L5" s="322"/>
    </row>
    <row r="6" spans="1:12" ht="30.75" customHeight="1" x14ac:dyDescent="0.2">
      <c r="A6" s="322"/>
      <c r="B6" s="2509" t="s">
        <v>1374</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2106</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1"/>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4"/>
      <c r="E14" s="2504"/>
      <c r="F14" s="2504"/>
      <c r="H14" s="1475" t="s">
        <v>1369</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5"/>
      <c r="E16" s="2505"/>
      <c r="F16" s="2505"/>
      <c r="G16" s="2505"/>
      <c r="H16" s="2505"/>
      <c r="I16" s="2505"/>
      <c r="J16" s="2505"/>
      <c r="K16" s="2505"/>
      <c r="L16" s="322"/>
    </row>
    <row r="17" spans="2:12" ht="13.5" customHeight="1" x14ac:dyDescent="0.2">
      <c r="B17" s="1387" t="s">
        <v>1367</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0" sqref="C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Waukegan CUSD 60</v>
      </c>
      <c r="C1" s="2484"/>
      <c r="D1" s="2484"/>
      <c r="E1" s="1491"/>
    </row>
    <row r="2" spans="2:5" s="1282" customFormat="1" ht="12.75" customHeight="1" x14ac:dyDescent="0.2">
      <c r="B2" s="2486">
        <f>'Single Audit Cover'!E7</f>
        <v>34049060026</v>
      </c>
      <c r="C2" s="2486"/>
      <c r="D2" s="2486"/>
      <c r="E2" s="1492"/>
    </row>
    <row r="3" spans="2:5" ht="12.75" customHeight="1" x14ac:dyDescent="0.2">
      <c r="B3" s="2500" t="s">
        <v>1866</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1867</v>
      </c>
      <c r="C5" s="328"/>
      <c r="D5" s="328"/>
      <c r="E5" s="328"/>
    </row>
    <row r="6" spans="2:5" s="1282" customFormat="1" ht="13.5" customHeight="1" x14ac:dyDescent="0.2">
      <c r="B6" s="1495" t="s">
        <v>1381</v>
      </c>
      <c r="C6" s="1495" t="s">
        <v>1380</v>
      </c>
      <c r="D6" s="1495" t="s">
        <v>1868</v>
      </c>
    </row>
    <row r="7" spans="2:5" ht="13.5" customHeight="1" x14ac:dyDescent="0.2">
      <c r="B7" s="1496"/>
      <c r="C7" s="324"/>
      <c r="D7" s="324"/>
      <c r="E7" s="324"/>
    </row>
    <row r="8" spans="2:5" ht="13.5" customHeight="1" x14ac:dyDescent="0.2">
      <c r="B8" s="1496" t="s">
        <v>2106</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1869</v>
      </c>
    </row>
    <row r="46" spans="2:5" ht="12.2" customHeight="1" x14ac:dyDescent="0.2">
      <c r="B46" s="1505" t="s">
        <v>1870</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31" colorId="8" zoomScale="110" zoomScaleNormal="110" workbookViewId="0">
      <selection activeCell="I47" sqref="I4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403</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724260971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3.4590820000000001E-2</v>
      </c>
      <c r="E10" s="356" t="s">
        <v>1061</v>
      </c>
      <c r="F10" s="355">
        <v>7.2414000000000003E-3</v>
      </c>
      <c r="G10" s="356" t="s">
        <v>1061</v>
      </c>
      <c r="H10" s="355">
        <v>7.7634799999999997E-3</v>
      </c>
      <c r="I10" s="356" t="s">
        <v>1062</v>
      </c>
      <c r="J10" s="1741">
        <f>ROUND(D10+F10+H10,5)</f>
        <v>4.9599999999999998E-2</v>
      </c>
      <c r="K10" s="222"/>
      <c r="L10" s="355">
        <v>1.8801000000000001E-4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2">
        <f>SUM('Acct Summary 7-8'!C8,'Acct Summary 7-8'!D8,'Acct Summary 7-8'!F8,'Acct Summary 7-8'!I8)</f>
        <v>211145619</v>
      </c>
      <c r="E16" s="356"/>
      <c r="F16" s="1742">
        <f>SUM('Acct Summary 7-8'!C17,'Acct Summary 7-8'!D17,'Acct Summary 7-8'!F17)</f>
        <v>185002894</v>
      </c>
      <c r="G16" s="356"/>
      <c r="H16" s="1742">
        <f>SUM(D16-F16)</f>
        <v>26142725</v>
      </c>
      <c r="I16" s="222"/>
      <c r="J16" s="1742">
        <f>SUM('Acct Summary 7-8'!C81,'Acct Summary 7-8'!D81,'Acct Summary 7-8'!F81,'Acct Summary 7-8'!I81)</f>
        <v>67611117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2">
        <f>'Short-Term Long-Term Debt 24'!F4</f>
        <v>0</v>
      </c>
      <c r="E22" s="356" t="s">
        <v>1061</v>
      </c>
      <c r="F22" s="1742">
        <f>'Short-Term Long-Term Debt 24'!F15</f>
        <v>0</v>
      </c>
      <c r="G22" s="356" t="s">
        <v>1061</v>
      </c>
      <c r="H22" s="1742">
        <f>'Short-Term Long-Term Debt 24'!F21</f>
        <v>0</v>
      </c>
      <c r="I22" s="356" t="s">
        <v>1061</v>
      </c>
      <c r="J22" s="1742">
        <f>'Short-Term Long-Term Debt 24'!F23</f>
        <v>0</v>
      </c>
      <c r="K22" s="356" t="s">
        <v>1061</v>
      </c>
      <c r="L22" s="174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1062</v>
      </c>
      <c r="F24" s="174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44">
        <f>IF(B31="X",(J7*0.069),IF(B32="X",(J7*0.138),"Enter x in a.or b."))</f>
        <v>99948013.998000011</v>
      </c>
      <c r="I31" s="368"/>
      <c r="J31" s="222"/>
      <c r="K31" s="222"/>
      <c r="L31" s="222"/>
      <c r="M31" s="222"/>
    </row>
    <row r="32" spans="1:13" ht="13.35" customHeight="1" x14ac:dyDescent="0.2">
      <c r="B32" s="369" t="s">
        <v>2074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3">
        <f>'Assets-Liab 5-6'!N36</f>
        <v>48219581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I47" sqref="I4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576</v>
      </c>
      <c r="B2" s="2127"/>
      <c r="C2" s="2127"/>
      <c r="D2" s="2127"/>
      <c r="E2" s="2127"/>
      <c r="F2" s="2127"/>
      <c r="G2" s="2127"/>
      <c r="H2" s="2127"/>
      <c r="I2" s="2127"/>
      <c r="J2" s="2127"/>
      <c r="K2" s="2127"/>
      <c r="L2" s="2127"/>
      <c r="M2" s="2127"/>
      <c r="N2" s="2127"/>
      <c r="O2" s="2127"/>
      <c r="P2" s="2127"/>
      <c r="Q2" s="2127"/>
      <c r="R2" s="2127"/>
    </row>
    <row r="3" spans="1:18" ht="12.75" x14ac:dyDescent="0.2">
      <c r="A3" s="2128" t="s">
        <v>1479</v>
      </c>
      <c r="B3" s="2128"/>
      <c r="C3" s="2128"/>
      <c r="D3" s="2128"/>
      <c r="E3" s="2128"/>
      <c r="F3" s="2128"/>
      <c r="G3" s="2128"/>
      <c r="H3" s="2128"/>
      <c r="I3" s="2128"/>
      <c r="J3" s="2128"/>
      <c r="K3" s="2128"/>
      <c r="L3" s="2128"/>
      <c r="M3" s="2128"/>
      <c r="N3" s="2128"/>
      <c r="O3" s="2128"/>
      <c r="P3" s="2128"/>
      <c r="Q3" s="2128"/>
      <c r="R3" s="2128"/>
    </row>
    <row r="4" spans="1:18" x14ac:dyDescent="0.2">
      <c r="A4" s="2129" t="s">
        <v>1634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Waukegan CUSD 60</v>
      </c>
      <c r="E7" s="391"/>
      <c r="G7" s="252"/>
      <c r="H7" s="387"/>
      <c r="I7" s="387"/>
      <c r="J7" s="387"/>
      <c r="K7" s="387"/>
      <c r="L7" s="329"/>
      <c r="M7" s="329"/>
      <c r="N7" s="329"/>
      <c r="O7" s="329"/>
      <c r="P7" s="329"/>
    </row>
    <row r="8" spans="1:18" ht="12.75" x14ac:dyDescent="0.2">
      <c r="A8" s="329"/>
      <c r="B8" s="329"/>
      <c r="C8" s="389" t="s">
        <v>1186</v>
      </c>
      <c r="D8" s="392">
        <f>COVER!A13</f>
        <v>34049060026</v>
      </c>
      <c r="E8" s="393"/>
      <c r="G8" s="329"/>
      <c r="H8" s="329"/>
      <c r="I8" s="329"/>
      <c r="J8" s="329"/>
      <c r="K8" s="329"/>
      <c r="L8" s="329"/>
      <c r="M8" s="329"/>
      <c r="N8" s="329"/>
      <c r="O8" s="329"/>
      <c r="P8" s="329"/>
    </row>
    <row r="9" spans="1:18" ht="12.75" x14ac:dyDescent="0.2">
      <c r="A9" s="329"/>
      <c r="B9" s="329"/>
      <c r="C9" s="389" t="s">
        <v>736</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67492833</v>
      </c>
      <c r="I12" s="404"/>
      <c r="J12" s="404"/>
      <c r="K12" s="405">
        <f>TRUNC((H12/H13*100000),5)/100000</f>
        <v>0.3196506435</v>
      </c>
      <c r="L12" s="406"/>
      <c r="M12" s="360" t="s">
        <v>1205</v>
      </c>
      <c r="N12" s="360"/>
      <c r="O12" s="407">
        <v>0.35</v>
      </c>
      <c r="P12" s="218"/>
      <c r="Q12" s="218"/>
    </row>
    <row r="13" spans="1:18" s="408" customFormat="1" ht="12.75" x14ac:dyDescent="0.2">
      <c r="A13" s="218"/>
      <c r="B13" s="401"/>
      <c r="C13" s="2125" t="s">
        <v>1390</v>
      </c>
      <c r="D13" s="2126"/>
      <c r="E13" s="218"/>
      <c r="F13" s="409" t="s">
        <v>825</v>
      </c>
      <c r="G13" s="402"/>
      <c r="H13" s="403">
        <f>SUM('Acct Summary 7-8'!C8+'Acct Summary 7-8'!D8+'Acct Summary 7-8'!F8+'Acct Summary 7-8'!I8)+H14</f>
        <v>211145619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185002894</v>
      </c>
      <c r="I17" s="404"/>
      <c r="J17" s="416"/>
      <c r="K17" s="405">
        <f>TRUNC((H17/H18*100000),5)/100000</f>
        <v>0.87618627779999991</v>
      </c>
      <c r="L17" s="406"/>
      <c r="M17" s="417" t="s">
        <v>1232</v>
      </c>
      <c r="O17" s="418" t="str">
        <f>IF(AND(O16="2", J20 &gt; 2),"1",IF(AND(O16 = "1", J20 &gt; 2),"2",IF(AND(O16="1", J20 &gt;1),"1","0")))</f>
        <v>0</v>
      </c>
      <c r="P17" s="218"/>
    </row>
    <row r="18" spans="1:18" s="408" customFormat="1" ht="11.25" x14ac:dyDescent="0.2">
      <c r="A18" s="218"/>
      <c r="B18" s="401"/>
      <c r="C18" s="2125" t="s">
        <v>1383</v>
      </c>
      <c r="D18" s="2126"/>
      <c r="E18" s="218"/>
      <c r="F18" s="419" t="s">
        <v>826</v>
      </c>
      <c r="G18" s="402"/>
      <c r="H18" s="403">
        <f>SUM('Acct Summary 7-8'!C8+'Acct Summary 7-8'!D8+'Acct Summary 7-8'!F8+'Acct Summary 7-8'!I8)+H19</f>
        <v>211145619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22" t="s">
        <v>1478</v>
      </c>
      <c r="D24" s="2122"/>
      <c r="E24" s="218"/>
      <c r="F24" s="218" t="s">
        <v>464</v>
      </c>
      <c r="G24" s="402"/>
      <c r="H24" s="403">
        <f>SUM('Assets-Liab 5-6'!C4+'Assets-Liab 5-6'!D4+'Assets-Liab 5-6'!F4+'Assets-Liab 5-6'!I4+'Assets-Liab 5-6'!C5+'Assets-Liab 5-6'!D5+'Assets-Liab 5-6'!F5+'Assets-Liab 5-6'!I5)</f>
        <v>66322009</v>
      </c>
      <c r="I24" s="422"/>
      <c r="J24" s="422"/>
      <c r="K24" s="423">
        <f>TRUNC(((H24/H25*100000)/100000),2)</f>
        <v>129.05000000000001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513896.92778000003</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30534842.537360001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48219581</v>
      </c>
      <c r="I32" s="420"/>
      <c r="J32" s="420"/>
      <c r="K32" s="423">
        <f>TRUNC(100-((((H32/H33*100))*100)/100),2)</f>
        <v>51.75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99948013.998000011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I47" sqref="I47"/>
      <selection pane="bottomLeft" activeCell="I47" sqref="I4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2" t="s">
        <v>1029</v>
      </c>
      <c r="B3" s="2133"/>
      <c r="C3" s="1579"/>
      <c r="D3" s="1580"/>
      <c r="E3" s="1580"/>
      <c r="F3" s="1580"/>
      <c r="G3" s="1580"/>
      <c r="H3" s="1580"/>
      <c r="I3" s="1580"/>
      <c r="J3" s="1580"/>
      <c r="K3" s="1580"/>
      <c r="L3" s="1580"/>
      <c r="M3" s="1581"/>
      <c r="N3" s="1582"/>
    </row>
    <row r="4" spans="1:14" ht="13.5" customHeight="1" x14ac:dyDescent="0.2">
      <c r="A4" s="463" t="s">
        <v>1749</v>
      </c>
      <c r="B4" s="464"/>
      <c r="C4" s="465">
        <f>15568523+15248610</f>
        <v>30817133</v>
      </c>
      <c r="D4" s="466">
        <f>4778410+9240</f>
        <v>4787650</v>
      </c>
      <c r="E4" s="466">
        <f>1440218+261800</f>
        <v>1702018</v>
      </c>
      <c r="F4" s="466">
        <v>5082383</v>
      </c>
      <c r="G4" s="466">
        <v>931215</v>
      </c>
      <c r="H4" s="466">
        <v>0</v>
      </c>
      <c r="I4" s="466">
        <v>25634843</v>
      </c>
      <c r="J4" s="467">
        <v>0</v>
      </c>
      <c r="K4" s="466">
        <v>1896467</v>
      </c>
      <c r="L4" s="466">
        <v>1302104</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v>1206870</v>
      </c>
      <c r="E7" s="467"/>
      <c r="F7" s="467"/>
      <c r="G7" s="467"/>
      <c r="H7" s="467"/>
      <c r="I7" s="467">
        <f>1224174+117264</f>
        <v>1341438</v>
      </c>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5" t="s">
        <v>664</v>
      </c>
      <c r="B13" s="1718"/>
      <c r="C13" s="1746">
        <f>SUM(C4:C12)</f>
        <v>30817133</v>
      </c>
      <c r="D13" s="1746">
        <f t="shared" ref="D13:L13" si="0">SUM(D4:D12)</f>
        <v>5994520</v>
      </c>
      <c r="E13" s="1746">
        <f t="shared" si="0"/>
        <v>1702018</v>
      </c>
      <c r="F13" s="1746">
        <f t="shared" si="0"/>
        <v>5082383</v>
      </c>
      <c r="G13" s="1746">
        <f t="shared" si="0"/>
        <v>931215</v>
      </c>
      <c r="H13" s="1746">
        <f t="shared" si="0"/>
        <v>0</v>
      </c>
      <c r="I13" s="1746">
        <f t="shared" si="0"/>
        <v>26976281</v>
      </c>
      <c r="J13" s="1746">
        <f t="shared" si="0"/>
        <v>0</v>
      </c>
      <c r="K13" s="1746">
        <f t="shared" si="0"/>
        <v>1896467</v>
      </c>
      <c r="L13" s="1746">
        <f t="shared" si="0"/>
        <v>1302104</v>
      </c>
      <c r="M13" s="468"/>
      <c r="N13" s="469"/>
    </row>
    <row r="14" spans="1:14" ht="18" customHeight="1" thickTop="1" x14ac:dyDescent="0.2">
      <c r="A14" s="2134" t="s">
        <v>149</v>
      </c>
      <c r="B14" s="2135"/>
      <c r="C14" s="1583"/>
      <c r="D14" s="1584"/>
      <c r="E14" s="1584"/>
      <c r="F14" s="1584"/>
      <c r="G14" s="1584"/>
      <c r="H14" s="1584"/>
      <c r="I14" s="1584"/>
      <c r="J14" s="1584"/>
      <c r="K14" s="1584"/>
      <c r="L14" s="1584"/>
      <c r="M14" s="1585"/>
      <c r="N14" s="1586"/>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1518042</v>
      </c>
      <c r="N16" s="484"/>
    </row>
    <row r="17" spans="1:14" s="485" customFormat="1" ht="12.75" customHeight="1" x14ac:dyDescent="0.2">
      <c r="A17" s="482" t="s">
        <v>1469</v>
      </c>
      <c r="B17" s="483">
        <v>230</v>
      </c>
      <c r="C17" s="477"/>
      <c r="D17" s="477"/>
      <c r="E17" s="477"/>
      <c r="F17" s="477"/>
      <c r="G17" s="477"/>
      <c r="H17" s="477"/>
      <c r="I17" s="477"/>
      <c r="J17" s="477"/>
      <c r="K17" s="477"/>
      <c r="L17" s="477"/>
      <c r="M17" s="467">
        <f>68082712+66288033</f>
        <v>134370745</v>
      </c>
      <c r="N17" s="484"/>
    </row>
    <row r="18" spans="1:14" s="485" customFormat="1" ht="12.75" customHeight="1" x14ac:dyDescent="0.2">
      <c r="A18" s="482" t="s">
        <v>1470</v>
      </c>
      <c r="B18" s="483">
        <v>240</v>
      </c>
      <c r="C18" s="477"/>
      <c r="D18" s="477"/>
      <c r="E18" s="477"/>
      <c r="F18" s="477"/>
      <c r="G18" s="477"/>
      <c r="H18" s="477"/>
      <c r="I18" s="477"/>
      <c r="J18" s="477"/>
      <c r="K18" s="477"/>
      <c r="L18" s="477"/>
      <c r="M18" s="467">
        <v>977215</v>
      </c>
      <c r="N18" s="484"/>
    </row>
    <row r="19" spans="1:14" s="485" customFormat="1" ht="12.75" customHeight="1" x14ac:dyDescent="0.2">
      <c r="A19" s="482" t="s">
        <v>1471</v>
      </c>
      <c r="B19" s="483">
        <v>250</v>
      </c>
      <c r="C19" s="477"/>
      <c r="D19" s="477"/>
      <c r="E19" s="477"/>
      <c r="F19" s="477"/>
      <c r="G19" s="477"/>
      <c r="H19" s="477"/>
      <c r="I19" s="477"/>
      <c r="J19" s="477"/>
      <c r="K19" s="477"/>
      <c r="L19" s="477"/>
      <c r="M19" s="467">
        <f>9679170+1762147</f>
        <v>11441317</v>
      </c>
      <c r="N19" s="484"/>
    </row>
    <row r="20" spans="1:14" s="485" customFormat="1" ht="12.75" customHeight="1" x14ac:dyDescent="0.2">
      <c r="A20" s="482" t="s">
        <v>1472</v>
      </c>
      <c r="B20" s="483">
        <v>260</v>
      </c>
      <c r="C20" s="477"/>
      <c r="D20" s="477"/>
      <c r="E20" s="477"/>
      <c r="F20" s="477"/>
      <c r="G20" s="477"/>
      <c r="H20" s="477"/>
      <c r="I20" s="477"/>
      <c r="J20" s="477"/>
      <c r="K20" s="477"/>
      <c r="L20" s="477"/>
      <c r="M20" s="467">
        <v>1471112</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1702018</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46517563</v>
      </c>
    </row>
    <row r="23" spans="1:14" ht="13.5" customHeight="1" thickBot="1" x14ac:dyDescent="0.25">
      <c r="A23" s="1745" t="s">
        <v>663</v>
      </c>
      <c r="B23" s="1750"/>
      <c r="C23" s="468"/>
      <c r="D23" s="468"/>
      <c r="E23" s="468"/>
      <c r="F23" s="468"/>
      <c r="G23" s="468"/>
      <c r="H23" s="468"/>
      <c r="I23" s="468"/>
      <c r="J23" s="468"/>
      <c r="K23" s="468"/>
      <c r="L23" s="468"/>
      <c r="M23" s="1697">
        <f>SUM(M15:M22)</f>
        <v>149778431</v>
      </c>
      <c r="N23" s="1697">
        <f>SUM(N21:N22)</f>
        <v>48219581</v>
      </c>
    </row>
    <row r="24" spans="1:14" ht="18" customHeight="1" thickTop="1" x14ac:dyDescent="0.2">
      <c r="A24" s="2136" t="s">
        <v>618</v>
      </c>
      <c r="B24" s="2137"/>
      <c r="C24" s="1588"/>
      <c r="D24" s="1585"/>
      <c r="E24" s="1585"/>
      <c r="F24" s="1585"/>
      <c r="G24" s="1585"/>
      <c r="H24" s="1585"/>
      <c r="I24" s="1585"/>
      <c r="J24" s="1585"/>
      <c r="K24" s="1585"/>
      <c r="L24" s="1585"/>
      <c r="M24" s="1584"/>
      <c r="N24" s="1589"/>
    </row>
    <row r="25" spans="1:14" x14ac:dyDescent="0.2">
      <c r="A25" s="473" t="s">
        <v>665</v>
      </c>
      <c r="B25" s="470">
        <v>410</v>
      </c>
      <c r="C25" s="478"/>
      <c r="D25" s="478">
        <v>1224174</v>
      </c>
      <c r="E25" s="478"/>
      <c r="F25" s="478"/>
      <c r="G25" s="478"/>
      <c r="H25" s="479">
        <v>1206870</v>
      </c>
      <c r="I25" s="468"/>
      <c r="J25" s="478">
        <v>117264</v>
      </c>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-286-183</f>
        <v>-469</v>
      </c>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4939</v>
      </c>
      <c r="D30" s="474"/>
      <c r="E30" s="467"/>
      <c r="F30" s="467"/>
      <c r="G30" s="467"/>
      <c r="H30" s="467"/>
      <c r="I30" s="467"/>
      <c r="J30" s="467"/>
      <c r="K30" s="478"/>
      <c r="L30" s="468"/>
      <c r="M30" s="468"/>
      <c r="N30" s="468"/>
    </row>
    <row r="31" spans="1:14" ht="13.5" customHeight="1" x14ac:dyDescent="0.2">
      <c r="A31" s="473" t="s">
        <v>671</v>
      </c>
      <c r="B31" s="470">
        <v>480</v>
      </c>
      <c r="C31" s="466">
        <v>29699</v>
      </c>
      <c r="D31" s="467">
        <v>857</v>
      </c>
      <c r="E31" s="467"/>
      <c r="F31" s="466"/>
      <c r="G31" s="467"/>
      <c r="H31" s="467"/>
      <c r="I31" s="467"/>
      <c r="J31" s="467">
        <v>1020</v>
      </c>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1302104</v>
      </c>
      <c r="M33" s="468"/>
      <c r="N33" s="469"/>
    </row>
    <row r="34" spans="1:14" ht="13.5" customHeight="1" thickBot="1" x14ac:dyDescent="0.25">
      <c r="A34" s="1747" t="s">
        <v>674</v>
      </c>
      <c r="B34" s="1748"/>
      <c r="C34" s="1749">
        <f>SUM(C25:C33)</f>
        <v>34169</v>
      </c>
      <c r="D34" s="1749">
        <f t="shared" ref="D34:K34" si="1">SUM(D25:D33)</f>
        <v>1225031</v>
      </c>
      <c r="E34" s="1749">
        <f t="shared" si="1"/>
        <v>0</v>
      </c>
      <c r="F34" s="1749">
        <f t="shared" si="1"/>
        <v>0</v>
      </c>
      <c r="G34" s="1749">
        <f t="shared" si="1"/>
        <v>0</v>
      </c>
      <c r="H34" s="1749">
        <f t="shared" si="1"/>
        <v>1206870</v>
      </c>
      <c r="I34" s="1749">
        <f t="shared" si="1"/>
        <v>0</v>
      </c>
      <c r="J34" s="1749">
        <f t="shared" si="1"/>
        <v>118284</v>
      </c>
      <c r="K34" s="1749">
        <f t="shared" si="1"/>
        <v>0</v>
      </c>
      <c r="L34" s="1730">
        <f>SUM(L33)</f>
        <v>1302104</v>
      </c>
      <c r="M34" s="468"/>
      <c r="N34" s="480"/>
    </row>
    <row r="35" spans="1:14" ht="18" customHeight="1" thickTop="1" x14ac:dyDescent="0.2">
      <c r="A35" s="2138" t="s">
        <v>549</v>
      </c>
      <c r="B35" s="2139"/>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48219581</v>
      </c>
    </row>
    <row r="37" spans="1:14" ht="13.5" thickBot="1" x14ac:dyDescent="0.25">
      <c r="A37" s="1745" t="s">
        <v>673</v>
      </c>
      <c r="B37" s="1750"/>
      <c r="C37" s="477"/>
      <c r="D37" s="477"/>
      <c r="E37" s="477"/>
      <c r="F37" s="477"/>
      <c r="G37" s="477"/>
      <c r="H37" s="477"/>
      <c r="I37" s="477"/>
      <c r="J37" s="477"/>
      <c r="K37" s="477"/>
      <c r="L37" s="480"/>
      <c r="M37" s="468"/>
      <c r="N37" s="1697">
        <f>SUM(N36:N36)</f>
        <v>48219581</v>
      </c>
    </row>
    <row r="38" spans="1:14" s="329" customFormat="1" ht="13.5" customHeight="1" thickTop="1" x14ac:dyDescent="0.2">
      <c r="A38" s="496" t="s">
        <v>439</v>
      </c>
      <c r="B38" s="483">
        <v>714</v>
      </c>
      <c r="C38" s="466"/>
      <c r="D38" s="466">
        <v>4769489</v>
      </c>
      <c r="E38" s="466">
        <v>1702018</v>
      </c>
      <c r="F38" s="466">
        <v>5082383</v>
      </c>
      <c r="G38" s="466">
        <v>931215</v>
      </c>
      <c r="H38" s="466"/>
      <c r="I38" s="466"/>
      <c r="J38" s="467"/>
      <c r="K38" s="466">
        <v>1896467</v>
      </c>
      <c r="L38" s="481"/>
      <c r="M38" s="497"/>
      <c r="N38" s="497"/>
    </row>
    <row r="39" spans="1:14" s="329" customFormat="1" ht="13.5" customHeight="1" x14ac:dyDescent="0.2">
      <c r="A39" s="496" t="s">
        <v>359</v>
      </c>
      <c r="B39" s="483">
        <v>730</v>
      </c>
      <c r="C39" s="466">
        <v>30782964</v>
      </c>
      <c r="D39" s="466"/>
      <c r="E39" s="466"/>
      <c r="F39" s="466"/>
      <c r="G39" s="466"/>
      <c r="H39" s="466">
        <v>-1206870</v>
      </c>
      <c r="I39" s="466">
        <v>26976281</v>
      </c>
      <c r="J39" s="467">
        <v>-118284</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149778431</v>
      </c>
      <c r="N40" s="497"/>
    </row>
    <row r="41" spans="1:14" ht="13.5" customHeight="1" thickBot="1" x14ac:dyDescent="0.25">
      <c r="A41" s="1745" t="s">
        <v>675</v>
      </c>
      <c r="B41" s="1715"/>
      <c r="C41" s="1697">
        <f>(SUM(C34,C37,C38,C39))</f>
        <v>30817133</v>
      </c>
      <c r="D41" s="1697">
        <f t="shared" ref="D41:L41" si="2">SUM(D34,D37,D38:D39)</f>
        <v>5994520</v>
      </c>
      <c r="E41" s="1697">
        <f t="shared" si="2"/>
        <v>1702018</v>
      </c>
      <c r="F41" s="1697">
        <f t="shared" si="2"/>
        <v>5082383</v>
      </c>
      <c r="G41" s="1697">
        <f t="shared" si="2"/>
        <v>931215</v>
      </c>
      <c r="H41" s="1697">
        <f t="shared" si="2"/>
        <v>0</v>
      </c>
      <c r="I41" s="1697">
        <f t="shared" si="2"/>
        <v>26976281</v>
      </c>
      <c r="J41" s="1697">
        <f t="shared" si="2"/>
        <v>0</v>
      </c>
      <c r="K41" s="1697">
        <f t="shared" si="2"/>
        <v>1896467</v>
      </c>
      <c r="L41" s="1697">
        <f t="shared" si="2"/>
        <v>1302104</v>
      </c>
      <c r="M41" s="1697">
        <f>SUM(M40)</f>
        <v>149778431</v>
      </c>
      <c r="N41" s="1697">
        <f>SUM(N37)</f>
        <v>48219581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4" activePane="bottomLeft" state="frozenSplit"/>
      <selection activeCell="I47" sqref="I47"/>
      <selection pane="bottomLeft" activeCell="I47" sqref="I4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0" t="s">
        <v>1236</v>
      </c>
      <c r="B3" s="2161"/>
      <c r="C3" s="1593"/>
      <c r="D3" s="1594"/>
      <c r="E3" s="1594"/>
      <c r="F3" s="1594"/>
      <c r="G3" s="1594"/>
      <c r="H3" s="1594"/>
      <c r="I3" s="1594"/>
      <c r="J3" s="1594"/>
      <c r="K3" s="1595"/>
      <c r="L3" s="506"/>
    </row>
    <row r="4" spans="1:13" ht="15.75" customHeight="1" x14ac:dyDescent="0.2">
      <c r="A4" s="1930" t="s">
        <v>1578</v>
      </c>
      <c r="B4" s="1931">
        <v>1000</v>
      </c>
      <c r="C4" s="1751">
        <f>'Revenues 9-14'!C109</f>
        <v>37466929</v>
      </c>
      <c r="D4" s="1751">
        <f>'Revenues 9-14'!D109</f>
        <v>5053898</v>
      </c>
      <c r="E4" s="1751">
        <f>'Revenues 9-14'!E109</f>
        <v>9784613</v>
      </c>
      <c r="F4" s="1751">
        <f>'Revenues 9-14'!F109</f>
        <v>6158300</v>
      </c>
      <c r="G4" s="1751">
        <f>'Revenues 9-14'!G109</f>
        <v>6935728</v>
      </c>
      <c r="H4" s="1751">
        <f>'Revenues 9-14'!H109</f>
        <v>0</v>
      </c>
      <c r="I4" s="1751">
        <f>'Revenues 9-14'!I109</f>
        <v>132083</v>
      </c>
      <c r="J4" s="1751">
        <f>'Revenues 9-14'!J109</f>
        <v>1796944</v>
      </c>
      <c r="K4" s="1751">
        <f>'Revenues 9-14'!K109</f>
        <v>652334</v>
      </c>
      <c r="L4" s="347"/>
    </row>
    <row r="5" spans="1:13" ht="15.75" customHeight="1" x14ac:dyDescent="0.2">
      <c r="A5" s="1596" t="s">
        <v>1579</v>
      </c>
      <c r="B5" s="1597">
        <v>2000</v>
      </c>
      <c r="C5" s="1752">
        <f>'Revenues 9-14'!C114</f>
        <v>0</v>
      </c>
      <c r="D5" s="1752">
        <f>'Revenues 9-14'!D114</f>
        <v>0</v>
      </c>
      <c r="E5" s="508"/>
      <c r="F5" s="1752">
        <f>'Revenues 9-14'!F114</f>
        <v>0</v>
      </c>
      <c r="G5" s="1752">
        <f>'Revenues 9-14'!G114</f>
        <v>0</v>
      </c>
      <c r="H5" s="509" t="s">
        <v>1230</v>
      </c>
      <c r="I5" s="510" t="s">
        <v>1230</v>
      </c>
      <c r="J5" s="511" t="s">
        <v>1230</v>
      </c>
      <c r="K5" s="512" t="s">
        <v>1230</v>
      </c>
      <c r="L5" s="347"/>
    </row>
    <row r="6" spans="1:13" ht="15.75" customHeight="1" x14ac:dyDescent="0.2">
      <c r="A6" s="1596" t="s">
        <v>1580</v>
      </c>
      <c r="B6" s="1598">
        <v>3000</v>
      </c>
      <c r="C6" s="1752">
        <f>'Revenues 9-14'!C173</f>
        <v>133347994</v>
      </c>
      <c r="D6" s="1752">
        <f>'Revenues 9-14'!D173</f>
        <v>112014</v>
      </c>
      <c r="E6" s="1752">
        <f>'Revenues 9-14'!E173</f>
        <v>0</v>
      </c>
      <c r="F6" s="1752">
        <f>'Revenues 9-14'!F173</f>
        <v>7953485</v>
      </c>
      <c r="G6" s="1752">
        <f>'Revenues 9-14'!G173</f>
        <v>0</v>
      </c>
      <c r="H6" s="1752">
        <f>'Revenues 9-14'!H173</f>
        <v>293000</v>
      </c>
      <c r="I6" s="1752">
        <f>'Revenues 9-14'!I173</f>
        <v>0</v>
      </c>
      <c r="J6" s="1752">
        <f>'Revenues 9-14'!J173</f>
        <v>1979375</v>
      </c>
      <c r="K6" s="1752">
        <f>'Revenues 9-14'!K173</f>
        <v>0</v>
      </c>
      <c r="L6" s="347"/>
      <c r="M6" s="513"/>
    </row>
    <row r="7" spans="1:13" ht="15.75" customHeight="1" x14ac:dyDescent="0.2">
      <c r="A7" s="1596" t="s">
        <v>1581</v>
      </c>
      <c r="B7" s="1598">
        <v>4000</v>
      </c>
      <c r="C7" s="1752">
        <f>'Revenues 9-14'!C274</f>
        <v>20920916</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1233</v>
      </c>
      <c r="B8" s="1718"/>
      <c r="C8" s="1697">
        <f>SUM(C4:C7)</f>
        <v>191735839</v>
      </c>
      <c r="D8" s="1697">
        <f t="shared" ref="D8:K8" si="0">SUM(D4:D7)</f>
        <v>5165912</v>
      </c>
      <c r="E8" s="1697">
        <f t="shared" si="0"/>
        <v>9784613</v>
      </c>
      <c r="F8" s="1697">
        <f t="shared" si="0"/>
        <v>14111785</v>
      </c>
      <c r="G8" s="1697">
        <f t="shared" si="0"/>
        <v>6935728</v>
      </c>
      <c r="H8" s="1697">
        <f t="shared" si="0"/>
        <v>293000</v>
      </c>
      <c r="I8" s="1697">
        <f t="shared" si="0"/>
        <v>132083</v>
      </c>
      <c r="J8" s="1697">
        <f t="shared" si="0"/>
        <v>3776319</v>
      </c>
      <c r="K8" s="1697">
        <f t="shared" si="0"/>
        <v>652334</v>
      </c>
      <c r="L8" s="347"/>
    </row>
    <row r="9" spans="1:13" ht="15.75" thickTop="1" x14ac:dyDescent="0.2">
      <c r="A9" s="514" t="s">
        <v>1751</v>
      </c>
      <c r="B9" s="515">
        <v>3998</v>
      </c>
      <c r="C9" s="481">
        <v>65455233</v>
      </c>
      <c r="D9" s="516"/>
      <c r="E9" s="481"/>
      <c r="F9" s="481"/>
      <c r="G9" s="517"/>
      <c r="H9" s="481"/>
      <c r="I9" s="509" t="s">
        <v>1230</v>
      </c>
      <c r="J9" s="478"/>
      <c r="K9" s="481"/>
      <c r="L9" s="347"/>
    </row>
    <row r="10" spans="1:13" s="519" customFormat="1" ht="13.5" thickBot="1" x14ac:dyDescent="0.25">
      <c r="A10" s="1745" t="s">
        <v>1234</v>
      </c>
      <c r="B10" s="1718"/>
      <c r="C10" s="1697">
        <f>SUM(C8:C9)</f>
        <v>257191072</v>
      </c>
      <c r="D10" s="1697">
        <f t="shared" ref="D10:K10" si="1">SUM(D8:D9)</f>
        <v>5165912</v>
      </c>
      <c r="E10" s="1697">
        <f t="shared" si="1"/>
        <v>9784613</v>
      </c>
      <c r="F10" s="1697">
        <f t="shared" si="1"/>
        <v>14111785</v>
      </c>
      <c r="G10" s="1697">
        <f t="shared" si="1"/>
        <v>6935728</v>
      </c>
      <c r="H10" s="1697">
        <f t="shared" si="1"/>
        <v>293000</v>
      </c>
      <c r="I10" s="1697">
        <f t="shared" si="1"/>
        <v>132083</v>
      </c>
      <c r="J10" s="1697">
        <f t="shared" si="1"/>
        <v>3776319</v>
      </c>
      <c r="K10" s="1697">
        <f t="shared" si="1"/>
        <v>652334</v>
      </c>
      <c r="L10" s="518"/>
    </row>
    <row r="11" spans="1:13" s="519" customFormat="1" ht="16.7" customHeight="1" thickTop="1" x14ac:dyDescent="0.2">
      <c r="A11" s="2134" t="s">
        <v>1237</v>
      </c>
      <c r="B11" s="2135"/>
      <c r="C11" s="1590"/>
      <c r="D11" s="1591"/>
      <c r="E11" s="1591"/>
      <c r="F11" s="1591"/>
      <c r="G11" s="1591"/>
      <c r="H11" s="1591"/>
      <c r="I11" s="1591"/>
      <c r="J11" s="1591"/>
      <c r="K11" s="1592"/>
      <c r="L11" s="518"/>
    </row>
    <row r="12" spans="1:13" ht="15.75" customHeight="1" x14ac:dyDescent="0.2">
      <c r="A12" s="1596" t="s">
        <v>475</v>
      </c>
      <c r="B12" s="1598">
        <v>1000</v>
      </c>
      <c r="C12" s="1751">
        <f>'Expenditures 15-22'!K33</f>
        <v>104915169</v>
      </c>
      <c r="D12" s="520" t="s">
        <v>1230</v>
      </c>
      <c r="E12" s="468" t="s">
        <v>1230</v>
      </c>
      <c r="F12" s="468" t="s">
        <v>1230</v>
      </c>
      <c r="G12" s="1751">
        <f>'Expenditures 15-22'!K229</f>
        <v>2468003</v>
      </c>
      <c r="H12" s="521"/>
      <c r="I12" s="468" t="s">
        <v>1230</v>
      </c>
      <c r="J12" s="468" t="s">
        <v>1230</v>
      </c>
      <c r="K12" s="521" t="s">
        <v>1230</v>
      </c>
      <c r="L12" s="347"/>
    </row>
    <row r="13" spans="1:13" ht="15.75" customHeight="1" x14ac:dyDescent="0.2">
      <c r="A13" s="1596" t="s">
        <v>476</v>
      </c>
      <c r="B13" s="1598">
        <v>2000</v>
      </c>
      <c r="C13" s="1752">
        <f>'Expenditures 15-22'!K74</f>
        <v>59144676</v>
      </c>
      <c r="D13" s="1752">
        <f>'Expenditures 15-22'!K129</f>
        <v>9794177</v>
      </c>
      <c r="E13" s="469" t="s">
        <v>1230</v>
      </c>
      <c r="F13" s="1752">
        <f>'Expenditures 15-22'!K184</f>
        <v>10077562</v>
      </c>
      <c r="G13" s="1752">
        <f>'Expenditures 15-22'!K279</f>
        <v>4156652</v>
      </c>
      <c r="H13" s="1752">
        <f>'Expenditures 15-22'!K303</f>
        <v>1243689</v>
      </c>
      <c r="I13" s="468" t="s">
        <v>1230</v>
      </c>
      <c r="J13" s="1752">
        <f>'Expenditures 15-22'!K330</f>
        <v>3186835</v>
      </c>
      <c r="K13" s="1756">
        <f>'Expenditures 15-22'!K352</f>
        <v>2052413</v>
      </c>
      <c r="L13" s="347"/>
    </row>
    <row r="14" spans="1:13" ht="15.75" customHeight="1" x14ac:dyDescent="0.2">
      <c r="A14" s="1596" t="s">
        <v>468</v>
      </c>
      <c r="B14" s="1598">
        <v>3000</v>
      </c>
      <c r="C14" s="1752">
        <f>'Expenditures 15-22'!K75</f>
        <v>1007933</v>
      </c>
      <c r="D14" s="1752">
        <f>'Expenditures 15-22'!K130</f>
        <v>0</v>
      </c>
      <c r="E14" s="520" t="s">
        <v>1230</v>
      </c>
      <c r="F14" s="1752">
        <f>'Expenditures 15-22'!K185</f>
        <v>0</v>
      </c>
      <c r="G14" s="1752">
        <f>'Expenditures 15-22'!K280</f>
        <v>48896</v>
      </c>
      <c r="H14" s="512"/>
      <c r="I14" s="468" t="s">
        <v>1230</v>
      </c>
      <c r="J14" s="468" t="s">
        <v>1230</v>
      </c>
      <c r="K14" s="512" t="s">
        <v>1230</v>
      </c>
      <c r="L14" s="347"/>
    </row>
    <row r="15" spans="1:13" ht="15.75" customHeight="1" x14ac:dyDescent="0.2">
      <c r="A15" s="1596" t="s">
        <v>109</v>
      </c>
      <c r="B15" s="1598">
        <v>4000</v>
      </c>
      <c r="C15" s="1752">
        <f>'Expenditures 15-22'!K102</f>
        <v>63377</v>
      </c>
      <c r="D15" s="1752">
        <f>'Expenditures 15-22'!K139</f>
        <v>0</v>
      </c>
      <c r="E15" s="1752">
        <f>'Expenditures 15-22'!K160</f>
        <v>0</v>
      </c>
      <c r="F15" s="1752">
        <f>'Expenditures 15-22'!K196</f>
        <v>0</v>
      </c>
      <c r="G15" s="1752">
        <f>'Expenditures 15-22'!K285</f>
        <v>0</v>
      </c>
      <c r="H15" s="1752">
        <f>'Expenditures 15-22'!K310</f>
        <v>0</v>
      </c>
      <c r="I15" s="468" t="s">
        <v>1230</v>
      </c>
      <c r="J15" s="1838">
        <f>'Expenditures 15-22'!K334</f>
        <v>0</v>
      </c>
      <c r="K15" s="1752">
        <f>'Expenditures 15-22'!K357</f>
        <v>0</v>
      </c>
      <c r="L15" s="347"/>
    </row>
    <row r="16" spans="1:13" ht="15.75" customHeight="1" x14ac:dyDescent="0.2">
      <c r="A16" s="1596" t="s">
        <v>469</v>
      </c>
      <c r="B16" s="1598">
        <v>5000</v>
      </c>
      <c r="C16" s="1752">
        <f>'Expenditures 15-22'!K112</f>
        <v>0</v>
      </c>
      <c r="D16" s="1752">
        <f>'Expenditures 15-22'!K149</f>
        <v>0</v>
      </c>
      <c r="E16" s="1752">
        <f>'Expenditures 15-22'!K172</f>
        <v>9885040</v>
      </c>
      <c r="F16" s="1752">
        <f>'Expenditures 15-22'!K208</f>
        <v>0</v>
      </c>
      <c r="G16" s="1752">
        <f>'Expenditures 15-22'!K293</f>
        <v>0</v>
      </c>
      <c r="H16" s="523"/>
      <c r="I16" s="468" t="s">
        <v>1230</v>
      </c>
      <c r="J16" s="1757">
        <f>'Expenditures 15-22'!K340</f>
        <v>0</v>
      </c>
      <c r="K16" s="1752">
        <f>'Expenditures 15-22'!K365</f>
        <v>0</v>
      </c>
      <c r="L16" s="347"/>
    </row>
    <row r="17" spans="1:12" ht="13.5" thickBot="1" x14ac:dyDescent="0.25">
      <c r="A17" s="1717" t="s">
        <v>50</v>
      </c>
      <c r="B17" s="1718"/>
      <c r="C17" s="1697">
        <f t="shared" ref="C17:H17" si="2">SUM(C12:C16)</f>
        <v>165131155</v>
      </c>
      <c r="D17" s="1697">
        <f t="shared" si="2"/>
        <v>9794177</v>
      </c>
      <c r="E17" s="1697">
        <f t="shared" si="2"/>
        <v>9885040</v>
      </c>
      <c r="F17" s="1697">
        <f t="shared" si="2"/>
        <v>10077562</v>
      </c>
      <c r="G17" s="1697">
        <f t="shared" si="2"/>
        <v>6673551</v>
      </c>
      <c r="H17" s="1697">
        <f t="shared" si="2"/>
        <v>1243689</v>
      </c>
      <c r="I17" s="468"/>
      <c r="J17" s="1697">
        <f>SUM(J12:J16)</f>
        <v>3186835</v>
      </c>
      <c r="K17" s="1697">
        <f>SUM(K12:K16)</f>
        <v>2052413</v>
      </c>
      <c r="L17" s="347"/>
    </row>
    <row r="18" spans="1:12" ht="15" customHeight="1" thickTop="1" x14ac:dyDescent="0.2">
      <c r="A18" s="1753" t="s">
        <v>1752</v>
      </c>
      <c r="B18" s="1754">
        <v>4180</v>
      </c>
      <c r="C18" s="1751">
        <f t="shared" ref="C18:H18" si="3">C9</f>
        <v>65455233</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525</v>
      </c>
      <c r="B19" s="1718"/>
      <c r="C19" s="1697">
        <f t="shared" ref="C19:H19" si="4">SUM(C17:C18)</f>
        <v>230586388</v>
      </c>
      <c r="D19" s="1697">
        <f t="shared" si="4"/>
        <v>9794177</v>
      </c>
      <c r="E19" s="1697">
        <f t="shared" si="4"/>
        <v>9885040</v>
      </c>
      <c r="F19" s="1697">
        <f t="shared" si="4"/>
        <v>10077562</v>
      </c>
      <c r="G19" s="1697">
        <f t="shared" si="4"/>
        <v>6673551</v>
      </c>
      <c r="H19" s="1697">
        <f t="shared" si="4"/>
        <v>1243689</v>
      </c>
      <c r="I19" s="468"/>
      <c r="J19" s="1697">
        <f>SUM(J17:J18)</f>
        <v>3186835</v>
      </c>
      <c r="K19" s="1697">
        <f>SUM(K17:K18)</f>
        <v>2052413</v>
      </c>
      <c r="L19" s="347"/>
    </row>
    <row r="20" spans="1:12" ht="16.5" thickTop="1" thickBot="1" x14ac:dyDescent="0.25">
      <c r="A20" s="2150" t="s">
        <v>1753</v>
      </c>
      <c r="B20" s="2151"/>
      <c r="C20" s="1755">
        <f>C8-C17</f>
        <v>26604684</v>
      </c>
      <c r="D20" s="1755">
        <f t="shared" ref="D20:K20" si="5">D8-D17</f>
        <v>-4628265</v>
      </c>
      <c r="E20" s="1755">
        <f t="shared" si="5"/>
        <v>-100427</v>
      </c>
      <c r="F20" s="1755">
        <f t="shared" si="5"/>
        <v>4034223</v>
      </c>
      <c r="G20" s="1755">
        <f t="shared" si="5"/>
        <v>262177</v>
      </c>
      <c r="H20" s="1755">
        <f t="shared" si="5"/>
        <v>-950689</v>
      </c>
      <c r="I20" s="1755">
        <f t="shared" si="5"/>
        <v>132083</v>
      </c>
      <c r="J20" s="1755">
        <f t="shared" si="5"/>
        <v>589484</v>
      </c>
      <c r="K20" s="1755">
        <f t="shared" si="5"/>
        <v>-1400079</v>
      </c>
      <c r="L20" s="347"/>
    </row>
    <row r="21" spans="1:12" ht="16.7" customHeight="1" thickTop="1" x14ac:dyDescent="0.2">
      <c r="A21" s="2162" t="s">
        <v>615</v>
      </c>
      <c r="B21" s="2163"/>
      <c r="C21" s="1590"/>
      <c r="D21" s="1591"/>
      <c r="E21" s="1591"/>
      <c r="F21" s="1591"/>
      <c r="G21" s="1591"/>
      <c r="H21" s="1591"/>
      <c r="I21" s="1591"/>
      <c r="J21" s="1591"/>
      <c r="K21" s="1592"/>
      <c r="L21" s="524"/>
    </row>
    <row r="22" spans="1:12" ht="15.75" customHeight="1" collapsed="1" x14ac:dyDescent="0.2">
      <c r="A22" s="2158" t="s">
        <v>616</v>
      </c>
      <c r="B22" s="2159"/>
      <c r="C22" s="477"/>
      <c r="D22" s="477"/>
      <c r="E22" s="477"/>
      <c r="F22" s="477"/>
      <c r="G22" s="477"/>
      <c r="H22" s="477"/>
      <c r="I22" s="477"/>
      <c r="J22" s="477"/>
      <c r="K22" s="477"/>
      <c r="L22" s="347"/>
    </row>
    <row r="23" spans="1:12" s="485" customFormat="1" ht="15.75" customHeight="1" x14ac:dyDescent="0.2">
      <c r="A23" s="2154" t="s">
        <v>310</v>
      </c>
      <c r="B23" s="2155"/>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10361300</v>
      </c>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6" t="s">
        <v>1037</v>
      </c>
      <c r="B32" s="2157"/>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52">
        <f>SUM(C54:D57,H54:H57)</f>
        <v>197913</v>
      </c>
      <c r="F37" s="475"/>
      <c r="G37" s="475"/>
      <c r="H37" s="475"/>
      <c r="I37" s="477"/>
      <c r="J37" s="475"/>
      <c r="K37" s="475"/>
      <c r="L37" s="524"/>
    </row>
    <row r="38" spans="1:12" s="485" customFormat="1" x14ac:dyDescent="0.2">
      <c r="A38" s="1511" t="s">
        <v>461</v>
      </c>
      <c r="B38" s="525">
        <v>7500</v>
      </c>
      <c r="C38" s="477"/>
      <c r="D38" s="477"/>
      <c r="E38" s="1752">
        <f>SUM(C58:D61,H58:H61)</f>
        <v>9122</v>
      </c>
      <c r="F38" s="477"/>
      <c r="G38" s="477"/>
      <c r="H38" s="477"/>
      <c r="I38" s="477"/>
      <c r="J38" s="477"/>
      <c r="K38" s="477"/>
      <c r="L38" s="524"/>
    </row>
    <row r="39" spans="1:12" s="485" customFormat="1" x14ac:dyDescent="0.2">
      <c r="A39" s="1511" t="s">
        <v>462</v>
      </c>
      <c r="B39" s="525">
        <v>7600</v>
      </c>
      <c r="C39" s="477"/>
      <c r="D39" s="477"/>
      <c r="E39" s="1752">
        <f>SUM(C62:D65)</f>
        <v>0</v>
      </c>
      <c r="F39" s="477"/>
      <c r="G39" s="477"/>
      <c r="H39" s="477"/>
      <c r="I39" s="477"/>
      <c r="J39" s="477"/>
      <c r="K39" s="477"/>
      <c r="L39" s="524"/>
    </row>
    <row r="40" spans="1:12" s="485" customFormat="1" ht="13.5" customHeight="1" x14ac:dyDescent="0.2">
      <c r="A40" s="1511" t="s">
        <v>662</v>
      </c>
      <c r="B40" s="483">
        <v>7700</v>
      </c>
      <c r="C40" s="477"/>
      <c r="D40" s="477"/>
      <c r="E40" s="1752">
        <f>SUM(C66:D69)</f>
        <v>9660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52">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v>3000000</v>
      </c>
      <c r="E43" s="467"/>
      <c r="F43" s="467"/>
      <c r="G43" s="467"/>
      <c r="H43" s="467">
        <v>6800000</v>
      </c>
      <c r="I43" s="467"/>
      <c r="J43" s="467"/>
      <c r="K43" s="467">
        <v>2600000</v>
      </c>
      <c r="L43" s="524"/>
    </row>
    <row r="44" spans="1:12" s="485" customFormat="1" ht="13.5" customHeight="1" thickBot="1" x14ac:dyDescent="0.25">
      <c r="A44" s="2164" t="s">
        <v>391</v>
      </c>
      <c r="B44" s="2165"/>
      <c r="C44" s="1712">
        <f>SUM(C24:C43)</f>
        <v>0</v>
      </c>
      <c r="D44" s="1712">
        <f t="shared" ref="D44:K44" si="6">SUM(D24:D43)</f>
        <v>13361300</v>
      </c>
      <c r="E44" s="1712">
        <f t="shared" si="6"/>
        <v>216695</v>
      </c>
      <c r="F44" s="1712">
        <f t="shared" si="6"/>
        <v>0</v>
      </c>
      <c r="G44" s="1712">
        <f t="shared" si="6"/>
        <v>0</v>
      </c>
      <c r="H44" s="1712">
        <f t="shared" si="6"/>
        <v>6800000</v>
      </c>
      <c r="I44" s="1712">
        <f t="shared" si="6"/>
        <v>0</v>
      </c>
      <c r="J44" s="1712">
        <f t="shared" si="6"/>
        <v>0</v>
      </c>
      <c r="K44" s="1712">
        <f t="shared" si="6"/>
        <v>2600000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52">
        <f>SUM(C24,C25:H25,J25:K25)</f>
        <v>0</v>
      </c>
      <c r="J47" s="477"/>
      <c r="K47" s="477"/>
      <c r="L47" s="529"/>
    </row>
    <row r="48" spans="1:12" s="485" customFormat="1" ht="15" x14ac:dyDescent="0.2">
      <c r="A48" s="1512" t="s">
        <v>1758</v>
      </c>
      <c r="B48" s="483">
        <v>8120</v>
      </c>
      <c r="C48" s="480"/>
      <c r="D48" s="480"/>
      <c r="E48" s="477"/>
      <c r="F48" s="480"/>
      <c r="G48" s="477"/>
      <c r="H48" s="477"/>
      <c r="I48" s="1752">
        <f>SUM(C26:H26,J26,K26)</f>
        <v>0</v>
      </c>
      <c r="J48" s="477"/>
      <c r="K48" s="477"/>
      <c r="L48" s="529"/>
    </row>
    <row r="49" spans="1:12" s="485" customFormat="1" x14ac:dyDescent="0.2">
      <c r="A49" s="1512" t="s">
        <v>194</v>
      </c>
      <c r="B49" s="483">
        <v>8130</v>
      </c>
      <c r="C49" s="467"/>
      <c r="D49" s="467">
        <v>6800000</v>
      </c>
      <c r="E49" s="480"/>
      <c r="F49" s="467">
        <v>3561300</v>
      </c>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52">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52">
        <f>D30</f>
        <v>0</v>
      </c>
      <c r="L52" s="524"/>
    </row>
    <row r="53" spans="1:12" s="485" customFormat="1" ht="26.25" x14ac:dyDescent="0.2">
      <c r="A53" s="1512" t="s">
        <v>1896</v>
      </c>
      <c r="B53" s="483">
        <v>8170</v>
      </c>
      <c r="C53" s="480"/>
      <c r="D53" s="480"/>
      <c r="E53" s="477"/>
      <c r="F53" s="477"/>
      <c r="G53" s="477"/>
      <c r="H53" s="480"/>
      <c r="I53" s="477"/>
      <c r="J53" s="477"/>
      <c r="K53" s="1752">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v>197913</v>
      </c>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v>9122</v>
      </c>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v>9660</v>
      </c>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v>3800000</v>
      </c>
      <c r="F75" s="532"/>
      <c r="G75" s="532"/>
      <c r="H75" s="532">
        <v>2600000</v>
      </c>
      <c r="I75" s="530">
        <v>6000000</v>
      </c>
      <c r="J75" s="530"/>
      <c r="K75" s="532"/>
      <c r="L75" s="524"/>
    </row>
    <row r="76" spans="1:12" s="485" customFormat="1" ht="14.25" thickTop="1" thickBot="1" x14ac:dyDescent="0.25">
      <c r="A76" s="2140" t="s">
        <v>459</v>
      </c>
      <c r="B76" s="2141"/>
      <c r="C76" s="1712">
        <f t="shared" ref="C76:K76" si="7">SUM(C47:C75)</f>
        <v>207035</v>
      </c>
      <c r="D76" s="1712">
        <f t="shared" si="7"/>
        <v>6809660</v>
      </c>
      <c r="E76" s="1712">
        <f t="shared" si="7"/>
        <v>3800000</v>
      </c>
      <c r="F76" s="1712">
        <f t="shared" si="7"/>
        <v>3561300</v>
      </c>
      <c r="G76" s="1712">
        <f t="shared" si="7"/>
        <v>0</v>
      </c>
      <c r="H76" s="1712">
        <f t="shared" si="7"/>
        <v>2600000</v>
      </c>
      <c r="I76" s="1712">
        <f t="shared" si="7"/>
        <v>6000000</v>
      </c>
      <c r="J76" s="1712">
        <f t="shared" si="7"/>
        <v>0</v>
      </c>
      <c r="K76" s="1712">
        <f t="shared" si="7"/>
        <v>0</v>
      </c>
      <c r="L76" s="524"/>
    </row>
    <row r="77" spans="1:12" ht="14.25" thickTop="1" thickBot="1" x14ac:dyDescent="0.25">
      <c r="A77" s="2142" t="s">
        <v>1238</v>
      </c>
      <c r="B77" s="2143"/>
      <c r="C77" s="1712">
        <f t="shared" ref="C77:K77" si="8">C44-C76</f>
        <v>-207035</v>
      </c>
      <c r="D77" s="1712">
        <f t="shared" si="8"/>
        <v>6551640</v>
      </c>
      <c r="E77" s="1712">
        <f t="shared" si="8"/>
        <v>-3583305</v>
      </c>
      <c r="F77" s="1712">
        <f t="shared" si="8"/>
        <v>-3561300</v>
      </c>
      <c r="G77" s="1712">
        <f t="shared" si="8"/>
        <v>0</v>
      </c>
      <c r="H77" s="1712">
        <f t="shared" si="8"/>
        <v>4200000</v>
      </c>
      <c r="I77" s="1712">
        <f t="shared" si="8"/>
        <v>-6000000</v>
      </c>
      <c r="J77" s="1712">
        <f t="shared" si="8"/>
        <v>0</v>
      </c>
      <c r="K77" s="1712">
        <f t="shared" si="8"/>
        <v>2600000</v>
      </c>
      <c r="L77" s="347"/>
    </row>
    <row r="78" spans="1:12" ht="21.75" customHeight="1" thickTop="1" thickBot="1" x14ac:dyDescent="0.25">
      <c r="A78" s="2146" t="s">
        <v>617</v>
      </c>
      <c r="B78" s="2147"/>
      <c r="C78" s="1711">
        <f t="shared" ref="C78:K78" si="9">C20+C77</f>
        <v>26397649</v>
      </c>
      <c r="D78" s="1711">
        <f t="shared" si="9"/>
        <v>1923375</v>
      </c>
      <c r="E78" s="1711">
        <f t="shared" si="9"/>
        <v>-3683732</v>
      </c>
      <c r="F78" s="1711">
        <f t="shared" si="9"/>
        <v>472923</v>
      </c>
      <c r="G78" s="1711">
        <f t="shared" si="9"/>
        <v>262177</v>
      </c>
      <c r="H78" s="1711">
        <f t="shared" si="9"/>
        <v>3249311</v>
      </c>
      <c r="I78" s="1711">
        <f t="shared" si="9"/>
        <v>-5867917</v>
      </c>
      <c r="J78" s="1711">
        <f t="shared" si="9"/>
        <v>589484</v>
      </c>
      <c r="K78" s="1711">
        <f t="shared" si="9"/>
        <v>1199921</v>
      </c>
      <c r="L78" s="533"/>
    </row>
    <row r="79" spans="1:12" ht="13.5" thickTop="1" x14ac:dyDescent="0.2">
      <c r="A79" s="1516" t="s">
        <v>2068</v>
      </c>
      <c r="B79" s="534"/>
      <c r="C79" s="478">
        <v>4385315</v>
      </c>
      <c r="D79" s="535">
        <v>2846114</v>
      </c>
      <c r="E79" s="535">
        <v>5385750</v>
      </c>
      <c r="F79" s="535">
        <v>4609460</v>
      </c>
      <c r="G79" s="535">
        <v>669038</v>
      </c>
      <c r="H79" s="535">
        <v>-4456181</v>
      </c>
      <c r="I79" s="535">
        <v>32844198</v>
      </c>
      <c r="J79" s="535">
        <v>-707768</v>
      </c>
      <c r="K79" s="535">
        <v>696546</v>
      </c>
      <c r="L79" s="347"/>
    </row>
    <row r="80" spans="1:12" x14ac:dyDescent="0.2">
      <c r="A80" s="2152" t="s">
        <v>1895</v>
      </c>
      <c r="B80" s="2153"/>
      <c r="C80" s="467"/>
      <c r="D80" s="467"/>
      <c r="E80" s="467"/>
      <c r="F80" s="467"/>
      <c r="G80" s="467"/>
      <c r="H80" s="467"/>
      <c r="I80" s="467"/>
      <c r="J80" s="467"/>
      <c r="K80" s="467"/>
      <c r="L80" s="347"/>
    </row>
    <row r="81" spans="1:12" ht="13.5" thickBot="1" x14ac:dyDescent="0.25">
      <c r="A81" s="2144" t="s">
        <v>2069</v>
      </c>
      <c r="B81" s="2145"/>
      <c r="C81" s="1697">
        <f>(SUM(C78:C80))</f>
        <v>30782964</v>
      </c>
      <c r="D81" s="1697">
        <f>SUM(D78:D80)</f>
        <v>4769489</v>
      </c>
      <c r="E81" s="1697">
        <f t="shared" ref="E81:K81" si="10">SUM(E78:E80)</f>
        <v>1702018</v>
      </c>
      <c r="F81" s="1697">
        <f t="shared" si="10"/>
        <v>5082383</v>
      </c>
      <c r="G81" s="1697">
        <f t="shared" si="10"/>
        <v>931215</v>
      </c>
      <c r="H81" s="1697">
        <f t="shared" si="10"/>
        <v>-1206870</v>
      </c>
      <c r="I81" s="1697">
        <f t="shared" si="10"/>
        <v>26976281</v>
      </c>
      <c r="J81" s="1697">
        <f t="shared" si="10"/>
        <v>-118284</v>
      </c>
      <c r="K81" s="1697">
        <f t="shared" si="10"/>
        <v>1896467</v>
      </c>
      <c r="L81" s="347"/>
    </row>
    <row r="82" spans="1:12" ht="0.75" customHeight="1" thickTop="1" thickBot="1" x14ac:dyDescent="0.25">
      <c r="A82" s="536" t="s">
        <v>360</v>
      </c>
      <c r="B82" s="537"/>
      <c r="C82" s="538">
        <f>(C81-C79)</f>
        <v>26397649</v>
      </c>
      <c r="D82" s="538">
        <f t="shared" ref="D82:K82" si="11">(D81-D79)</f>
        <v>1923375</v>
      </c>
      <c r="E82" s="538">
        <f t="shared" si="11"/>
        <v>-3683732</v>
      </c>
      <c r="F82" s="538">
        <f t="shared" si="11"/>
        <v>472923</v>
      </c>
      <c r="G82" s="538">
        <f t="shared" si="11"/>
        <v>262177</v>
      </c>
      <c r="H82" s="538">
        <f t="shared" si="11"/>
        <v>3249311</v>
      </c>
      <c r="I82" s="538">
        <f t="shared" si="11"/>
        <v>-5867917</v>
      </c>
      <c r="J82" s="538">
        <f t="shared" si="11"/>
        <v>589484</v>
      </c>
      <c r="K82" s="538">
        <f t="shared" si="11"/>
        <v>1199921</v>
      </c>
    </row>
    <row r="83" spans="1:12" ht="14.25" hidden="1" thickTop="1" thickBot="1" x14ac:dyDescent="0.25">
      <c r="A83" s="539" t="s">
        <v>361</v>
      </c>
      <c r="B83" s="464"/>
      <c r="C83" s="540">
        <f>C82/C81</f>
        <v>0.85754084629407357</v>
      </c>
      <c r="D83" s="540">
        <f t="shared" ref="D83:K83" si="12">D82/D81</f>
        <v>0.40326647152346928</v>
      </c>
      <c r="E83" s="540">
        <f t="shared" si="12"/>
        <v>-2.1643319870882682</v>
      </c>
      <c r="F83" s="540">
        <f t="shared" si="12"/>
        <v>9.3051428827776256E-2</v>
      </c>
      <c r="G83" s="540">
        <f t="shared" si="12"/>
        <v>0.28154293047255469</v>
      </c>
      <c r="H83" s="540">
        <f t="shared" si="12"/>
        <v>-2.6923454887436096</v>
      </c>
      <c r="I83" s="540">
        <f t="shared" si="12"/>
        <v>-0.21752134773507142</v>
      </c>
      <c r="J83" s="540">
        <f t="shared" si="12"/>
        <v>-4.9836326130330395</v>
      </c>
      <c r="K83" s="540">
        <f t="shared" si="12"/>
        <v>0.63271388323656563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26" activePane="bottomLeft" state="frozen"/>
      <selection activeCell="I47" sqref="I47"/>
      <selection pane="bottomLeft" activeCell="C126" sqref="C12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1902</v>
      </c>
      <c r="B1" s="452"/>
      <c r="C1" s="453" t="s">
        <v>444</v>
      </c>
      <c r="D1" s="453" t="s">
        <v>445</v>
      </c>
      <c r="E1" s="453" t="s">
        <v>446</v>
      </c>
      <c r="F1" s="453" t="s">
        <v>447</v>
      </c>
      <c r="G1" s="453" t="s">
        <v>448</v>
      </c>
      <c r="H1" s="453" t="s">
        <v>449</v>
      </c>
      <c r="I1" s="453" t="s">
        <v>450</v>
      </c>
      <c r="J1" s="453" t="s">
        <v>451</v>
      </c>
      <c r="K1" s="453" t="s">
        <v>779</v>
      </c>
    </row>
    <row r="2" spans="1:12" ht="36" x14ac:dyDescent="0.2">
      <c r="A2" s="214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3"/>
      <c r="D4" s="543"/>
      <c r="E4" s="543"/>
      <c r="F4" s="544"/>
      <c r="G4" s="545"/>
      <c r="H4" s="546"/>
      <c r="I4" s="546"/>
      <c r="J4" s="546"/>
      <c r="K4" s="546"/>
    </row>
    <row r="5" spans="1:12" ht="15" x14ac:dyDescent="0.2">
      <c r="A5" s="493" t="s">
        <v>1759</v>
      </c>
      <c r="B5" s="547"/>
      <c r="C5" s="481">
        <v>24862584</v>
      </c>
      <c r="D5" s="481">
        <v>5024230</v>
      </c>
      <c r="E5" s="466">
        <v>9784613</v>
      </c>
      <c r="F5" s="548">
        <v>6127535</v>
      </c>
      <c r="G5" s="466">
        <v>3462864</v>
      </c>
      <c r="H5" s="466"/>
      <c r="I5" s="466">
        <v>132083</v>
      </c>
      <c r="J5" s="467">
        <v>1793601</v>
      </c>
      <c r="K5" s="466">
        <v>652334</v>
      </c>
    </row>
    <row r="6" spans="1:12" ht="15" x14ac:dyDescent="0.2">
      <c r="A6" s="463" t="s">
        <v>1760</v>
      </c>
      <c r="B6" s="470">
        <v>1130</v>
      </c>
      <c r="C6" s="466"/>
      <c r="D6" s="466"/>
      <c r="E6" s="475"/>
      <c r="F6" s="475"/>
      <c r="G6" s="468"/>
      <c r="H6" s="468"/>
      <c r="I6" s="468"/>
      <c r="J6" s="468"/>
      <c r="K6" s="468"/>
    </row>
    <row r="7" spans="1:12" x14ac:dyDescent="0.2">
      <c r="A7" s="463" t="s">
        <v>112</v>
      </c>
      <c r="B7" s="549">
        <v>1140</v>
      </c>
      <c r="C7" s="466">
        <v>5359180</v>
      </c>
      <c r="D7" s="466"/>
      <c r="E7" s="468"/>
      <c r="F7" s="467"/>
      <c r="G7" s="467"/>
      <c r="H7" s="467"/>
      <c r="I7" s="468"/>
      <c r="J7" s="468"/>
      <c r="K7" s="468"/>
    </row>
    <row r="8" spans="1:12" x14ac:dyDescent="0.2">
      <c r="A8" s="463" t="s">
        <v>432</v>
      </c>
      <c r="B8" s="470">
        <v>1150</v>
      </c>
      <c r="C8" s="475"/>
      <c r="D8" s="475"/>
      <c r="E8" s="477"/>
      <c r="F8" s="477"/>
      <c r="G8" s="481">
        <v>3462864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14" t="s">
        <v>29</v>
      </c>
      <c r="B12" s="1715"/>
      <c r="C12" s="1716">
        <f t="shared" ref="C12:K12" si="0">SUM(C5:C11)</f>
        <v>30221764</v>
      </c>
      <c r="D12" s="1716">
        <f t="shared" si="0"/>
        <v>5024230</v>
      </c>
      <c r="E12" s="1716">
        <f t="shared" si="0"/>
        <v>9784613</v>
      </c>
      <c r="F12" s="1716">
        <f t="shared" si="0"/>
        <v>6127535</v>
      </c>
      <c r="G12" s="1716">
        <f t="shared" si="0"/>
        <v>6925728</v>
      </c>
      <c r="H12" s="1716">
        <f t="shared" si="0"/>
        <v>0</v>
      </c>
      <c r="I12" s="1716">
        <f t="shared" si="0"/>
        <v>132083</v>
      </c>
      <c r="J12" s="1716">
        <f t="shared" si="0"/>
        <v>1793601</v>
      </c>
      <c r="K12" s="1697">
        <f t="shared" si="0"/>
        <v>652334</v>
      </c>
    </row>
    <row r="13" spans="1:12" ht="15.75" customHeight="1" thickTop="1" x14ac:dyDescent="0.2">
      <c r="A13" s="1612" t="s">
        <v>470</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6163061</v>
      </c>
      <c r="D16" s="466"/>
      <c r="E16" s="466"/>
      <c r="F16" s="466"/>
      <c r="G16" s="466">
        <v>10000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17" t="s">
        <v>557</v>
      </c>
      <c r="B18" s="1718"/>
      <c r="C18" s="1719">
        <f>SUM(C14:C17)</f>
        <v>6163061</v>
      </c>
      <c r="D18" s="1719">
        <f t="shared" ref="D18:K18" si="1">SUM(D14:D17)</f>
        <v>0</v>
      </c>
      <c r="E18" s="1719">
        <f t="shared" si="1"/>
        <v>0</v>
      </c>
      <c r="F18" s="1719">
        <f t="shared" si="1"/>
        <v>0</v>
      </c>
      <c r="G18" s="1719">
        <f t="shared" si="1"/>
        <v>10000</v>
      </c>
      <c r="H18" s="1719">
        <f t="shared" si="1"/>
        <v>0</v>
      </c>
      <c r="I18" s="1719">
        <f t="shared" si="1"/>
        <v>0</v>
      </c>
      <c r="J18" s="1719">
        <f t="shared" si="1"/>
        <v>0</v>
      </c>
      <c r="K18" s="1720">
        <f t="shared" si="1"/>
        <v>0</v>
      </c>
    </row>
    <row r="19" spans="1:11" ht="15.75" customHeight="1" thickTop="1" x14ac:dyDescent="0.2">
      <c r="A19" s="1612" t="s">
        <v>471</v>
      </c>
      <c r="B19" s="1613">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13960</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17" t="s">
        <v>558</v>
      </c>
      <c r="B40" s="1718"/>
      <c r="C40" s="1697">
        <f>SUM(C20:C39)</f>
        <v>13960</v>
      </c>
      <c r="D40" s="468"/>
      <c r="E40" s="468"/>
      <c r="F40" s="468"/>
      <c r="G40" s="468"/>
      <c r="H40" s="468"/>
      <c r="I40" s="468"/>
      <c r="J40" s="468"/>
      <c r="K40" s="468"/>
    </row>
    <row r="41" spans="1:11" ht="15.75" customHeight="1" thickTop="1" x14ac:dyDescent="0.2">
      <c r="A41" s="1612" t="s">
        <v>291</v>
      </c>
      <c r="B41" s="1613">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17" t="s">
        <v>505</v>
      </c>
      <c r="B63" s="1718"/>
      <c r="C63" s="468"/>
      <c r="D63" s="468"/>
      <c r="E63" s="468"/>
      <c r="F63" s="1697">
        <f>SUM(F42:F62)</f>
        <v>0</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63176</v>
      </c>
      <c r="D65" s="466">
        <v>207</v>
      </c>
      <c r="E65" s="466"/>
      <c r="F65" s="467"/>
      <c r="G65" s="466"/>
      <c r="H65" s="466"/>
      <c r="I65" s="466"/>
      <c r="J65" s="467"/>
      <c r="K65" s="466"/>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17" t="s">
        <v>506</v>
      </c>
      <c r="B67" s="1718"/>
      <c r="C67" s="1697">
        <f>SUM(C65:C66)</f>
        <v>63176</v>
      </c>
      <c r="D67" s="1697">
        <f t="shared" ref="D67:K67" si="2">SUM(D65:D66)</f>
        <v>207</v>
      </c>
      <c r="E67" s="1697">
        <f t="shared" si="2"/>
        <v>0</v>
      </c>
      <c r="F67" s="1697">
        <f t="shared" si="2"/>
        <v>0</v>
      </c>
      <c r="G67" s="1697">
        <f t="shared" si="2"/>
        <v>0</v>
      </c>
      <c r="H67" s="1697">
        <f t="shared" si="2"/>
        <v>0</v>
      </c>
      <c r="I67" s="1697">
        <f t="shared" si="2"/>
        <v>0</v>
      </c>
      <c r="J67" s="1697">
        <f t="shared" si="2"/>
        <v>0</v>
      </c>
      <c r="K67" s="1697">
        <f t="shared" si="2"/>
        <v>0</v>
      </c>
    </row>
    <row r="68" spans="1:11" ht="15.75" customHeight="1" thickTop="1" x14ac:dyDescent="0.2">
      <c r="A68" s="1612" t="s">
        <v>474</v>
      </c>
      <c r="B68" s="1614">
        <v>1600</v>
      </c>
      <c r="C68" s="553"/>
      <c r="D68" s="468"/>
      <c r="E68" s="468"/>
      <c r="F68" s="468"/>
      <c r="G68" s="468"/>
      <c r="H68" s="468"/>
      <c r="I68" s="468"/>
      <c r="J68" s="468"/>
      <c r="K68" s="468"/>
    </row>
    <row r="69" spans="1:11" ht="12.75" customHeight="1" x14ac:dyDescent="0.2">
      <c r="A69" s="463" t="s">
        <v>686</v>
      </c>
      <c r="B69" s="470">
        <v>1611</v>
      </c>
      <c r="C69" s="466">
        <v>528</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v>146124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v>15134</v>
      </c>
      <c r="D74" s="468"/>
      <c r="E74" s="468"/>
      <c r="F74" s="468"/>
      <c r="G74" s="468"/>
      <c r="H74" s="468"/>
      <c r="I74" s="468"/>
      <c r="J74" s="468"/>
      <c r="K74" s="468"/>
    </row>
    <row r="75" spans="1:11" ht="12.75" customHeight="1" thickBot="1" x14ac:dyDescent="0.25">
      <c r="A75" s="1717" t="s">
        <v>568</v>
      </c>
      <c r="B75" s="1718"/>
      <c r="C75" s="1697">
        <f>SUM(C69:C74)</f>
        <v>161786</v>
      </c>
      <c r="D75" s="468"/>
      <c r="E75" s="468"/>
      <c r="F75" s="468"/>
      <c r="G75" s="468"/>
      <c r="H75" s="468"/>
      <c r="I75" s="468"/>
      <c r="J75" s="468"/>
      <c r="K75" s="468"/>
    </row>
    <row r="76" spans="1:11" ht="15.75" customHeight="1" thickTop="1" x14ac:dyDescent="0.2">
      <c r="A76" s="1612" t="s">
        <v>935</v>
      </c>
      <c r="B76" s="1614">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162564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7" t="s">
        <v>259</v>
      </c>
      <c r="B82" s="1718"/>
      <c r="C82" s="1716">
        <f>SUM(C77:C81)</f>
        <v>162564</v>
      </c>
      <c r="D82" s="1697">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572</v>
      </c>
      <c r="B84" s="470">
        <v>1811</v>
      </c>
      <c r="C84" s="466">
        <v>356017</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17" t="s">
        <v>261</v>
      </c>
      <c r="B93" s="1718"/>
      <c r="C93" s="1697">
        <f>SUM(C84:C92)</f>
        <v>356017</v>
      </c>
      <c r="D93" s="468"/>
      <c r="E93" s="468"/>
      <c r="F93" s="468"/>
      <c r="G93" s="468"/>
      <c r="H93" s="468"/>
      <c r="I93" s="468"/>
      <c r="J93" s="468"/>
      <c r="K93" s="468"/>
    </row>
    <row r="94" spans="1:11" ht="15.75" customHeight="1" thickTop="1" x14ac:dyDescent="0.2">
      <c r="A94" s="1612" t="s">
        <v>1198</v>
      </c>
      <c r="B94" s="1614">
        <v>1900</v>
      </c>
      <c r="C94" s="553"/>
      <c r="D94" s="521"/>
      <c r="E94" s="468"/>
      <c r="F94" s="468"/>
      <c r="G94" s="468"/>
      <c r="H94" s="468"/>
      <c r="I94" s="468"/>
      <c r="J94" s="468"/>
      <c r="K94" s="468"/>
    </row>
    <row r="95" spans="1:11" ht="12.75" customHeight="1" x14ac:dyDescent="0.2">
      <c r="A95" s="463" t="s">
        <v>1123</v>
      </c>
      <c r="B95" s="470">
        <v>1910</v>
      </c>
      <c r="C95" s="466">
        <v>96060</v>
      </c>
      <c r="D95" s="551"/>
      <c r="E95" s="521"/>
      <c r="F95" s="521"/>
      <c r="G95" s="521"/>
      <c r="H95" s="521"/>
      <c r="I95" s="521"/>
      <c r="J95" s="521"/>
      <c r="K95" s="521"/>
    </row>
    <row r="96" spans="1:11" ht="12.75" customHeight="1" x14ac:dyDescent="0.2">
      <c r="A96" s="463" t="s">
        <v>408</v>
      </c>
      <c r="B96" s="470">
        <v>1920</v>
      </c>
      <c r="C96" s="551">
        <v>21873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31515</v>
      </c>
      <c r="D99" s="466">
        <v>18248</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175153</v>
      </c>
      <c r="D107" s="466">
        <v>11213</v>
      </c>
      <c r="E107" s="466"/>
      <c r="F107" s="466">
        <v>30765</v>
      </c>
      <c r="G107" s="466"/>
      <c r="H107" s="466"/>
      <c r="I107" s="466"/>
      <c r="J107" s="467">
        <v>3343</v>
      </c>
      <c r="K107" s="466"/>
    </row>
    <row r="108" spans="1:12" ht="12.75" customHeight="1" thickBot="1" x14ac:dyDescent="0.25">
      <c r="A108" s="1717" t="s">
        <v>507</v>
      </c>
      <c r="B108" s="1721"/>
      <c r="C108" s="1716">
        <f>SUM(C95:C107)</f>
        <v>324601</v>
      </c>
      <c r="D108" s="1716">
        <f t="shared" ref="D108:K108" si="3">SUM(D95:D107)</f>
        <v>29461</v>
      </c>
      <c r="E108" s="1716">
        <f t="shared" si="3"/>
        <v>0</v>
      </c>
      <c r="F108" s="1716">
        <f t="shared" si="3"/>
        <v>30765</v>
      </c>
      <c r="G108" s="1716">
        <f t="shared" si="3"/>
        <v>0</v>
      </c>
      <c r="H108" s="1716">
        <f t="shared" si="3"/>
        <v>0</v>
      </c>
      <c r="I108" s="1716">
        <f t="shared" si="3"/>
        <v>0</v>
      </c>
      <c r="J108" s="1716">
        <f t="shared" si="3"/>
        <v>3343</v>
      </c>
      <c r="K108" s="1697">
        <f t="shared" si="3"/>
        <v>0</v>
      </c>
    </row>
    <row r="109" spans="1:12" ht="14.25" thickTop="1" thickBot="1" x14ac:dyDescent="0.25">
      <c r="A109" s="1722" t="s">
        <v>266</v>
      </c>
      <c r="B109" s="1723" t="s">
        <v>590</v>
      </c>
      <c r="C109" s="1724">
        <f t="shared" ref="C109:K109" si="4">SUM(C12,C18,C40,C63,C67,C75,C82,C93,C108,)</f>
        <v>37466929</v>
      </c>
      <c r="D109" s="1724">
        <f t="shared" si="4"/>
        <v>5053898</v>
      </c>
      <c r="E109" s="1724">
        <f t="shared" si="4"/>
        <v>9784613</v>
      </c>
      <c r="F109" s="1724">
        <f t="shared" si="4"/>
        <v>6158300</v>
      </c>
      <c r="G109" s="1724">
        <f t="shared" si="4"/>
        <v>6935728</v>
      </c>
      <c r="H109" s="1724">
        <f t="shared" si="4"/>
        <v>0</v>
      </c>
      <c r="I109" s="1724">
        <f t="shared" si="4"/>
        <v>132083</v>
      </c>
      <c r="J109" s="1724">
        <f t="shared" si="4"/>
        <v>1796944</v>
      </c>
      <c r="K109" s="1711">
        <f t="shared" si="4"/>
        <v>652334</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5" t="s">
        <v>838</v>
      </c>
      <c r="B114" s="1726" t="s">
        <v>589</v>
      </c>
      <c r="C114" s="1727">
        <f>SUM(C111:C113)</f>
        <v>0</v>
      </c>
      <c r="D114" s="1727">
        <f>SUM(D111:D113)</f>
        <v>0</v>
      </c>
      <c r="E114" s="561" t="s">
        <v>1230</v>
      </c>
      <c r="F114" s="1727">
        <f>SUM(F111:F113)</f>
        <v>0</v>
      </c>
      <c r="G114" s="1727">
        <f>SUM(G111:G113)</f>
        <v>0</v>
      </c>
      <c r="H114" s="561"/>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2"/>
      <c r="D116" s="521"/>
      <c r="E116" s="561"/>
      <c r="F116" s="521"/>
      <c r="G116" s="521"/>
      <c r="H116" s="561"/>
      <c r="I116" s="468"/>
      <c r="J116" s="521"/>
      <c r="K116" s="521"/>
    </row>
    <row r="117" spans="1:11" ht="12.75" customHeight="1" x14ac:dyDescent="0.2">
      <c r="A117" s="463" t="s">
        <v>1765</v>
      </c>
      <c r="B117" s="562">
        <v>3001</v>
      </c>
      <c r="C117" s="516">
        <v>117702881</v>
      </c>
      <c r="D117" s="481">
        <v>70000</v>
      </c>
      <c r="E117" s="466"/>
      <c r="F117" s="481"/>
      <c r="G117" s="481"/>
      <c r="H117" s="466">
        <v>293000</v>
      </c>
      <c r="I117" s="468"/>
      <c r="J117" s="467">
        <v>1979375</v>
      </c>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17" t="s">
        <v>508</v>
      </c>
      <c r="B121" s="1728"/>
      <c r="C121" s="1716">
        <f t="shared" ref="C121:H121" si="5">SUM(C117:C120)</f>
        <v>117702881</v>
      </c>
      <c r="D121" s="1716">
        <f t="shared" si="5"/>
        <v>70000</v>
      </c>
      <c r="E121" s="1716">
        <f t="shared" si="5"/>
        <v>0</v>
      </c>
      <c r="F121" s="1716">
        <f t="shared" si="5"/>
        <v>0</v>
      </c>
      <c r="G121" s="1716">
        <f t="shared" si="5"/>
        <v>0</v>
      </c>
      <c r="H121" s="1716">
        <f t="shared" si="5"/>
        <v>293000</v>
      </c>
      <c r="I121" s="468"/>
      <c r="J121" s="1716">
        <f>SUM(J117:J120)</f>
        <v>1979375</v>
      </c>
      <c r="K121" s="1697">
        <f>SUM(K117:K120)</f>
        <v>0</v>
      </c>
    </row>
    <row r="122" spans="1:11" ht="15.75" customHeight="1" thickTop="1" x14ac:dyDescent="0.2">
      <c r="A122" s="1612" t="s">
        <v>1569</v>
      </c>
      <c r="B122" s="1617"/>
      <c r="C122" s="565"/>
      <c r="D122" s="509"/>
      <c r="E122" s="468"/>
      <c r="F122" s="566"/>
      <c r="G122" s="468"/>
      <c r="H122" s="468"/>
      <c r="I122" s="468"/>
      <c r="J122" s="468"/>
      <c r="K122" s="468"/>
    </row>
    <row r="123" spans="1:11" ht="15" customHeight="1" x14ac:dyDescent="0.2">
      <c r="A123" s="1618" t="s">
        <v>687</v>
      </c>
      <c r="B123" s="1619"/>
      <c r="C123" s="521"/>
      <c r="D123" s="509"/>
      <c r="E123" s="468"/>
      <c r="F123" s="521"/>
      <c r="G123" s="468"/>
      <c r="H123" s="468"/>
      <c r="I123" s="468"/>
      <c r="J123" s="468"/>
      <c r="K123" s="468"/>
    </row>
    <row r="124" spans="1:11" ht="12.75" customHeight="1" x14ac:dyDescent="0.2">
      <c r="A124" s="463" t="s">
        <v>920</v>
      </c>
      <c r="B124" s="567">
        <v>3100</v>
      </c>
      <c r="C124" s="481">
        <v>1835143</v>
      </c>
      <c r="D124" s="561"/>
      <c r="E124" s="468"/>
      <c r="F124" s="548"/>
      <c r="G124" s="468"/>
      <c r="H124" s="468"/>
      <c r="I124" s="468"/>
      <c r="J124" s="468"/>
      <c r="K124" s="468"/>
    </row>
    <row r="125" spans="1:11" ht="12.75" customHeight="1" x14ac:dyDescent="0.2">
      <c r="A125" s="463" t="s">
        <v>1520</v>
      </c>
      <c r="B125" s="562">
        <v>3105</v>
      </c>
      <c r="C125" s="466">
        <v>1178523</v>
      </c>
      <c r="D125" s="561"/>
      <c r="E125" s="468"/>
      <c r="F125" s="466"/>
      <c r="G125" s="468"/>
      <c r="H125" s="468"/>
      <c r="I125" s="468"/>
      <c r="J125" s="468"/>
      <c r="K125" s="468"/>
    </row>
    <row r="126" spans="1:11" ht="12.75" customHeight="1" x14ac:dyDescent="0.2">
      <c r="A126" s="463" t="s">
        <v>921</v>
      </c>
      <c r="B126" s="562">
        <v>3110</v>
      </c>
      <c r="C126" s="551">
        <v>1732271</v>
      </c>
      <c r="D126" s="466"/>
      <c r="E126" s="468"/>
      <c r="F126" s="466"/>
      <c r="G126" s="468"/>
      <c r="H126" s="468"/>
      <c r="I126" s="468"/>
      <c r="J126" s="468"/>
      <c r="K126" s="468"/>
    </row>
    <row r="127" spans="1:11" ht="12.75" customHeight="1" x14ac:dyDescent="0.2">
      <c r="A127" s="463" t="s">
        <v>107</v>
      </c>
      <c r="B127" s="562">
        <v>3120</v>
      </c>
      <c r="C127" s="466">
        <v>504099</v>
      </c>
      <c r="D127" s="561"/>
      <c r="E127" s="468"/>
      <c r="F127" s="466"/>
      <c r="G127" s="468"/>
      <c r="H127" s="468"/>
      <c r="I127" s="468"/>
      <c r="J127" s="468"/>
      <c r="K127" s="468"/>
    </row>
    <row r="128" spans="1:11" ht="12.75" customHeight="1" x14ac:dyDescent="0.2">
      <c r="A128" s="463" t="s">
        <v>1521</v>
      </c>
      <c r="B128" s="562">
        <v>3130</v>
      </c>
      <c r="C128" s="466">
        <v>111859</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7" t="s">
        <v>1091</v>
      </c>
      <c r="B131" s="1729"/>
      <c r="C131" s="1716">
        <f>SUM(C124:C130)</f>
        <v>5361895</v>
      </c>
      <c r="D131" s="1716">
        <f>SUM(D124:D130)</f>
        <v>0</v>
      </c>
      <c r="E131" s="469" t="s">
        <v>1230</v>
      </c>
      <c r="F131" s="1716">
        <f>SUM(F124:F130)</f>
        <v>0</v>
      </c>
      <c r="G131" s="468" t="s">
        <v>1230</v>
      </c>
      <c r="H131" s="468" t="s">
        <v>1230</v>
      </c>
      <c r="I131" s="468" t="s">
        <v>1230</v>
      </c>
      <c r="J131" s="468" t="s">
        <v>1230</v>
      </c>
      <c r="K131" s="468" t="s">
        <v>1230</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81309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7" t="s">
        <v>623</v>
      </c>
      <c r="B140" s="1729"/>
      <c r="C140" s="1716">
        <f>SUM(C133:C139)</f>
        <v>81309</v>
      </c>
      <c r="D140" s="1716">
        <f>SUM(D133:D139)</f>
        <v>0</v>
      </c>
      <c r="E140" s="561" t="s">
        <v>1230</v>
      </c>
      <c r="F140" s="477"/>
      <c r="G140" s="1716">
        <f>SUM(G133:G139)</f>
        <v>0</v>
      </c>
      <c r="H140" s="468" t="s">
        <v>1230</v>
      </c>
      <c r="I140" s="468" t="s">
        <v>1230</v>
      </c>
      <c r="J140" s="468" t="s">
        <v>1230</v>
      </c>
      <c r="K140" s="468" t="s">
        <v>1230</v>
      </c>
    </row>
    <row r="141" spans="1:11" ht="15.75" customHeight="1" thickTop="1" x14ac:dyDescent="0.2">
      <c r="A141" s="1620" t="s">
        <v>690</v>
      </c>
      <c r="B141" s="1621"/>
      <c r="C141" s="553"/>
      <c r="D141" s="566"/>
      <c r="E141" s="561"/>
      <c r="F141" s="553"/>
      <c r="G141" s="553"/>
      <c r="H141" s="468"/>
      <c r="I141" s="468"/>
      <c r="J141" s="468"/>
      <c r="K141" s="468"/>
    </row>
    <row r="142" spans="1:11" ht="12.75" customHeight="1" x14ac:dyDescent="0.2">
      <c r="A142" s="463" t="s">
        <v>624</v>
      </c>
      <c r="B142" s="562">
        <v>3305</v>
      </c>
      <c r="C142" s="466">
        <v>2451635</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17" t="s">
        <v>413</v>
      </c>
      <c r="B144" s="1729"/>
      <c r="C144" s="1697">
        <f>SUM(C142:C143)</f>
        <v>2451635</v>
      </c>
      <c r="D144" s="468"/>
      <c r="E144" s="509"/>
      <c r="F144" s="468"/>
      <c r="G144" s="1730">
        <f>SUM(G142:G143)</f>
        <v>0</v>
      </c>
      <c r="H144" s="468"/>
      <c r="I144" s="468"/>
      <c r="J144" s="468"/>
      <c r="K144" s="468"/>
    </row>
    <row r="145" spans="1:11" s="202" customFormat="1" ht="12.75" customHeight="1" thickTop="1" x14ac:dyDescent="0.2">
      <c r="A145" s="1520" t="s">
        <v>1115</v>
      </c>
      <c r="B145" s="568">
        <v>3360</v>
      </c>
      <c r="C145" s="569">
        <v>144373</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58970</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0" t="s">
        <v>472</v>
      </c>
      <c r="B150" s="1622"/>
      <c r="C150" s="553"/>
      <c r="D150" s="468"/>
      <c r="E150" s="561"/>
      <c r="F150" s="468"/>
      <c r="G150" s="468"/>
      <c r="H150" s="468"/>
      <c r="I150" s="468"/>
      <c r="J150" s="468"/>
      <c r="K150" s="468"/>
    </row>
    <row r="151" spans="1:11" ht="12.75" customHeight="1" x14ac:dyDescent="0.2">
      <c r="A151" s="463" t="s">
        <v>1522</v>
      </c>
      <c r="B151" s="562">
        <v>3500</v>
      </c>
      <c r="C151" s="551"/>
      <c r="D151" s="466"/>
      <c r="E151" s="561"/>
      <c r="F151" s="466">
        <v>3437364</v>
      </c>
      <c r="G151" s="467"/>
      <c r="H151" s="468"/>
      <c r="I151" s="468"/>
      <c r="J151" s="468"/>
      <c r="K151" s="468"/>
    </row>
    <row r="152" spans="1:11" ht="12.75" customHeight="1" x14ac:dyDescent="0.2">
      <c r="A152" s="463" t="s">
        <v>1116</v>
      </c>
      <c r="B152" s="562">
        <v>3510</v>
      </c>
      <c r="C152" s="551"/>
      <c r="D152" s="466"/>
      <c r="E152" s="561"/>
      <c r="F152" s="466">
        <v>4516121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7" t="s">
        <v>96</v>
      </c>
      <c r="B154" s="1729"/>
      <c r="C154" s="1716">
        <f>SUM(C151:C153)</f>
        <v>0</v>
      </c>
      <c r="D154" s="1716">
        <f>SUM(D151:D153)</f>
        <v>0</v>
      </c>
      <c r="E154" s="561"/>
      <c r="F154" s="1716">
        <f>SUM(F151:F153)</f>
        <v>7953485</v>
      </c>
      <c r="G154" s="1716">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v>131291</v>
      </c>
      <c r="D157" s="468"/>
      <c r="E157" s="561"/>
      <c r="F157" s="576"/>
      <c r="G157" s="576"/>
      <c r="H157" s="468"/>
      <c r="I157" s="468"/>
      <c r="J157" s="468"/>
      <c r="K157" s="468"/>
    </row>
    <row r="158" spans="1:11" ht="12.75" customHeight="1" thickTop="1" thickBot="1" x14ac:dyDescent="0.25">
      <c r="A158" s="1522" t="s">
        <v>1110</v>
      </c>
      <c r="B158" s="574">
        <v>3705</v>
      </c>
      <c r="C158" s="576">
        <v>6975060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440580</v>
      </c>
      <c r="D171" s="580">
        <v>42014</v>
      </c>
      <c r="E171" s="580"/>
      <c r="F171" s="580"/>
      <c r="G171" s="581"/>
      <c r="H171" s="582"/>
      <c r="I171" s="581"/>
      <c r="J171" s="581"/>
      <c r="K171" s="582"/>
    </row>
    <row r="172" spans="1:11" ht="12.75" customHeight="1" thickTop="1" thickBot="1" x14ac:dyDescent="0.25">
      <c r="A172" s="2168" t="s">
        <v>417</v>
      </c>
      <c r="B172" s="2169"/>
      <c r="C172" s="1731">
        <f t="shared" ref="C172:K172" si="6">SUM(C131,C140,C144,C145:C149,C154,C155:C170,C171)</f>
        <v>15645113</v>
      </c>
      <c r="D172" s="1731">
        <f t="shared" si="6"/>
        <v>42014</v>
      </c>
      <c r="E172" s="1731">
        <f t="shared" si="6"/>
        <v>0</v>
      </c>
      <c r="F172" s="1731">
        <f t="shared" si="6"/>
        <v>7953485</v>
      </c>
      <c r="G172" s="1731">
        <f t="shared" si="6"/>
        <v>0</v>
      </c>
      <c r="H172" s="1731">
        <f t="shared" si="6"/>
        <v>0</v>
      </c>
      <c r="I172" s="1731">
        <f t="shared" si="6"/>
        <v>0</v>
      </c>
      <c r="J172" s="1731">
        <f t="shared" si="6"/>
        <v>0</v>
      </c>
      <c r="K172" s="1712">
        <f t="shared" si="6"/>
        <v>0</v>
      </c>
    </row>
    <row r="173" spans="1:11" ht="12.75" customHeight="1" thickTop="1" thickBot="1" x14ac:dyDescent="0.25">
      <c r="A173" s="1717" t="s">
        <v>418</v>
      </c>
      <c r="B173" s="1723" t="s">
        <v>595</v>
      </c>
      <c r="C173" s="1724">
        <f>SUM(C121,C172)</f>
        <v>133347994</v>
      </c>
      <c r="D173" s="1724">
        <f>SUM(D121,D172)</f>
        <v>112014</v>
      </c>
      <c r="E173" s="1724">
        <f>SUM(E121,E172)</f>
        <v>0</v>
      </c>
      <c r="F173" s="1724">
        <f t="shared" ref="F173:K173" si="7">SUM(F121,F172)</f>
        <v>7953485</v>
      </c>
      <c r="G173" s="1724">
        <f t="shared" si="7"/>
        <v>0</v>
      </c>
      <c r="H173" s="1724">
        <f t="shared" si="7"/>
        <v>293000</v>
      </c>
      <c r="I173" s="1724">
        <f t="shared" si="7"/>
        <v>0</v>
      </c>
      <c r="J173" s="1724">
        <f t="shared" si="7"/>
        <v>1979375</v>
      </c>
      <c r="K173" s="1711">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170" t="s">
        <v>1571</v>
      </c>
      <c r="B175" s="2171"/>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4" t="s">
        <v>1763</v>
      </c>
      <c r="B178" s="2175"/>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178" t="s">
        <v>1762</v>
      </c>
      <c r="B179" s="2179"/>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6" t="s">
        <v>817</v>
      </c>
      <c r="B184" s="2177"/>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172" t="s">
        <v>1903</v>
      </c>
      <c r="B185" s="2173"/>
      <c r="C185" s="584"/>
      <c r="D185" s="566"/>
      <c r="E185" s="509"/>
      <c r="F185" s="566"/>
      <c r="G185" s="566"/>
      <c r="H185" s="468"/>
      <c r="I185" s="468"/>
      <c r="J185" s="468"/>
      <c r="K185" s="468"/>
    </row>
    <row r="186" spans="1:11" ht="15.75" customHeight="1" x14ac:dyDescent="0.2">
      <c r="A186" s="1623" t="s">
        <v>1691</v>
      </c>
      <c r="B186" s="1624"/>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17" t="s">
        <v>1696</v>
      </c>
      <c r="B191" s="1718"/>
      <c r="C191" s="1716">
        <f>SUM(C187:C190)</f>
        <v>0</v>
      </c>
      <c r="D191" s="1716">
        <f>SUM(D187:D190)</f>
        <v>0</v>
      </c>
      <c r="E191" s="561"/>
      <c r="F191" s="1716">
        <f>SUM(F187:F190)</f>
        <v>0</v>
      </c>
      <c r="G191" s="1716">
        <f>SUM(G187:G190)</f>
        <v>0</v>
      </c>
      <c r="H191" s="468"/>
      <c r="I191" s="468"/>
      <c r="J191" s="468"/>
      <c r="K191" s="468"/>
    </row>
    <row r="192" spans="1:11" ht="15.75" customHeight="1" thickTop="1" x14ac:dyDescent="0.2">
      <c r="A192" s="1620" t="s">
        <v>474</v>
      </c>
      <c r="B192" s="1625"/>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6884195</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1456627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v>258796</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7" t="s">
        <v>568</v>
      </c>
      <c r="B201" s="1718"/>
      <c r="C201" s="1697">
        <f>SUM(C193:C200)</f>
        <v>8599618</v>
      </c>
      <c r="D201" s="468"/>
      <c r="E201" s="468"/>
      <c r="F201" s="468"/>
      <c r="G201" s="1697">
        <f>SUM(G193:G200)</f>
        <v>0</v>
      </c>
      <c r="H201" s="468"/>
      <c r="I201" s="468"/>
      <c r="J201" s="468"/>
      <c r="K201" s="468"/>
    </row>
    <row r="202" spans="1:11" ht="15.75" customHeight="1" thickTop="1" x14ac:dyDescent="0.2">
      <c r="A202" s="1620" t="s">
        <v>1199</v>
      </c>
      <c r="B202" s="1625"/>
      <c r="C202" s="553"/>
      <c r="D202" s="468"/>
      <c r="E202" s="468"/>
      <c r="F202" s="468"/>
      <c r="G202" s="468"/>
      <c r="H202" s="468"/>
      <c r="I202" s="468"/>
      <c r="J202" s="468"/>
      <c r="K202" s="468"/>
    </row>
    <row r="203" spans="1:11" ht="12.75" customHeight="1" x14ac:dyDescent="0.2">
      <c r="A203" s="463" t="s">
        <v>973</v>
      </c>
      <c r="B203" s="470">
        <v>4300</v>
      </c>
      <c r="C203" s="466">
        <v>6537664</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7" t="s">
        <v>419</v>
      </c>
      <c r="B211" s="1718"/>
      <c r="C211" s="1716">
        <f>SUM(C203:C210)</f>
        <v>6537664</v>
      </c>
      <c r="D211" s="1716">
        <f>SUM(D203:D210)</f>
        <v>0</v>
      </c>
      <c r="E211" s="468"/>
      <c r="F211" s="1716">
        <f>SUM(F203:F210)</f>
        <v>0</v>
      </c>
      <c r="G211" s="1716">
        <f>SUM(G203:G210)</f>
        <v>0</v>
      </c>
      <c r="H211" s="468"/>
      <c r="I211" s="468"/>
      <c r="J211" s="468"/>
      <c r="K211" s="468"/>
    </row>
    <row r="212" spans="1:11" ht="15.75" customHeight="1" thickTop="1" x14ac:dyDescent="0.2">
      <c r="A212" s="1620" t="s">
        <v>1200</v>
      </c>
      <c r="B212" s="1625"/>
      <c r="C212" s="553"/>
      <c r="D212" s="553"/>
      <c r="E212" s="468"/>
      <c r="F212" s="553"/>
      <c r="G212" s="553"/>
      <c r="H212" s="468"/>
      <c r="I212" s="468"/>
      <c r="J212" s="468"/>
      <c r="K212" s="468"/>
    </row>
    <row r="213" spans="1:11" ht="12.75" customHeight="1" x14ac:dyDescent="0.2">
      <c r="A213" s="463" t="s">
        <v>782</v>
      </c>
      <c r="B213" s="470">
        <v>4400</v>
      </c>
      <c r="C213" s="551">
        <v>40659</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7" t="s">
        <v>943</v>
      </c>
      <c r="B216" s="1718"/>
      <c r="C216" s="1716">
        <f>SUM(C213:C215)</f>
        <v>40659</v>
      </c>
      <c r="D216" s="1716">
        <f>SUM(D213:D215)</f>
        <v>0</v>
      </c>
      <c r="E216" s="468" t="s">
        <v>1230</v>
      </c>
      <c r="F216" s="1716">
        <f>SUM(F213:F215)</f>
        <v>0</v>
      </c>
      <c r="G216" s="1716">
        <f>SUM(G213:G215)</f>
        <v>0</v>
      </c>
      <c r="H216" s="468"/>
      <c r="I216" s="468"/>
      <c r="J216" s="468"/>
      <c r="K216" s="468"/>
    </row>
    <row r="217" spans="1:11" ht="15.75" customHeight="1" thickTop="1" x14ac:dyDescent="0.2">
      <c r="A217" s="1620" t="s">
        <v>1153</v>
      </c>
      <c r="B217" s="1625"/>
      <c r="C217" s="553"/>
      <c r="D217" s="553"/>
      <c r="E217" s="468"/>
      <c r="F217" s="553"/>
      <c r="G217" s="553"/>
      <c r="H217" s="468"/>
      <c r="I217" s="468"/>
      <c r="J217" s="468"/>
      <c r="K217" s="468"/>
    </row>
    <row r="218" spans="1:11" ht="12.75" customHeight="1" x14ac:dyDescent="0.2">
      <c r="A218" s="463" t="s">
        <v>1111</v>
      </c>
      <c r="B218" s="470">
        <v>4600</v>
      </c>
      <c r="C218" s="551">
        <v>137528</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2840346</v>
      </c>
      <c r="D220" s="466"/>
      <c r="E220" s="468"/>
      <c r="F220" s="466"/>
      <c r="G220" s="466"/>
      <c r="H220" s="468"/>
      <c r="I220" s="468"/>
      <c r="J220" s="468"/>
      <c r="K220" s="468"/>
    </row>
    <row r="221" spans="1:11" ht="12.75" customHeight="1" x14ac:dyDescent="0.2">
      <c r="A221" s="463" t="s">
        <v>1113</v>
      </c>
      <c r="B221" s="470">
        <v>4625</v>
      </c>
      <c r="C221" s="551">
        <v>1662</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17" t="s">
        <v>466</v>
      </c>
      <c r="B224" s="1718"/>
      <c r="C224" s="1716">
        <f>SUM(C218:C223)</f>
        <v>2979536</v>
      </c>
      <c r="D224" s="1716">
        <f>SUM(D218:D223)</f>
        <v>0</v>
      </c>
      <c r="E224" s="468"/>
      <c r="F224" s="1716">
        <f>SUM(F218:F223)</f>
        <v>0</v>
      </c>
      <c r="G224" s="1716">
        <f>SUM(G218:G223)</f>
        <v>0</v>
      </c>
      <c r="H224" s="468"/>
      <c r="I224" s="468"/>
      <c r="J224" s="468"/>
      <c r="K224" s="468"/>
    </row>
    <row r="225" spans="1:11" ht="15.75" customHeight="1" thickTop="1" x14ac:dyDescent="0.2">
      <c r="A225" s="1620" t="s">
        <v>1154</v>
      </c>
      <c r="B225" s="1625"/>
      <c r="C225" s="553"/>
      <c r="D225" s="553"/>
      <c r="E225" s="468"/>
      <c r="F225" s="553"/>
      <c r="G225" s="553"/>
      <c r="H225" s="468"/>
      <c r="I225" s="468"/>
      <c r="J225" s="468"/>
      <c r="K225" s="468"/>
    </row>
    <row r="226" spans="1:11" ht="12.75" customHeight="1" x14ac:dyDescent="0.2">
      <c r="A226" s="463" t="s">
        <v>819</v>
      </c>
      <c r="B226" s="470">
        <v>4770</v>
      </c>
      <c r="C226" s="551">
        <v>66762</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2" t="s">
        <v>1144</v>
      </c>
      <c r="B228" s="1733"/>
      <c r="C228" s="1716">
        <f>SUM(C226:C227)</f>
        <v>66762</v>
      </c>
      <c r="D228" s="1716">
        <f>SUM(D226:D227)</f>
        <v>0</v>
      </c>
      <c r="E228" s="468"/>
      <c r="F228" s="468"/>
      <c r="G228" s="1716">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4" t="s">
        <v>797</v>
      </c>
      <c r="B259" s="1735"/>
      <c r="C259" s="1727">
        <f t="shared" ref="C259:H259" si="9">SUM(C230:C258)</f>
        <v>0</v>
      </c>
      <c r="D259" s="1716">
        <f t="shared" si="9"/>
        <v>0</v>
      </c>
      <c r="E259" s="1716">
        <f t="shared" si="9"/>
        <v>0</v>
      </c>
      <c r="F259" s="1716">
        <f t="shared" si="9"/>
        <v>0</v>
      </c>
      <c r="G259" s="1716">
        <f t="shared" si="9"/>
        <v>0</v>
      </c>
      <c r="H259" s="1716">
        <f t="shared" si="9"/>
        <v>0</v>
      </c>
      <c r="I259" s="553"/>
      <c r="J259" s="1716">
        <f>SUM(J230:J258)</f>
        <v>0</v>
      </c>
      <c r="K259" s="1697">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v>57610</v>
      </c>
      <c r="D263" s="468"/>
      <c r="E263" s="468"/>
      <c r="F263" s="578"/>
      <c r="G263" s="573"/>
      <c r="H263" s="468"/>
      <c r="I263" s="468"/>
      <c r="J263" s="468"/>
      <c r="K263" s="468"/>
    </row>
    <row r="264" spans="1:11" ht="12.75" customHeight="1" thickTop="1" thickBot="1" x14ac:dyDescent="0.25">
      <c r="A264" s="463" t="s">
        <v>1531</v>
      </c>
      <c r="B264" s="470">
        <v>4909</v>
      </c>
      <c r="C264" s="576">
        <v>442539</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5000</v>
      </c>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176094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257214</v>
      </c>
      <c r="D270" s="576"/>
      <c r="E270" s="468"/>
      <c r="F270" s="576"/>
      <c r="G270" s="576"/>
      <c r="H270" s="468"/>
      <c r="I270" s="468"/>
      <c r="J270" s="468"/>
      <c r="K270" s="468"/>
    </row>
    <row r="271" spans="1:11" ht="12.75" customHeight="1" thickTop="1" thickBot="1" x14ac:dyDescent="0.25">
      <c r="A271" s="463" t="s">
        <v>394</v>
      </c>
      <c r="B271" s="470">
        <v>4992</v>
      </c>
      <c r="C271" s="575">
        <v>1085240</v>
      </c>
      <c r="D271" s="576"/>
      <c r="E271" s="468"/>
      <c r="F271" s="576"/>
      <c r="G271" s="576"/>
      <c r="H271" s="468"/>
      <c r="I271" s="468"/>
      <c r="J271" s="468"/>
      <c r="K271" s="468"/>
    </row>
    <row r="272" spans="1:11" s="594" customFormat="1" ht="12.75" customHeight="1" thickTop="1" thickBot="1" x14ac:dyDescent="0.25">
      <c r="A272" s="563" t="s">
        <v>77</v>
      </c>
      <c r="B272" s="557">
        <v>4999</v>
      </c>
      <c r="C272" s="575">
        <v>672980</v>
      </c>
      <c r="D272" s="576"/>
      <c r="E272" s="468"/>
      <c r="F272" s="576"/>
      <c r="G272" s="576"/>
      <c r="H272" s="530"/>
      <c r="I272" s="468"/>
      <c r="J272" s="468"/>
      <c r="K272" s="530"/>
    </row>
    <row r="273" spans="1:11" ht="14.25" thickTop="1" thickBot="1" x14ac:dyDescent="0.25">
      <c r="A273" s="1717" t="s">
        <v>1764</v>
      </c>
      <c r="B273" s="1736"/>
      <c r="C273" s="1724">
        <f t="shared" ref="C273:H273" si="10">SUM(C191,C201,C211,C216,C224,C228,C229,C259:C272)</f>
        <v>20920916</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1146</v>
      </c>
      <c r="B274" s="1738" t="s">
        <v>914</v>
      </c>
      <c r="C274" s="1724">
        <f>SUM(C178,C184,C273)</f>
        <v>20920916</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191735839</v>
      </c>
      <c r="D275" s="1724">
        <f t="shared" si="12"/>
        <v>5165912</v>
      </c>
      <c r="E275" s="1724">
        <f t="shared" si="12"/>
        <v>9784613</v>
      </c>
      <c r="F275" s="1724">
        <f t="shared" si="12"/>
        <v>14111785</v>
      </c>
      <c r="G275" s="1724">
        <f t="shared" si="12"/>
        <v>6935728</v>
      </c>
      <c r="H275" s="1724">
        <f t="shared" si="12"/>
        <v>293000</v>
      </c>
      <c r="I275" s="1724">
        <f t="shared" si="12"/>
        <v>132083</v>
      </c>
      <c r="J275" s="1724">
        <f t="shared" si="12"/>
        <v>3776319</v>
      </c>
      <c r="K275" s="1711">
        <f t="shared" si="12"/>
        <v>652334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activeCell="I47" sqref="I47"/>
      <selection pane="bottomLeft" activeCell="I47" sqref="I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6" t="s">
        <v>314</v>
      </c>
      <c r="B3" s="2187"/>
      <c r="C3" s="1568"/>
      <c r="D3" s="1568"/>
      <c r="E3" s="1568"/>
      <c r="F3" s="1568"/>
      <c r="G3" s="1568"/>
      <c r="H3" s="1568"/>
      <c r="I3" s="1568"/>
      <c r="J3" s="1568"/>
      <c r="K3" s="1569"/>
      <c r="L3" s="1570"/>
      <c r="M3" s="610"/>
      <c r="N3" s="610"/>
    </row>
    <row r="4" spans="1:14" s="259" customFormat="1" ht="15.75" customHeight="1" x14ac:dyDescent="0.2">
      <c r="A4" s="1626" t="s">
        <v>46</v>
      </c>
      <c r="B4" s="1627" t="s">
        <v>590</v>
      </c>
      <c r="C4" s="611"/>
      <c r="D4" s="611"/>
      <c r="E4" s="611"/>
      <c r="F4" s="611"/>
      <c r="G4" s="611"/>
      <c r="H4" s="611"/>
      <c r="I4" s="612"/>
      <c r="J4" s="611"/>
      <c r="K4" s="613"/>
      <c r="L4" s="611"/>
      <c r="M4" s="614"/>
      <c r="N4" s="614"/>
    </row>
    <row r="5" spans="1:14" x14ac:dyDescent="0.2">
      <c r="A5" s="1526" t="s">
        <v>1017</v>
      </c>
      <c r="B5" s="615">
        <v>1100</v>
      </c>
      <c r="C5" s="466">
        <v>46012654</v>
      </c>
      <c r="D5" s="466">
        <v>7038125</v>
      </c>
      <c r="E5" s="466">
        <v>1093787</v>
      </c>
      <c r="F5" s="466">
        <v>974089</v>
      </c>
      <c r="G5" s="466">
        <v>4968</v>
      </c>
      <c r="H5" s="466">
        <v>7684</v>
      </c>
      <c r="I5" s="467">
        <v>29081</v>
      </c>
      <c r="J5" s="467"/>
      <c r="K5" s="1680">
        <f>SUM(C5:J5)</f>
        <v>55160388</v>
      </c>
      <c r="L5" s="466">
        <v>55082272</v>
      </c>
    </row>
    <row r="6" spans="1:14" x14ac:dyDescent="0.2">
      <c r="A6" s="1526" t="s">
        <v>1507</v>
      </c>
      <c r="B6" s="615" t="s">
        <v>1505</v>
      </c>
      <c r="C6" s="477"/>
      <c r="D6" s="477"/>
      <c r="E6" s="466"/>
      <c r="F6" s="477"/>
      <c r="G6" s="477"/>
      <c r="H6" s="477"/>
      <c r="I6" s="477"/>
      <c r="J6" s="477"/>
      <c r="K6" s="1680">
        <f>SUM(C6,E6)</f>
        <v>0</v>
      </c>
      <c r="L6" s="466"/>
    </row>
    <row r="7" spans="1:14" x14ac:dyDescent="0.2">
      <c r="A7" s="1526" t="s">
        <v>165</v>
      </c>
      <c r="B7" s="615" t="s">
        <v>1023</v>
      </c>
      <c r="C7" s="467">
        <v>1748991</v>
      </c>
      <c r="D7" s="467">
        <v>303041</v>
      </c>
      <c r="E7" s="467">
        <v>13983</v>
      </c>
      <c r="F7" s="467">
        <v>243326</v>
      </c>
      <c r="G7" s="467"/>
      <c r="H7" s="467"/>
      <c r="I7" s="467"/>
      <c r="J7" s="467"/>
      <c r="K7" s="1680">
        <f t="shared" ref="K7:K32" si="0">SUM(C7:J7)</f>
        <v>2309341</v>
      </c>
      <c r="L7" s="466">
        <v>2311042</v>
      </c>
    </row>
    <row r="8" spans="1:14" x14ac:dyDescent="0.2">
      <c r="A8" s="1526" t="s">
        <v>166</v>
      </c>
      <c r="B8" s="615">
        <v>1200</v>
      </c>
      <c r="C8" s="466">
        <v>16992621</v>
      </c>
      <c r="D8" s="466">
        <v>3150527</v>
      </c>
      <c r="E8" s="466">
        <v>287763</v>
      </c>
      <c r="F8" s="466">
        <v>192596</v>
      </c>
      <c r="G8" s="466"/>
      <c r="H8" s="466">
        <v>5832615</v>
      </c>
      <c r="I8" s="467">
        <v>21760</v>
      </c>
      <c r="J8" s="467"/>
      <c r="K8" s="1680">
        <f t="shared" si="0"/>
        <v>26477882</v>
      </c>
      <c r="L8" s="466">
        <v>26903959</v>
      </c>
    </row>
    <row r="9" spans="1:14" x14ac:dyDescent="0.2">
      <c r="A9" s="1526" t="s">
        <v>744</v>
      </c>
      <c r="B9" s="615" t="s">
        <v>1024</v>
      </c>
      <c r="C9" s="467">
        <v>879960</v>
      </c>
      <c r="D9" s="467">
        <v>123919</v>
      </c>
      <c r="E9" s="467"/>
      <c r="F9" s="467">
        <v>1452</v>
      </c>
      <c r="G9" s="467"/>
      <c r="H9" s="467"/>
      <c r="I9" s="467"/>
      <c r="J9" s="467"/>
      <c r="K9" s="1680">
        <f t="shared" si="0"/>
        <v>1005331</v>
      </c>
      <c r="L9" s="466">
        <v>888468</v>
      </c>
    </row>
    <row r="10" spans="1:14" x14ac:dyDescent="0.2">
      <c r="A10" s="1526" t="s">
        <v>745</v>
      </c>
      <c r="B10" s="615">
        <v>1250</v>
      </c>
      <c r="C10" s="466">
        <v>1908750</v>
      </c>
      <c r="D10" s="466">
        <v>297995</v>
      </c>
      <c r="E10" s="466">
        <v>1183752</v>
      </c>
      <c r="F10" s="466">
        <v>2273321</v>
      </c>
      <c r="G10" s="466"/>
      <c r="H10" s="466">
        <v>34800</v>
      </c>
      <c r="I10" s="467">
        <v>1501</v>
      </c>
      <c r="J10" s="467"/>
      <c r="K10" s="1680">
        <f t="shared" si="0"/>
        <v>5700119</v>
      </c>
      <c r="L10" s="466">
        <v>7955369</v>
      </c>
    </row>
    <row r="11" spans="1:14" x14ac:dyDescent="0.2">
      <c r="A11" s="1526" t="s">
        <v>1191</v>
      </c>
      <c r="B11" s="615" t="s">
        <v>163</v>
      </c>
      <c r="C11" s="467">
        <v>281295</v>
      </c>
      <c r="D11" s="467">
        <v>82113</v>
      </c>
      <c r="E11" s="467"/>
      <c r="F11" s="467"/>
      <c r="G11" s="467"/>
      <c r="H11" s="467"/>
      <c r="I11" s="467"/>
      <c r="J11" s="467"/>
      <c r="K11" s="1680">
        <f t="shared" si="0"/>
        <v>363408</v>
      </c>
      <c r="L11" s="466">
        <v>338389</v>
      </c>
    </row>
    <row r="12" spans="1:14" x14ac:dyDescent="0.2">
      <c r="A12" s="1526" t="s">
        <v>1018</v>
      </c>
      <c r="B12" s="615">
        <v>1300</v>
      </c>
      <c r="C12" s="466"/>
      <c r="D12" s="466"/>
      <c r="E12" s="466"/>
      <c r="F12" s="466"/>
      <c r="G12" s="466"/>
      <c r="H12" s="466"/>
      <c r="I12" s="467"/>
      <c r="J12" s="467"/>
      <c r="K12" s="1680">
        <f t="shared" si="0"/>
        <v>0</v>
      </c>
      <c r="L12" s="466"/>
    </row>
    <row r="13" spans="1:14" x14ac:dyDescent="0.2">
      <c r="A13" s="1526" t="s">
        <v>746</v>
      </c>
      <c r="B13" s="615">
        <v>1400</v>
      </c>
      <c r="C13" s="466">
        <v>325</v>
      </c>
      <c r="D13" s="466">
        <v>-10</v>
      </c>
      <c r="E13" s="466">
        <v>18715</v>
      </c>
      <c r="F13" s="466">
        <v>56282</v>
      </c>
      <c r="G13" s="466"/>
      <c r="H13" s="466"/>
      <c r="I13" s="467">
        <v>30593</v>
      </c>
      <c r="J13" s="467"/>
      <c r="K13" s="1680">
        <f t="shared" si="0"/>
        <v>105905</v>
      </c>
      <c r="L13" s="466">
        <v>107095</v>
      </c>
    </row>
    <row r="14" spans="1:14" x14ac:dyDescent="0.2">
      <c r="A14" s="1526" t="s">
        <v>1019</v>
      </c>
      <c r="B14" s="615">
        <v>1500</v>
      </c>
      <c r="C14" s="466">
        <v>1234909</v>
      </c>
      <c r="D14" s="466">
        <v>49045</v>
      </c>
      <c r="E14" s="466">
        <v>290138</v>
      </c>
      <c r="F14" s="466">
        <v>190234</v>
      </c>
      <c r="G14" s="466">
        <v>10999</v>
      </c>
      <c r="H14" s="466">
        <v>980</v>
      </c>
      <c r="I14" s="467"/>
      <c r="J14" s="467"/>
      <c r="K14" s="1680">
        <f t="shared" si="0"/>
        <v>1776305</v>
      </c>
      <c r="L14" s="466">
        <v>1834946</v>
      </c>
    </row>
    <row r="15" spans="1:14" x14ac:dyDescent="0.2">
      <c r="A15" s="1526" t="s">
        <v>1020</v>
      </c>
      <c r="B15" s="615">
        <v>1600</v>
      </c>
      <c r="C15" s="466">
        <v>46747</v>
      </c>
      <c r="D15" s="466">
        <v>870</v>
      </c>
      <c r="E15" s="466"/>
      <c r="F15" s="466"/>
      <c r="G15" s="466"/>
      <c r="H15" s="466">
        <v>600</v>
      </c>
      <c r="I15" s="467"/>
      <c r="J15" s="467"/>
      <c r="K15" s="1680">
        <f t="shared" si="0"/>
        <v>48217</v>
      </c>
      <c r="L15" s="466">
        <v>95604</v>
      </c>
    </row>
    <row r="16" spans="1:14" x14ac:dyDescent="0.2">
      <c r="A16" s="1526" t="s">
        <v>1043</v>
      </c>
      <c r="B16" s="615" t="s">
        <v>443</v>
      </c>
      <c r="C16" s="466">
        <v>4061</v>
      </c>
      <c r="D16" s="466">
        <v>128</v>
      </c>
      <c r="E16" s="466"/>
      <c r="F16" s="466"/>
      <c r="G16" s="466"/>
      <c r="H16" s="466"/>
      <c r="I16" s="467"/>
      <c r="J16" s="467"/>
      <c r="K16" s="1680">
        <f t="shared" si="0"/>
        <v>4189</v>
      </c>
      <c r="L16" s="466">
        <v>0</v>
      </c>
    </row>
    <row r="17" spans="1:12" x14ac:dyDescent="0.2">
      <c r="A17" s="1526" t="s">
        <v>747</v>
      </c>
      <c r="B17" s="615" t="s">
        <v>164</v>
      </c>
      <c r="C17" s="467">
        <v>123940</v>
      </c>
      <c r="D17" s="467">
        <v>23755</v>
      </c>
      <c r="E17" s="467"/>
      <c r="F17" s="467"/>
      <c r="G17" s="467"/>
      <c r="H17" s="467"/>
      <c r="I17" s="467"/>
      <c r="J17" s="467"/>
      <c r="K17" s="1680">
        <f t="shared" si="0"/>
        <v>147695</v>
      </c>
      <c r="L17" s="466">
        <v>178331</v>
      </c>
    </row>
    <row r="18" spans="1:12" x14ac:dyDescent="0.2">
      <c r="A18" s="1526" t="s">
        <v>1147</v>
      </c>
      <c r="B18" s="615">
        <v>1800</v>
      </c>
      <c r="C18" s="466">
        <v>9880432</v>
      </c>
      <c r="D18" s="466">
        <v>1462855</v>
      </c>
      <c r="E18" s="466">
        <v>15421</v>
      </c>
      <c r="F18" s="466">
        <v>78684</v>
      </c>
      <c r="G18" s="466"/>
      <c r="H18" s="466"/>
      <c r="I18" s="467"/>
      <c r="J18" s="467"/>
      <c r="K18" s="1680">
        <f t="shared" si="0"/>
        <v>11437392</v>
      </c>
      <c r="L18" s="466">
        <v>11142169</v>
      </c>
    </row>
    <row r="19" spans="1:12" x14ac:dyDescent="0.2">
      <c r="A19" s="1526" t="s">
        <v>136</v>
      </c>
      <c r="B19" s="615">
        <v>1900</v>
      </c>
      <c r="C19" s="466">
        <v>291739</v>
      </c>
      <c r="D19" s="466">
        <v>39258</v>
      </c>
      <c r="E19" s="466">
        <v>48000</v>
      </c>
      <c r="F19" s="466"/>
      <c r="G19" s="466"/>
      <c r="H19" s="466"/>
      <c r="I19" s="467"/>
      <c r="J19" s="467"/>
      <c r="K19" s="1680">
        <f t="shared" si="0"/>
        <v>378997</v>
      </c>
      <c r="L19" s="466">
        <v>924677</v>
      </c>
    </row>
    <row r="20" spans="1:12" x14ac:dyDescent="0.2">
      <c r="A20" s="1527" t="s">
        <v>761</v>
      </c>
      <c r="B20" s="603" t="s">
        <v>748</v>
      </c>
      <c r="C20" s="477"/>
      <c r="D20" s="477"/>
      <c r="E20" s="477"/>
      <c r="F20" s="477"/>
      <c r="G20" s="477"/>
      <c r="H20" s="474"/>
      <c r="I20" s="617"/>
      <c r="J20" s="475"/>
      <c r="K20" s="1680">
        <f t="shared" si="0"/>
        <v>0</v>
      </c>
      <c r="L20" s="471"/>
    </row>
    <row r="21" spans="1:12" x14ac:dyDescent="0.2">
      <c r="A21" s="1527" t="s">
        <v>762</v>
      </c>
      <c r="B21" s="603" t="s">
        <v>749</v>
      </c>
      <c r="C21" s="477"/>
      <c r="D21" s="477"/>
      <c r="E21" s="477"/>
      <c r="F21" s="477"/>
      <c r="G21" s="477"/>
      <c r="H21" s="474"/>
      <c r="I21" s="617"/>
      <c r="J21" s="477"/>
      <c r="K21" s="1680">
        <f t="shared" si="0"/>
        <v>0</v>
      </c>
      <c r="L21" s="471"/>
    </row>
    <row r="22" spans="1:12" x14ac:dyDescent="0.2">
      <c r="A22" s="1527" t="s">
        <v>763</v>
      </c>
      <c r="B22" s="603" t="s">
        <v>750</v>
      </c>
      <c r="C22" s="477"/>
      <c r="D22" s="477"/>
      <c r="E22" s="477"/>
      <c r="F22" s="477"/>
      <c r="G22" s="477"/>
      <c r="H22" s="474"/>
      <c r="I22" s="617"/>
      <c r="J22" s="477"/>
      <c r="K22" s="1680">
        <f t="shared" si="0"/>
        <v>0</v>
      </c>
      <c r="L22" s="471"/>
    </row>
    <row r="23" spans="1:12" x14ac:dyDescent="0.2">
      <c r="A23" s="1527" t="s">
        <v>764</v>
      </c>
      <c r="B23" s="603" t="s">
        <v>751</v>
      </c>
      <c r="C23" s="477"/>
      <c r="D23" s="477"/>
      <c r="E23" s="477"/>
      <c r="F23" s="477"/>
      <c r="G23" s="477"/>
      <c r="H23" s="474"/>
      <c r="I23" s="617"/>
      <c r="J23" s="477"/>
      <c r="K23" s="1680">
        <f t="shared" si="0"/>
        <v>0</v>
      </c>
      <c r="L23" s="471"/>
    </row>
    <row r="24" spans="1:12" ht="12.75" customHeight="1" x14ac:dyDescent="0.2">
      <c r="A24" s="1527" t="s">
        <v>765</v>
      </c>
      <c r="B24" s="603" t="s">
        <v>752</v>
      </c>
      <c r="C24" s="477"/>
      <c r="D24" s="477"/>
      <c r="E24" s="477"/>
      <c r="F24" s="477"/>
      <c r="G24" s="477"/>
      <c r="H24" s="474"/>
      <c r="I24" s="617"/>
      <c r="J24" s="477"/>
      <c r="K24" s="1680">
        <f t="shared" si="0"/>
        <v>0</v>
      </c>
      <c r="L24" s="471"/>
    </row>
    <row r="25" spans="1:12" ht="12.75" customHeight="1" x14ac:dyDescent="0.2">
      <c r="A25" s="1527" t="s">
        <v>834</v>
      </c>
      <c r="B25" s="603" t="s">
        <v>753</v>
      </c>
      <c r="C25" s="477"/>
      <c r="D25" s="477"/>
      <c r="E25" s="477"/>
      <c r="F25" s="477"/>
      <c r="G25" s="477"/>
      <c r="H25" s="474"/>
      <c r="I25" s="617"/>
      <c r="J25" s="477"/>
      <c r="K25" s="1680">
        <f t="shared" si="0"/>
        <v>0</v>
      </c>
      <c r="L25" s="471"/>
    </row>
    <row r="26" spans="1:12" x14ac:dyDescent="0.2">
      <c r="A26" s="1527" t="s">
        <v>642</v>
      </c>
      <c r="B26" s="603" t="s">
        <v>754</v>
      </c>
      <c r="C26" s="477"/>
      <c r="D26" s="477"/>
      <c r="E26" s="477"/>
      <c r="F26" s="477"/>
      <c r="G26" s="477"/>
      <c r="H26" s="474"/>
      <c r="I26" s="617"/>
      <c r="J26" s="477"/>
      <c r="K26" s="1680">
        <f t="shared" si="0"/>
        <v>0</v>
      </c>
      <c r="L26" s="471"/>
    </row>
    <row r="27" spans="1:12" x14ac:dyDescent="0.2">
      <c r="A27" s="1527" t="s">
        <v>643</v>
      </c>
      <c r="B27" s="603" t="s">
        <v>755</v>
      </c>
      <c r="C27" s="477"/>
      <c r="D27" s="477"/>
      <c r="E27" s="477"/>
      <c r="F27" s="477"/>
      <c r="G27" s="477"/>
      <c r="H27" s="474"/>
      <c r="I27" s="617"/>
      <c r="J27" s="477"/>
      <c r="K27" s="1680">
        <f t="shared" si="0"/>
        <v>0</v>
      </c>
      <c r="L27" s="471"/>
    </row>
    <row r="28" spans="1:12" x14ac:dyDescent="0.2">
      <c r="A28" s="1527" t="s">
        <v>152</v>
      </c>
      <c r="B28" s="603" t="s">
        <v>756</v>
      </c>
      <c r="C28" s="477"/>
      <c r="D28" s="477"/>
      <c r="E28" s="477"/>
      <c r="F28" s="477"/>
      <c r="G28" s="477"/>
      <c r="H28" s="474"/>
      <c r="I28" s="617"/>
      <c r="J28" s="477"/>
      <c r="K28" s="1680">
        <f t="shared" si="0"/>
        <v>0</v>
      </c>
      <c r="L28" s="471"/>
    </row>
    <row r="29" spans="1:12" x14ac:dyDescent="0.2">
      <c r="A29" s="1527" t="s">
        <v>153</v>
      </c>
      <c r="B29" s="603" t="s">
        <v>757</v>
      </c>
      <c r="C29" s="477"/>
      <c r="D29" s="477"/>
      <c r="E29" s="477"/>
      <c r="F29" s="477"/>
      <c r="G29" s="477"/>
      <c r="H29" s="474"/>
      <c r="I29" s="617"/>
      <c r="J29" s="477"/>
      <c r="K29" s="1680">
        <f t="shared" si="0"/>
        <v>0</v>
      </c>
      <c r="L29" s="471"/>
    </row>
    <row r="30" spans="1:12" x14ac:dyDescent="0.2">
      <c r="A30" s="1527" t="s">
        <v>154</v>
      </c>
      <c r="B30" s="603" t="s">
        <v>758</v>
      </c>
      <c r="C30" s="477"/>
      <c r="D30" s="477"/>
      <c r="E30" s="477"/>
      <c r="F30" s="477"/>
      <c r="G30" s="477"/>
      <c r="H30" s="474"/>
      <c r="I30" s="617"/>
      <c r="J30" s="477"/>
      <c r="K30" s="1680">
        <f t="shared" si="0"/>
        <v>0</v>
      </c>
      <c r="L30" s="471"/>
    </row>
    <row r="31" spans="1:12" x14ac:dyDescent="0.2">
      <c r="A31" s="1527" t="s">
        <v>155</v>
      </c>
      <c r="B31" s="603" t="s">
        <v>759</v>
      </c>
      <c r="C31" s="477"/>
      <c r="D31" s="477"/>
      <c r="E31" s="477"/>
      <c r="F31" s="477"/>
      <c r="G31" s="477"/>
      <c r="H31" s="474"/>
      <c r="I31" s="617"/>
      <c r="J31" s="477"/>
      <c r="K31" s="1680">
        <f t="shared" si="0"/>
        <v>0</v>
      </c>
      <c r="L31" s="471"/>
    </row>
    <row r="32" spans="1:12" x14ac:dyDescent="0.2">
      <c r="A32" s="1528" t="s">
        <v>1190</v>
      </c>
      <c r="B32" s="615" t="s">
        <v>760</v>
      </c>
      <c r="C32" s="477"/>
      <c r="D32" s="477"/>
      <c r="E32" s="477"/>
      <c r="F32" s="477"/>
      <c r="G32" s="477"/>
      <c r="H32" s="474"/>
      <c r="I32" s="617"/>
      <c r="J32" s="480"/>
      <c r="K32" s="1680">
        <f t="shared" si="0"/>
        <v>0</v>
      </c>
      <c r="L32" s="471"/>
    </row>
    <row r="33" spans="1:14" ht="12.75" customHeight="1" thickBot="1" x14ac:dyDescent="0.25">
      <c r="A33" s="1677" t="s">
        <v>1766</v>
      </c>
      <c r="B33" s="1678" t="s">
        <v>590</v>
      </c>
      <c r="C33" s="1679">
        <f>SUM(C5:C32)</f>
        <v>79406424</v>
      </c>
      <c r="D33" s="1679">
        <f t="shared" ref="D33:L33" si="1">SUM(D5:D32)</f>
        <v>12571621</v>
      </c>
      <c r="E33" s="1679">
        <f t="shared" si="1"/>
        <v>2951559</v>
      </c>
      <c r="F33" s="1679">
        <f t="shared" si="1"/>
        <v>4009984</v>
      </c>
      <c r="G33" s="1679">
        <f t="shared" si="1"/>
        <v>15967</v>
      </c>
      <c r="H33" s="1679">
        <f t="shared" si="1"/>
        <v>5876679</v>
      </c>
      <c r="I33" s="1679">
        <f t="shared" si="1"/>
        <v>82935</v>
      </c>
      <c r="J33" s="1679">
        <f t="shared" si="1"/>
        <v>0</v>
      </c>
      <c r="K33" s="1679">
        <f t="shared" si="1"/>
        <v>104915169</v>
      </c>
      <c r="L33" s="1679">
        <f t="shared" si="1"/>
        <v>107762321</v>
      </c>
    </row>
    <row r="34" spans="1:14" s="621" customFormat="1" ht="15.75" customHeight="1" thickTop="1" x14ac:dyDescent="0.2">
      <c r="A34" s="1628" t="s">
        <v>48</v>
      </c>
      <c r="B34" s="1629"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4272918</v>
      </c>
      <c r="D36" s="481">
        <v>817946</v>
      </c>
      <c r="E36" s="481">
        <v>247243</v>
      </c>
      <c r="F36" s="481">
        <v>31356</v>
      </c>
      <c r="G36" s="481"/>
      <c r="H36" s="481"/>
      <c r="I36" s="467"/>
      <c r="J36" s="467"/>
      <c r="K36" s="1680">
        <f t="shared" ref="K36:K41" si="2">SUM(C36:J36)</f>
        <v>5369463</v>
      </c>
      <c r="L36" s="466">
        <v>5491607</v>
      </c>
    </row>
    <row r="37" spans="1:14" x14ac:dyDescent="0.2">
      <c r="A37" s="1526" t="s">
        <v>1150</v>
      </c>
      <c r="B37" s="615">
        <v>2120</v>
      </c>
      <c r="C37" s="466">
        <v>2602924</v>
      </c>
      <c r="D37" s="466">
        <v>445760</v>
      </c>
      <c r="E37" s="466">
        <v>61290</v>
      </c>
      <c r="F37" s="466"/>
      <c r="G37" s="466"/>
      <c r="H37" s="466"/>
      <c r="I37" s="467"/>
      <c r="J37" s="467"/>
      <c r="K37" s="1680">
        <f t="shared" si="2"/>
        <v>3109974</v>
      </c>
      <c r="L37" s="466">
        <v>3156905</v>
      </c>
    </row>
    <row r="38" spans="1:14" x14ac:dyDescent="0.2">
      <c r="A38" s="1526" t="s">
        <v>207</v>
      </c>
      <c r="B38" s="615">
        <v>2130</v>
      </c>
      <c r="C38" s="466">
        <v>2965793</v>
      </c>
      <c r="D38" s="466">
        <v>362332</v>
      </c>
      <c r="E38" s="466">
        <v>364495</v>
      </c>
      <c r="F38" s="466">
        <v>81568</v>
      </c>
      <c r="G38" s="466"/>
      <c r="H38" s="466"/>
      <c r="I38" s="467">
        <v>1768</v>
      </c>
      <c r="J38" s="467"/>
      <c r="K38" s="1680">
        <f t="shared" si="2"/>
        <v>3775956</v>
      </c>
      <c r="L38" s="466">
        <v>3712907</v>
      </c>
    </row>
    <row r="39" spans="1:14" x14ac:dyDescent="0.2">
      <c r="A39" s="1526" t="s">
        <v>208</v>
      </c>
      <c r="B39" s="615">
        <v>2140</v>
      </c>
      <c r="C39" s="466">
        <v>1577361</v>
      </c>
      <c r="D39" s="466">
        <v>247725</v>
      </c>
      <c r="E39" s="466">
        <v>320910</v>
      </c>
      <c r="F39" s="466">
        <v>21850</v>
      </c>
      <c r="G39" s="466"/>
      <c r="H39" s="466"/>
      <c r="I39" s="467"/>
      <c r="J39" s="467"/>
      <c r="K39" s="1680">
        <f t="shared" si="2"/>
        <v>2167846</v>
      </c>
      <c r="L39" s="466">
        <v>2068241</v>
      </c>
    </row>
    <row r="40" spans="1:14" x14ac:dyDescent="0.2">
      <c r="A40" s="1526" t="s">
        <v>209</v>
      </c>
      <c r="B40" s="615">
        <v>2150</v>
      </c>
      <c r="C40" s="466">
        <v>1910146</v>
      </c>
      <c r="D40" s="466">
        <v>212283</v>
      </c>
      <c r="E40" s="466">
        <v>1357247</v>
      </c>
      <c r="F40" s="466">
        <v>16098</v>
      </c>
      <c r="G40" s="466"/>
      <c r="H40" s="466"/>
      <c r="I40" s="467"/>
      <c r="J40" s="467"/>
      <c r="K40" s="1680">
        <f t="shared" si="2"/>
        <v>3495774</v>
      </c>
      <c r="L40" s="466">
        <v>3425316</v>
      </c>
    </row>
    <row r="41" spans="1:14" x14ac:dyDescent="0.2">
      <c r="A41" s="1526" t="s">
        <v>1767</v>
      </c>
      <c r="B41" s="615">
        <v>2190</v>
      </c>
      <c r="C41" s="466"/>
      <c r="D41" s="466"/>
      <c r="E41" s="466"/>
      <c r="F41" s="466"/>
      <c r="G41" s="466"/>
      <c r="H41" s="466"/>
      <c r="I41" s="467"/>
      <c r="J41" s="467"/>
      <c r="K41" s="1680">
        <f t="shared" si="2"/>
        <v>0</v>
      </c>
      <c r="L41" s="466"/>
    </row>
    <row r="42" spans="1:14" ht="12.75" customHeight="1" thickBot="1" x14ac:dyDescent="0.25">
      <c r="A42" s="1677" t="s">
        <v>580</v>
      </c>
      <c r="B42" s="1678" t="s">
        <v>739</v>
      </c>
      <c r="C42" s="1679">
        <f>SUM(C36:C41)</f>
        <v>13329142</v>
      </c>
      <c r="D42" s="1679">
        <f t="shared" ref="D42:L42" si="3">SUM(D36:D41)</f>
        <v>2086046</v>
      </c>
      <c r="E42" s="1679">
        <f t="shared" si="3"/>
        <v>2351185</v>
      </c>
      <c r="F42" s="1679">
        <f t="shared" si="3"/>
        <v>150872</v>
      </c>
      <c r="G42" s="1679">
        <f t="shared" si="3"/>
        <v>0</v>
      </c>
      <c r="H42" s="1679">
        <f t="shared" si="3"/>
        <v>0</v>
      </c>
      <c r="I42" s="1679">
        <f t="shared" si="3"/>
        <v>1768</v>
      </c>
      <c r="J42" s="1679">
        <f t="shared" si="3"/>
        <v>0</v>
      </c>
      <c r="K42" s="1679">
        <f t="shared" si="3"/>
        <v>17919013</v>
      </c>
      <c r="L42" s="1679">
        <f t="shared" si="3"/>
        <v>17854976</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5169903</v>
      </c>
      <c r="D44" s="481">
        <v>729364</v>
      </c>
      <c r="E44" s="481">
        <v>1932381</v>
      </c>
      <c r="F44" s="481">
        <v>487269</v>
      </c>
      <c r="G44" s="481">
        <v>11704</v>
      </c>
      <c r="H44" s="481">
        <v>33271</v>
      </c>
      <c r="I44" s="467">
        <v>31560</v>
      </c>
      <c r="J44" s="467"/>
      <c r="K44" s="1681">
        <f>SUM(C44:J44)</f>
        <v>8395452</v>
      </c>
      <c r="L44" s="481">
        <v>10297811</v>
      </c>
    </row>
    <row r="45" spans="1:14" x14ac:dyDescent="0.2">
      <c r="A45" s="1526" t="s">
        <v>868</v>
      </c>
      <c r="B45" s="615">
        <v>2220</v>
      </c>
      <c r="C45" s="466">
        <v>887565</v>
      </c>
      <c r="D45" s="466">
        <v>188577</v>
      </c>
      <c r="E45" s="466"/>
      <c r="F45" s="466">
        <v>13203</v>
      </c>
      <c r="G45" s="466"/>
      <c r="H45" s="466"/>
      <c r="I45" s="467">
        <v>84611</v>
      </c>
      <c r="J45" s="467"/>
      <c r="K45" s="1681">
        <f>SUM(C45:J45)</f>
        <v>1173956</v>
      </c>
      <c r="L45" s="466">
        <v>1456061</v>
      </c>
    </row>
    <row r="46" spans="1:14" x14ac:dyDescent="0.2">
      <c r="A46" s="1526" t="s">
        <v>869</v>
      </c>
      <c r="B46" s="615">
        <v>2230</v>
      </c>
      <c r="C46" s="466">
        <v>233672</v>
      </c>
      <c r="D46" s="466">
        <v>24300</v>
      </c>
      <c r="E46" s="466">
        <v>455135</v>
      </c>
      <c r="F46" s="466">
        <v>4401</v>
      </c>
      <c r="G46" s="466"/>
      <c r="H46" s="466"/>
      <c r="I46" s="467"/>
      <c r="J46" s="467"/>
      <c r="K46" s="1681">
        <f>SUM(C46:J46)</f>
        <v>717508</v>
      </c>
      <c r="L46" s="466">
        <v>832860</v>
      </c>
    </row>
    <row r="47" spans="1:14" ht="12.75" customHeight="1" thickBot="1" x14ac:dyDescent="0.25">
      <c r="A47" s="1677" t="s">
        <v>581</v>
      </c>
      <c r="B47" s="1678" t="s">
        <v>32</v>
      </c>
      <c r="C47" s="1679">
        <f>SUM(C44:C46)</f>
        <v>6291140</v>
      </c>
      <c r="D47" s="1679">
        <f t="shared" ref="D47:K47" si="4">SUM(D44:D46)</f>
        <v>942241</v>
      </c>
      <c r="E47" s="1679">
        <f t="shared" si="4"/>
        <v>2387516</v>
      </c>
      <c r="F47" s="1679">
        <f t="shared" si="4"/>
        <v>504873</v>
      </c>
      <c r="G47" s="1679">
        <f t="shared" si="4"/>
        <v>11704</v>
      </c>
      <c r="H47" s="1679">
        <f t="shared" si="4"/>
        <v>33271</v>
      </c>
      <c r="I47" s="1679">
        <f t="shared" si="4"/>
        <v>116171</v>
      </c>
      <c r="J47" s="1679">
        <f t="shared" si="4"/>
        <v>0</v>
      </c>
      <c r="K47" s="1679">
        <f t="shared" si="4"/>
        <v>10286916</v>
      </c>
      <c r="L47" s="1679">
        <f>SUM(L44:L46)</f>
        <v>12586732</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154172</v>
      </c>
      <c r="F49" s="481">
        <v>7748</v>
      </c>
      <c r="G49" s="481"/>
      <c r="H49" s="481">
        <v>468</v>
      </c>
      <c r="I49" s="467"/>
      <c r="J49" s="467"/>
      <c r="K49" s="1681">
        <f>SUM(C49:J49)</f>
        <v>162388</v>
      </c>
      <c r="L49" s="481">
        <v>216520</v>
      </c>
    </row>
    <row r="50" spans="1:14" x14ac:dyDescent="0.2">
      <c r="A50" s="1526" t="s">
        <v>871</v>
      </c>
      <c r="B50" s="615">
        <v>2320</v>
      </c>
      <c r="C50" s="466">
        <v>308385</v>
      </c>
      <c r="D50" s="466">
        <v>26267</v>
      </c>
      <c r="E50" s="466">
        <v>76857</v>
      </c>
      <c r="F50" s="466">
        <v>28545</v>
      </c>
      <c r="G50" s="466"/>
      <c r="H50" s="466">
        <v>22246</v>
      </c>
      <c r="I50" s="467"/>
      <c r="J50" s="467"/>
      <c r="K50" s="1681">
        <f>SUM(C50:J50)</f>
        <v>462300</v>
      </c>
      <c r="L50" s="466">
        <v>547731</v>
      </c>
    </row>
    <row r="51" spans="1:14" x14ac:dyDescent="0.2">
      <c r="A51" s="1526" t="s">
        <v>44</v>
      </c>
      <c r="B51" s="615">
        <v>2330</v>
      </c>
      <c r="C51" s="466"/>
      <c r="D51" s="466"/>
      <c r="E51" s="466"/>
      <c r="F51" s="466"/>
      <c r="G51" s="466"/>
      <c r="H51" s="466"/>
      <c r="I51" s="467"/>
      <c r="J51" s="467"/>
      <c r="K51" s="1681">
        <f>SUM(C51:J51)</f>
        <v>0</v>
      </c>
      <c r="L51" s="466"/>
    </row>
    <row r="52" spans="1:14" ht="22.5" x14ac:dyDescent="0.2">
      <c r="A52" s="1527" t="s">
        <v>315</v>
      </c>
      <c r="B52" s="628" t="s">
        <v>383</v>
      </c>
      <c r="C52" s="474">
        <v>207257</v>
      </c>
      <c r="D52" s="474">
        <v>10538</v>
      </c>
      <c r="E52" s="474">
        <v>14728</v>
      </c>
      <c r="F52" s="474">
        <v>1353</v>
      </c>
      <c r="G52" s="474"/>
      <c r="H52" s="474">
        <v>1305</v>
      </c>
      <c r="I52" s="474"/>
      <c r="J52" s="474"/>
      <c r="K52" s="1681">
        <f>SUM(C52:J52)</f>
        <v>235181</v>
      </c>
      <c r="L52" s="474">
        <v>235424</v>
      </c>
    </row>
    <row r="53" spans="1:14" ht="12.75" customHeight="1" thickBot="1" x14ac:dyDescent="0.25">
      <c r="A53" s="1677" t="s">
        <v>740</v>
      </c>
      <c r="B53" s="1678" t="s">
        <v>33</v>
      </c>
      <c r="C53" s="1679">
        <f>SUM(C49:C52)</f>
        <v>515642</v>
      </c>
      <c r="D53" s="1679">
        <f t="shared" ref="D53:L53" si="5">SUM(D49:D52)</f>
        <v>36805</v>
      </c>
      <c r="E53" s="1679">
        <f t="shared" si="5"/>
        <v>245757</v>
      </c>
      <c r="F53" s="1679">
        <f t="shared" si="5"/>
        <v>37646</v>
      </c>
      <c r="G53" s="1679">
        <f t="shared" si="5"/>
        <v>0</v>
      </c>
      <c r="H53" s="1679">
        <f t="shared" si="5"/>
        <v>24019</v>
      </c>
      <c r="I53" s="1679">
        <f t="shared" si="5"/>
        <v>0</v>
      </c>
      <c r="J53" s="1679">
        <f t="shared" si="5"/>
        <v>0</v>
      </c>
      <c r="K53" s="1679">
        <f t="shared" si="5"/>
        <v>859869</v>
      </c>
      <c r="L53" s="1679">
        <f t="shared" si="5"/>
        <v>999675</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5830127</v>
      </c>
      <c r="D55" s="481">
        <v>900660</v>
      </c>
      <c r="E55" s="481"/>
      <c r="F55" s="481"/>
      <c r="G55" s="481"/>
      <c r="H55" s="481"/>
      <c r="I55" s="467"/>
      <c r="J55" s="467"/>
      <c r="K55" s="1681">
        <f>SUM(C55:J55)</f>
        <v>6730787</v>
      </c>
      <c r="L55" s="481">
        <v>8595595</v>
      </c>
    </row>
    <row r="56" spans="1:14" ht="12.75" customHeight="1" x14ac:dyDescent="0.2">
      <c r="A56" s="1530" t="s">
        <v>393</v>
      </c>
      <c r="B56" s="629">
        <v>2490</v>
      </c>
      <c r="C56" s="466"/>
      <c r="D56" s="466"/>
      <c r="E56" s="466"/>
      <c r="F56" s="466"/>
      <c r="G56" s="466"/>
      <c r="H56" s="466"/>
      <c r="I56" s="467"/>
      <c r="J56" s="467"/>
      <c r="K56" s="1681">
        <f>SUM(C56:J56)</f>
        <v>0</v>
      </c>
      <c r="L56" s="466"/>
    </row>
    <row r="57" spans="1:14" s="343" customFormat="1" ht="12.75" customHeight="1" thickBot="1" x14ac:dyDescent="0.25">
      <c r="A57" s="1677" t="s">
        <v>281</v>
      </c>
      <c r="B57" s="1682" t="s">
        <v>34</v>
      </c>
      <c r="C57" s="1683">
        <f>SUM(C55:C56)</f>
        <v>5830127</v>
      </c>
      <c r="D57" s="1683">
        <f t="shared" ref="D57:K57" si="6">SUM(D55:D56)</f>
        <v>900660</v>
      </c>
      <c r="E57" s="1683">
        <f t="shared" si="6"/>
        <v>0</v>
      </c>
      <c r="F57" s="1683">
        <f t="shared" si="6"/>
        <v>0</v>
      </c>
      <c r="G57" s="1683">
        <f t="shared" si="6"/>
        <v>0</v>
      </c>
      <c r="H57" s="1683">
        <f t="shared" si="6"/>
        <v>0</v>
      </c>
      <c r="I57" s="1683">
        <f t="shared" si="6"/>
        <v>0</v>
      </c>
      <c r="J57" s="1683">
        <f t="shared" si="6"/>
        <v>0</v>
      </c>
      <c r="K57" s="1683">
        <f t="shared" si="6"/>
        <v>6730787</v>
      </c>
      <c r="L57" s="1679">
        <f>SUM(L55:L56)</f>
        <v>8595595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319390</v>
      </c>
      <c r="D59" s="481">
        <v>26991</v>
      </c>
      <c r="E59" s="481">
        <v>408</v>
      </c>
      <c r="F59" s="481"/>
      <c r="G59" s="481"/>
      <c r="H59" s="481"/>
      <c r="I59" s="467"/>
      <c r="J59" s="467"/>
      <c r="K59" s="1681">
        <f t="shared" ref="K59:K64" si="7">SUM(C59:J59)</f>
        <v>346789</v>
      </c>
      <c r="L59" s="481">
        <v>341343</v>
      </c>
      <c r="M59" s="610"/>
      <c r="N59" s="610"/>
    </row>
    <row r="60" spans="1:14" s="343" customFormat="1" x14ac:dyDescent="0.2">
      <c r="A60" s="1526" t="s">
        <v>482</v>
      </c>
      <c r="B60" s="615">
        <v>2520</v>
      </c>
      <c r="C60" s="466">
        <v>1224541</v>
      </c>
      <c r="D60" s="466">
        <v>149555</v>
      </c>
      <c r="E60" s="466">
        <v>149901</v>
      </c>
      <c r="F60" s="466">
        <v>15671</v>
      </c>
      <c r="G60" s="466"/>
      <c r="H60" s="466">
        <v>3134</v>
      </c>
      <c r="I60" s="467"/>
      <c r="J60" s="467"/>
      <c r="K60" s="1681">
        <f t="shared" si="7"/>
        <v>1542802</v>
      </c>
      <c r="L60" s="466">
        <v>2036237</v>
      </c>
      <c r="M60" s="610"/>
      <c r="N60" s="610"/>
    </row>
    <row r="61" spans="1:14" s="343" customFormat="1" x14ac:dyDescent="0.2">
      <c r="A61" s="1526" t="s">
        <v>206</v>
      </c>
      <c r="B61" s="615">
        <v>2540</v>
      </c>
      <c r="C61" s="466">
        <v>4900124</v>
      </c>
      <c r="D61" s="466">
        <v>717543</v>
      </c>
      <c r="E61" s="466">
        <v>27629</v>
      </c>
      <c r="F61" s="466">
        <v>35000</v>
      </c>
      <c r="G61" s="466"/>
      <c r="H61" s="466">
        <v>240</v>
      </c>
      <c r="I61" s="467">
        <v>9670</v>
      </c>
      <c r="J61" s="467"/>
      <c r="K61" s="1681">
        <f t="shared" si="7"/>
        <v>5690206</v>
      </c>
      <c r="L61" s="466">
        <v>5967502</v>
      </c>
      <c r="M61" s="610"/>
      <c r="N61" s="610"/>
    </row>
    <row r="62" spans="1:14" s="343" customFormat="1" x14ac:dyDescent="0.2">
      <c r="A62" s="1526" t="s">
        <v>1009</v>
      </c>
      <c r="B62" s="615">
        <v>2550</v>
      </c>
      <c r="C62" s="466"/>
      <c r="D62" s="466"/>
      <c r="E62" s="466">
        <v>919375</v>
      </c>
      <c r="F62" s="466"/>
      <c r="G62" s="466"/>
      <c r="H62" s="466"/>
      <c r="I62" s="467"/>
      <c r="J62" s="467"/>
      <c r="K62" s="1681">
        <f t="shared" si="7"/>
        <v>919375</v>
      </c>
      <c r="L62" s="466">
        <v>1208327</v>
      </c>
      <c r="M62" s="610"/>
      <c r="N62" s="610"/>
    </row>
    <row r="63" spans="1:14" s="610" customFormat="1" x14ac:dyDescent="0.2">
      <c r="A63" s="1526" t="s">
        <v>102</v>
      </c>
      <c r="B63" s="615">
        <v>2560</v>
      </c>
      <c r="C63" s="466">
        <v>333019</v>
      </c>
      <c r="D63" s="466">
        <v>78516</v>
      </c>
      <c r="E63" s="466">
        <v>6188390</v>
      </c>
      <c r="F63" s="466">
        <v>149986</v>
      </c>
      <c r="G63" s="466">
        <v>9889</v>
      </c>
      <c r="H63" s="466">
        <v>1433</v>
      </c>
      <c r="I63" s="467"/>
      <c r="J63" s="467"/>
      <c r="K63" s="1681">
        <f t="shared" si="7"/>
        <v>6761233</v>
      </c>
      <c r="L63" s="466">
        <v>7395857</v>
      </c>
    </row>
    <row r="64" spans="1:14" s="610" customFormat="1" x14ac:dyDescent="0.2">
      <c r="A64" s="1531" t="s">
        <v>103</v>
      </c>
      <c r="B64" s="631">
        <v>2570</v>
      </c>
      <c r="C64" s="481">
        <v>390368</v>
      </c>
      <c r="D64" s="481">
        <v>58846</v>
      </c>
      <c r="E64" s="481">
        <v>5971</v>
      </c>
      <c r="F64" s="481">
        <v>115209</v>
      </c>
      <c r="G64" s="481"/>
      <c r="H64" s="481">
        <v>1569</v>
      </c>
      <c r="I64" s="467"/>
      <c r="J64" s="467"/>
      <c r="K64" s="1681">
        <f t="shared" si="7"/>
        <v>571963</v>
      </c>
      <c r="L64" s="481">
        <v>471039</v>
      </c>
    </row>
    <row r="65" spans="1:14" s="343" customFormat="1" ht="12.75" customHeight="1" thickBot="1" x14ac:dyDescent="0.25">
      <c r="A65" s="1677" t="s">
        <v>742</v>
      </c>
      <c r="B65" s="1678" t="s">
        <v>35</v>
      </c>
      <c r="C65" s="1679">
        <f>SUM(C59:C64)</f>
        <v>7167442</v>
      </c>
      <c r="D65" s="1679">
        <f t="shared" ref="D65:L65" si="8">SUM(D59:D64)</f>
        <v>1031451</v>
      </c>
      <c r="E65" s="1679">
        <f t="shared" si="8"/>
        <v>7291674</v>
      </c>
      <c r="F65" s="1679">
        <f t="shared" si="8"/>
        <v>315866</v>
      </c>
      <c r="G65" s="1679">
        <f t="shared" si="8"/>
        <v>9889</v>
      </c>
      <c r="H65" s="1679">
        <f t="shared" si="8"/>
        <v>6376</v>
      </c>
      <c r="I65" s="1679">
        <f t="shared" si="8"/>
        <v>9670</v>
      </c>
      <c r="J65" s="1679">
        <f t="shared" si="8"/>
        <v>0</v>
      </c>
      <c r="K65" s="1679">
        <f t="shared" si="8"/>
        <v>15832368</v>
      </c>
      <c r="L65" s="1679">
        <f t="shared" si="8"/>
        <v>17420305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81">
        <f>SUM(C67:J67)</f>
        <v>0</v>
      </c>
      <c r="L67" s="481"/>
      <c r="M67" s="610"/>
      <c r="N67" s="610"/>
    </row>
    <row r="68" spans="1:14" s="343" customFormat="1" x14ac:dyDescent="0.2">
      <c r="A68" s="1526" t="s">
        <v>627</v>
      </c>
      <c r="B68" s="615">
        <v>2620</v>
      </c>
      <c r="C68" s="466"/>
      <c r="D68" s="466"/>
      <c r="E68" s="466">
        <v>2574</v>
      </c>
      <c r="F68" s="466"/>
      <c r="G68" s="466"/>
      <c r="H68" s="466"/>
      <c r="I68" s="467"/>
      <c r="J68" s="467"/>
      <c r="K68" s="1681">
        <f>SUM(C68:J68)</f>
        <v>2574</v>
      </c>
      <c r="L68" s="466">
        <v>900</v>
      </c>
      <c r="M68" s="610"/>
      <c r="N68" s="610"/>
    </row>
    <row r="69" spans="1:14" s="343" customFormat="1" x14ac:dyDescent="0.2">
      <c r="A69" s="1526" t="s">
        <v>1120</v>
      </c>
      <c r="B69" s="615">
        <v>2630</v>
      </c>
      <c r="C69" s="466">
        <v>184823</v>
      </c>
      <c r="D69" s="466">
        <v>25970</v>
      </c>
      <c r="E69" s="466">
        <v>25</v>
      </c>
      <c r="F69" s="466">
        <v>84</v>
      </c>
      <c r="G69" s="466"/>
      <c r="H69" s="466"/>
      <c r="I69" s="467"/>
      <c r="J69" s="467"/>
      <c r="K69" s="1681">
        <f>SUM(C69:J69)</f>
        <v>210902</v>
      </c>
      <c r="L69" s="466">
        <v>191977</v>
      </c>
      <c r="M69" s="610"/>
      <c r="N69" s="610"/>
    </row>
    <row r="70" spans="1:14" s="343" customFormat="1" x14ac:dyDescent="0.2">
      <c r="A70" s="1526" t="s">
        <v>422</v>
      </c>
      <c r="B70" s="615">
        <v>2640</v>
      </c>
      <c r="C70" s="466">
        <v>574895</v>
      </c>
      <c r="D70" s="466">
        <v>151037</v>
      </c>
      <c r="E70" s="466">
        <v>146135</v>
      </c>
      <c r="F70" s="466">
        <v>5525</v>
      </c>
      <c r="G70" s="466"/>
      <c r="H70" s="466">
        <v>626</v>
      </c>
      <c r="I70" s="467"/>
      <c r="J70" s="467"/>
      <c r="K70" s="1681">
        <f>SUM(C70:J70)</f>
        <v>878218</v>
      </c>
      <c r="L70" s="466">
        <v>1388657</v>
      </c>
      <c r="M70" s="610"/>
      <c r="N70" s="610"/>
    </row>
    <row r="71" spans="1:14" s="343" customFormat="1" x14ac:dyDescent="0.2">
      <c r="A71" s="1526" t="s">
        <v>423</v>
      </c>
      <c r="B71" s="615">
        <v>2660</v>
      </c>
      <c r="C71" s="466">
        <v>1485383</v>
      </c>
      <c r="D71" s="466">
        <v>216623</v>
      </c>
      <c r="E71" s="466">
        <v>2892800</v>
      </c>
      <c r="F71" s="466">
        <v>552792</v>
      </c>
      <c r="G71" s="466">
        <v>176486</v>
      </c>
      <c r="H71" s="466">
        <v>10634</v>
      </c>
      <c r="I71" s="467">
        <v>119891</v>
      </c>
      <c r="J71" s="467"/>
      <c r="K71" s="1681">
        <f>SUM(C71:J71)</f>
        <v>5454609</v>
      </c>
      <c r="L71" s="466">
        <v>6304200</v>
      </c>
      <c r="M71" s="610"/>
      <c r="N71" s="610"/>
    </row>
    <row r="72" spans="1:14" s="343" customFormat="1" ht="12.75" customHeight="1" thickBot="1" x14ac:dyDescent="0.25">
      <c r="A72" s="1677" t="s">
        <v>37</v>
      </c>
      <c r="B72" s="1684" t="s">
        <v>36</v>
      </c>
      <c r="C72" s="1679">
        <f>SUM(C67:C71)</f>
        <v>2245101</v>
      </c>
      <c r="D72" s="1679">
        <f t="shared" ref="D72:K72" si="9">SUM(D67:D71)</f>
        <v>393630</v>
      </c>
      <c r="E72" s="1679">
        <f t="shared" si="9"/>
        <v>3041534</v>
      </c>
      <c r="F72" s="1679">
        <f t="shared" si="9"/>
        <v>558401</v>
      </c>
      <c r="G72" s="1679">
        <f t="shared" si="9"/>
        <v>176486</v>
      </c>
      <c r="H72" s="1679">
        <f t="shared" si="9"/>
        <v>11260</v>
      </c>
      <c r="I72" s="1679">
        <f t="shared" si="9"/>
        <v>119891</v>
      </c>
      <c r="J72" s="1679">
        <f t="shared" si="9"/>
        <v>0</v>
      </c>
      <c r="K72" s="1679">
        <f t="shared" si="9"/>
        <v>6546303</v>
      </c>
      <c r="L72" s="1679">
        <f>SUM(L67:L71)</f>
        <v>7885734</v>
      </c>
      <c r="M72" s="610"/>
      <c r="N72" s="610"/>
    </row>
    <row r="73" spans="1:14" s="343" customFormat="1" ht="14.25" thickTop="1" thickBot="1" x14ac:dyDescent="0.25">
      <c r="A73" s="1532" t="s">
        <v>1036</v>
      </c>
      <c r="B73" s="633" t="s">
        <v>594</v>
      </c>
      <c r="C73" s="573">
        <v>489955</v>
      </c>
      <c r="D73" s="573">
        <v>83462</v>
      </c>
      <c r="E73" s="573">
        <v>173224</v>
      </c>
      <c r="F73" s="573">
        <v>38163</v>
      </c>
      <c r="G73" s="573">
        <v>51058</v>
      </c>
      <c r="H73" s="573">
        <v>45844</v>
      </c>
      <c r="I73" s="531">
        <v>87714</v>
      </c>
      <c r="J73" s="531"/>
      <c r="K73" s="1679">
        <f>SUM(C73:J73)</f>
        <v>969420</v>
      </c>
      <c r="L73" s="576">
        <v>906639</v>
      </c>
      <c r="M73" s="610"/>
      <c r="N73" s="610"/>
    </row>
    <row r="74" spans="1:14" ht="12.75" customHeight="1" thickTop="1" thickBot="1" x14ac:dyDescent="0.25">
      <c r="A74" s="1677" t="s">
        <v>864</v>
      </c>
      <c r="B74" s="1685">
        <v>2000</v>
      </c>
      <c r="C74" s="1686">
        <f>SUM(C42,C47,C53,C57,C65,C72,C73)</f>
        <v>35868549</v>
      </c>
      <c r="D74" s="1686">
        <f t="shared" ref="D74:K74" si="10">SUM(D42,D47,D53,D57,D65,D72,D73)</f>
        <v>5474295</v>
      </c>
      <c r="E74" s="1686">
        <f t="shared" si="10"/>
        <v>15490890</v>
      </c>
      <c r="F74" s="1686">
        <f t="shared" si="10"/>
        <v>1605821</v>
      </c>
      <c r="G74" s="1686">
        <f t="shared" si="10"/>
        <v>249137</v>
      </c>
      <c r="H74" s="1686">
        <f t="shared" si="10"/>
        <v>120770</v>
      </c>
      <c r="I74" s="1686">
        <f t="shared" si="10"/>
        <v>335214</v>
      </c>
      <c r="J74" s="1686">
        <f t="shared" si="10"/>
        <v>0</v>
      </c>
      <c r="K74" s="1686">
        <f t="shared" si="10"/>
        <v>59144676</v>
      </c>
      <c r="L74" s="1686">
        <f>SUM(L42,L47,L53,L57,L65,L72,L73)</f>
        <v>66249656</v>
      </c>
    </row>
    <row r="75" spans="1:14" s="259" customFormat="1" ht="15.75" customHeight="1" thickTop="1" thickBot="1" x14ac:dyDescent="0.25">
      <c r="A75" s="1630" t="s">
        <v>49</v>
      </c>
      <c r="B75" s="1631" t="s">
        <v>595</v>
      </c>
      <c r="C75" s="573">
        <v>617969</v>
      </c>
      <c r="D75" s="573">
        <v>101875</v>
      </c>
      <c r="E75" s="573">
        <v>174703</v>
      </c>
      <c r="F75" s="573">
        <v>113386</v>
      </c>
      <c r="G75" s="573"/>
      <c r="H75" s="573"/>
      <c r="I75" s="531"/>
      <c r="J75" s="531"/>
      <c r="K75" s="1679">
        <f>SUM(C75:J75)</f>
        <v>1007933</v>
      </c>
      <c r="L75" s="576">
        <v>1625661</v>
      </c>
      <c r="M75" s="614"/>
      <c r="N75" s="614"/>
    </row>
    <row r="76" spans="1:14" s="634" customFormat="1" ht="15.75" customHeight="1" thickTop="1" x14ac:dyDescent="0.2">
      <c r="A76" s="1632" t="s">
        <v>382</v>
      </c>
      <c r="B76" s="1629"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1315</v>
      </c>
      <c r="F78" s="617"/>
      <c r="G78" s="617"/>
      <c r="H78" s="635"/>
      <c r="I78" s="477"/>
      <c r="J78" s="477"/>
      <c r="K78" s="1680">
        <f t="shared" ref="K78:K83" si="11">SUM(C78:J78)</f>
        <v>1315</v>
      </c>
      <c r="L78" s="481">
        <v>6783</v>
      </c>
    </row>
    <row r="79" spans="1:14" x14ac:dyDescent="0.2">
      <c r="A79" s="1526" t="s">
        <v>321</v>
      </c>
      <c r="B79" s="615">
        <v>4120</v>
      </c>
      <c r="C79" s="617"/>
      <c r="D79" s="617"/>
      <c r="E79" s="466"/>
      <c r="F79" s="617"/>
      <c r="G79" s="617"/>
      <c r="H79" s="466">
        <v>62062</v>
      </c>
      <c r="I79" s="477"/>
      <c r="J79" s="477"/>
      <c r="K79" s="1680">
        <f t="shared" si="11"/>
        <v>62062</v>
      </c>
      <c r="L79" s="466">
        <v>186091</v>
      </c>
    </row>
    <row r="80" spans="1:14" x14ac:dyDescent="0.2">
      <c r="A80" s="1526" t="s">
        <v>322</v>
      </c>
      <c r="B80" s="615">
        <v>4130</v>
      </c>
      <c r="C80" s="617"/>
      <c r="D80" s="617"/>
      <c r="E80" s="466"/>
      <c r="F80" s="617"/>
      <c r="G80" s="617"/>
      <c r="H80" s="466"/>
      <c r="I80" s="477"/>
      <c r="J80" s="477"/>
      <c r="K80" s="1680">
        <f t="shared" si="11"/>
        <v>0</v>
      </c>
      <c r="L80" s="466"/>
    </row>
    <row r="81" spans="1:12" x14ac:dyDescent="0.2">
      <c r="A81" s="1526" t="s">
        <v>720</v>
      </c>
      <c r="B81" s="615">
        <v>4140</v>
      </c>
      <c r="C81" s="617"/>
      <c r="D81" s="617"/>
      <c r="E81" s="466"/>
      <c r="F81" s="617"/>
      <c r="G81" s="617"/>
      <c r="H81" s="466"/>
      <c r="I81" s="477"/>
      <c r="J81" s="477"/>
      <c r="K81" s="1680">
        <f t="shared" si="11"/>
        <v>0</v>
      </c>
      <c r="L81" s="466"/>
    </row>
    <row r="82" spans="1:12" x14ac:dyDescent="0.2">
      <c r="A82" s="1526" t="s">
        <v>88</v>
      </c>
      <c r="B82" s="615">
        <v>4170</v>
      </c>
      <c r="C82" s="617"/>
      <c r="D82" s="617"/>
      <c r="E82" s="466"/>
      <c r="F82" s="617"/>
      <c r="G82" s="617"/>
      <c r="H82" s="466"/>
      <c r="I82" s="477"/>
      <c r="J82" s="477"/>
      <c r="K82" s="1680">
        <f t="shared" si="11"/>
        <v>0</v>
      </c>
      <c r="L82" s="466"/>
    </row>
    <row r="83" spans="1:12" x14ac:dyDescent="0.2">
      <c r="A83" s="1530" t="s">
        <v>721</v>
      </c>
      <c r="B83" s="629">
        <v>4190</v>
      </c>
      <c r="C83" s="617"/>
      <c r="D83" s="617"/>
      <c r="E83" s="466"/>
      <c r="F83" s="617"/>
      <c r="G83" s="617"/>
      <c r="H83" s="466"/>
      <c r="I83" s="477"/>
      <c r="J83" s="477"/>
      <c r="K83" s="1680">
        <f t="shared" si="11"/>
        <v>0</v>
      </c>
      <c r="L83" s="466"/>
    </row>
    <row r="84" spans="1:12" ht="13.5" thickBot="1" x14ac:dyDescent="0.25">
      <c r="A84" s="1677" t="s">
        <v>1564</v>
      </c>
      <c r="B84" s="1687">
        <v>4100</v>
      </c>
      <c r="C84" s="617"/>
      <c r="D84" s="617"/>
      <c r="E84" s="1679">
        <f>SUM(E78:E83)</f>
        <v>1315</v>
      </c>
      <c r="F84" s="617"/>
      <c r="G84" s="617"/>
      <c r="H84" s="1679">
        <f>SUM(H78:H83)</f>
        <v>62062</v>
      </c>
      <c r="I84" s="477"/>
      <c r="J84" s="477"/>
      <c r="K84" s="1679">
        <f>SUM(K78:K83)</f>
        <v>63377</v>
      </c>
      <c r="L84" s="1679">
        <f>SUM(L78:L83)</f>
        <v>192874</v>
      </c>
    </row>
    <row r="85" spans="1:12" ht="12.75" customHeight="1" thickTop="1" thickBot="1" x14ac:dyDescent="0.25">
      <c r="A85" s="1533" t="s">
        <v>273</v>
      </c>
      <c r="B85" s="636">
        <v>4210</v>
      </c>
      <c r="C85" s="617"/>
      <c r="D85" s="617"/>
      <c r="E85" s="637"/>
      <c r="F85" s="617"/>
      <c r="G85" s="617"/>
      <c r="H85" s="535"/>
      <c r="I85" s="477"/>
      <c r="J85" s="477"/>
      <c r="K85" s="1686">
        <f>H85</f>
        <v>0</v>
      </c>
      <c r="L85" s="530"/>
    </row>
    <row r="86" spans="1:12" ht="12.75" customHeight="1" thickTop="1" thickBot="1" x14ac:dyDescent="0.25">
      <c r="A86" s="1534" t="s">
        <v>722</v>
      </c>
      <c r="B86" s="638">
        <v>4220</v>
      </c>
      <c r="C86" s="617"/>
      <c r="D86" s="617"/>
      <c r="E86" s="639"/>
      <c r="F86" s="617"/>
      <c r="G86" s="617"/>
      <c r="H86" s="467"/>
      <c r="I86" s="477"/>
      <c r="J86" s="477"/>
      <c r="K86" s="1686">
        <f t="shared" ref="K86:K98" si="12">H86</f>
        <v>0</v>
      </c>
      <c r="L86" s="530"/>
    </row>
    <row r="87" spans="1:12" ht="14.25" thickTop="1" thickBot="1" x14ac:dyDescent="0.25">
      <c r="A87" s="1535" t="s">
        <v>723</v>
      </c>
      <c r="B87" s="640">
        <v>4230</v>
      </c>
      <c r="C87" s="617"/>
      <c r="D87" s="617"/>
      <c r="E87" s="639"/>
      <c r="F87" s="617"/>
      <c r="G87" s="617"/>
      <c r="H87" s="467"/>
      <c r="I87" s="477"/>
      <c r="J87" s="477"/>
      <c r="K87" s="1686">
        <f t="shared" si="12"/>
        <v>0</v>
      </c>
      <c r="L87" s="530"/>
    </row>
    <row r="88" spans="1:12" ht="12.75" customHeight="1" thickTop="1" thickBot="1" x14ac:dyDescent="0.25">
      <c r="A88" s="1535" t="s">
        <v>788</v>
      </c>
      <c r="B88" s="640">
        <v>4240</v>
      </c>
      <c r="C88" s="617"/>
      <c r="D88" s="617"/>
      <c r="E88" s="639"/>
      <c r="F88" s="617"/>
      <c r="G88" s="617"/>
      <c r="H88" s="467"/>
      <c r="I88" s="477"/>
      <c r="J88" s="477"/>
      <c r="K88" s="1686">
        <f t="shared" si="12"/>
        <v>0</v>
      </c>
      <c r="L88" s="530"/>
    </row>
    <row r="89" spans="1:12" ht="12.75" customHeight="1" thickTop="1" thickBot="1" x14ac:dyDescent="0.25">
      <c r="A89" s="1535" t="s">
        <v>724</v>
      </c>
      <c r="B89" s="640">
        <v>4270</v>
      </c>
      <c r="C89" s="617"/>
      <c r="D89" s="617"/>
      <c r="E89" s="639"/>
      <c r="F89" s="617"/>
      <c r="G89" s="617"/>
      <c r="H89" s="467"/>
      <c r="I89" s="477"/>
      <c r="J89" s="477"/>
      <c r="K89" s="1686">
        <f t="shared" si="12"/>
        <v>0</v>
      </c>
      <c r="L89" s="530"/>
    </row>
    <row r="90" spans="1:12" ht="12.75" customHeight="1" thickTop="1" thickBot="1" x14ac:dyDescent="0.25">
      <c r="A90" s="1535" t="s">
        <v>709</v>
      </c>
      <c r="B90" s="640">
        <v>4280</v>
      </c>
      <c r="C90" s="617"/>
      <c r="D90" s="617"/>
      <c r="E90" s="639"/>
      <c r="F90" s="617"/>
      <c r="G90" s="617"/>
      <c r="H90" s="467"/>
      <c r="I90" s="477"/>
      <c r="J90" s="477"/>
      <c r="K90" s="1686">
        <f t="shared" si="12"/>
        <v>0</v>
      </c>
      <c r="L90" s="530"/>
    </row>
    <row r="91" spans="1:12" ht="12.75" customHeight="1" thickTop="1" thickBot="1" x14ac:dyDescent="0.25">
      <c r="A91" s="1535" t="s">
        <v>710</v>
      </c>
      <c r="B91" s="640">
        <v>4290</v>
      </c>
      <c r="C91" s="617"/>
      <c r="D91" s="617"/>
      <c r="E91" s="639"/>
      <c r="F91" s="617"/>
      <c r="G91" s="617"/>
      <c r="H91" s="467"/>
      <c r="I91" s="477"/>
      <c r="J91" s="477"/>
      <c r="K91" s="1686">
        <f t="shared" si="12"/>
        <v>0</v>
      </c>
      <c r="L91" s="530"/>
    </row>
    <row r="92" spans="1:12" ht="14.25" thickTop="1" thickBot="1" x14ac:dyDescent="0.25">
      <c r="A92" s="1689" t="s">
        <v>1640</v>
      </c>
      <c r="B92" s="1687">
        <v>4200</v>
      </c>
      <c r="C92" s="617"/>
      <c r="D92" s="617"/>
      <c r="E92" s="639"/>
      <c r="F92" s="617"/>
      <c r="G92" s="617"/>
      <c r="H92" s="1679">
        <f>SUM(H85:H91)</f>
        <v>0</v>
      </c>
      <c r="I92" s="477"/>
      <c r="J92" s="477"/>
      <c r="K92" s="1686">
        <f t="shared" si="12"/>
        <v>0</v>
      </c>
      <c r="L92" s="1679">
        <f>SUM(L85:L91)</f>
        <v>0</v>
      </c>
    </row>
    <row r="93" spans="1:12" ht="14.25" thickTop="1" thickBot="1" x14ac:dyDescent="0.25">
      <c r="A93" s="1534" t="s">
        <v>711</v>
      </c>
      <c r="B93" s="641">
        <v>4310</v>
      </c>
      <c r="C93" s="617"/>
      <c r="D93" s="617"/>
      <c r="E93" s="639"/>
      <c r="F93" s="617"/>
      <c r="G93" s="617"/>
      <c r="H93" s="642"/>
      <c r="I93" s="477"/>
      <c r="J93" s="477"/>
      <c r="K93" s="1686">
        <f t="shared" si="12"/>
        <v>0</v>
      </c>
      <c r="L93" s="532"/>
    </row>
    <row r="94" spans="1:12" ht="12.75" customHeight="1" thickTop="1" thickBot="1" x14ac:dyDescent="0.25">
      <c r="A94" s="1535" t="s">
        <v>712</v>
      </c>
      <c r="B94" s="640">
        <v>4320</v>
      </c>
      <c r="C94" s="617"/>
      <c r="D94" s="617"/>
      <c r="E94" s="639"/>
      <c r="F94" s="617"/>
      <c r="G94" s="617"/>
      <c r="H94" s="467"/>
      <c r="I94" s="477"/>
      <c r="J94" s="477"/>
      <c r="K94" s="1686">
        <f t="shared" si="12"/>
        <v>0</v>
      </c>
      <c r="L94" s="530"/>
    </row>
    <row r="95" spans="1:12" ht="15" customHeight="1" thickTop="1" thickBot="1" x14ac:dyDescent="0.25">
      <c r="A95" s="1535" t="s">
        <v>1567</v>
      </c>
      <c r="B95" s="640">
        <v>4330</v>
      </c>
      <c r="C95" s="617"/>
      <c r="D95" s="617"/>
      <c r="E95" s="639"/>
      <c r="F95" s="617"/>
      <c r="G95" s="617"/>
      <c r="H95" s="467"/>
      <c r="I95" s="477"/>
      <c r="J95" s="477"/>
      <c r="K95" s="1686">
        <f t="shared" si="12"/>
        <v>0</v>
      </c>
      <c r="L95" s="530"/>
    </row>
    <row r="96" spans="1:12" ht="14.25" thickTop="1" thickBot="1" x14ac:dyDescent="0.25">
      <c r="A96" s="1535" t="s">
        <v>713</v>
      </c>
      <c r="B96" s="640">
        <v>4340</v>
      </c>
      <c r="C96" s="617"/>
      <c r="D96" s="617"/>
      <c r="E96" s="639"/>
      <c r="F96" s="617"/>
      <c r="G96" s="617"/>
      <c r="H96" s="467"/>
      <c r="I96" s="477"/>
      <c r="J96" s="477"/>
      <c r="K96" s="1686">
        <f t="shared" si="12"/>
        <v>0</v>
      </c>
      <c r="L96" s="530"/>
    </row>
    <row r="97" spans="1:14" ht="12.75" customHeight="1" thickTop="1" thickBot="1" x14ac:dyDescent="0.25">
      <c r="A97" s="1535" t="s">
        <v>786</v>
      </c>
      <c r="B97" s="640">
        <v>4370</v>
      </c>
      <c r="C97" s="617"/>
      <c r="D97" s="617"/>
      <c r="E97" s="639"/>
      <c r="F97" s="617"/>
      <c r="G97" s="617"/>
      <c r="H97" s="467"/>
      <c r="I97" s="477"/>
      <c r="J97" s="477"/>
      <c r="K97" s="1686">
        <f t="shared" si="12"/>
        <v>0</v>
      </c>
      <c r="L97" s="530"/>
    </row>
    <row r="98" spans="1:14" ht="14.25" thickTop="1" thickBot="1" x14ac:dyDescent="0.25">
      <c r="A98" s="1535" t="s">
        <v>787</v>
      </c>
      <c r="B98" s="640">
        <v>4380</v>
      </c>
      <c r="C98" s="617"/>
      <c r="D98" s="617"/>
      <c r="E98" s="643"/>
      <c r="F98" s="617"/>
      <c r="G98" s="617"/>
      <c r="H98" s="467"/>
      <c r="I98" s="477"/>
      <c r="J98" s="477"/>
      <c r="K98" s="1686">
        <f t="shared" si="12"/>
        <v>0</v>
      </c>
      <c r="L98" s="530"/>
    </row>
    <row r="99" spans="1:14" ht="14.25" thickTop="1" thickBot="1" x14ac:dyDescent="0.25">
      <c r="A99" s="1535" t="s">
        <v>384</v>
      </c>
      <c r="B99" s="640">
        <v>4390</v>
      </c>
      <c r="C99" s="617"/>
      <c r="D99" s="617"/>
      <c r="E99" s="532"/>
      <c r="F99" s="617"/>
      <c r="G99" s="617"/>
      <c r="H99" s="467"/>
      <c r="I99" s="477"/>
      <c r="J99" s="477"/>
      <c r="K99" s="1686">
        <f>SUM(E99,H99)</f>
        <v>0</v>
      </c>
      <c r="L99" s="530"/>
    </row>
    <row r="100" spans="1:14" ht="14.25" thickTop="1" thickBot="1" x14ac:dyDescent="0.25">
      <c r="A100" s="1689" t="s">
        <v>1565</v>
      </c>
      <c r="B100" s="1690">
        <v>4300</v>
      </c>
      <c r="C100" s="617"/>
      <c r="D100" s="617"/>
      <c r="E100" s="1686">
        <f>SUM(E93:E99)</f>
        <v>0</v>
      </c>
      <c r="F100" s="617"/>
      <c r="G100" s="617"/>
      <c r="H100" s="1686">
        <f>SUM(H93:H99)</f>
        <v>0</v>
      </c>
      <c r="I100" s="477"/>
      <c r="J100" s="477"/>
      <c r="K100" s="1686">
        <f>SUM(K93:K99)</f>
        <v>0</v>
      </c>
      <c r="L100" s="1686">
        <f>SUM(L93:L99)</f>
        <v>0</v>
      </c>
    </row>
    <row r="101" spans="1:14" ht="12.75" customHeight="1" thickTop="1" thickBot="1" x14ac:dyDescent="0.25">
      <c r="A101" s="1532" t="s">
        <v>1568</v>
      </c>
      <c r="B101" s="644" t="s">
        <v>987</v>
      </c>
      <c r="C101" s="617"/>
      <c r="D101" s="617"/>
      <c r="E101" s="531"/>
      <c r="F101" s="617"/>
      <c r="G101" s="617"/>
      <c r="H101" s="531"/>
      <c r="I101" s="477"/>
      <c r="J101" s="477"/>
      <c r="K101" s="1688">
        <f>SUM(C101:J101)</f>
        <v>0</v>
      </c>
      <c r="L101" s="530"/>
    </row>
    <row r="102" spans="1:14" ht="12.75" customHeight="1" thickTop="1" thickBot="1" x14ac:dyDescent="0.25">
      <c r="A102" s="1677" t="s">
        <v>1566</v>
      </c>
      <c r="B102" s="1687">
        <v>4000</v>
      </c>
      <c r="C102" s="617"/>
      <c r="D102" s="617"/>
      <c r="E102" s="1686">
        <f>SUM(E84,E92,E100,E101)</f>
        <v>1315</v>
      </c>
      <c r="F102" s="617"/>
      <c r="G102" s="617"/>
      <c r="H102" s="1686">
        <f>SUM(H84,H92,H100,H101)</f>
        <v>62062</v>
      </c>
      <c r="I102" s="477"/>
      <c r="J102" s="477"/>
      <c r="K102" s="1686">
        <f>SUM(K84,K92,K100,K101)</f>
        <v>63377</v>
      </c>
      <c r="L102" s="1686">
        <f>SUM(L84,L92,L100,L101)</f>
        <v>192874</v>
      </c>
    </row>
    <row r="103" spans="1:14" s="634" customFormat="1" ht="15.75" customHeight="1" thickTop="1" x14ac:dyDescent="0.2">
      <c r="A103" s="1632" t="s">
        <v>533</v>
      </c>
      <c r="B103" s="1629"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0">
        <f>H105</f>
        <v>0</v>
      </c>
      <c r="L105" s="481"/>
      <c r="M105" s="210"/>
      <c r="N105" s="210"/>
    </row>
    <row r="106" spans="1:14" s="598" customFormat="1" x14ac:dyDescent="0.2">
      <c r="A106" s="1526" t="s">
        <v>90</v>
      </c>
      <c r="B106" s="615">
        <v>5120</v>
      </c>
      <c r="C106" s="617"/>
      <c r="D106" s="617"/>
      <c r="E106" s="617"/>
      <c r="F106" s="617"/>
      <c r="G106" s="617"/>
      <c r="H106" s="466"/>
      <c r="I106" s="468"/>
      <c r="J106" s="468"/>
      <c r="K106" s="1680">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80">
        <f>H107</f>
        <v>0</v>
      </c>
      <c r="L107" s="466"/>
      <c r="M107" s="210"/>
      <c r="N107" s="210"/>
    </row>
    <row r="108" spans="1:14" s="598" customFormat="1" x14ac:dyDescent="0.2">
      <c r="A108" s="1526" t="s">
        <v>91</v>
      </c>
      <c r="B108" s="615" t="s">
        <v>609</v>
      </c>
      <c r="C108" s="617"/>
      <c r="D108" s="617"/>
      <c r="E108" s="617"/>
      <c r="F108" s="617"/>
      <c r="G108" s="617"/>
      <c r="H108" s="466"/>
      <c r="I108" s="468"/>
      <c r="J108" s="468"/>
      <c r="K108" s="1680">
        <f>H108</f>
        <v>0</v>
      </c>
      <c r="L108" s="466"/>
      <c r="M108" s="210"/>
      <c r="N108" s="210"/>
    </row>
    <row r="109" spans="1:14" s="598" customFormat="1" x14ac:dyDescent="0.2">
      <c r="A109" s="1526" t="s">
        <v>272</v>
      </c>
      <c r="B109" s="629">
        <v>5150</v>
      </c>
      <c r="C109" s="617"/>
      <c r="D109" s="617"/>
      <c r="E109" s="617"/>
      <c r="F109" s="617"/>
      <c r="G109" s="617"/>
      <c r="H109" s="466"/>
      <c r="I109" s="468"/>
      <c r="J109" s="468"/>
      <c r="K109" s="1680">
        <f>H109</f>
        <v>0</v>
      </c>
      <c r="L109" s="466"/>
      <c r="M109" s="210"/>
      <c r="N109" s="210"/>
    </row>
    <row r="110" spans="1:14" s="598" customFormat="1" ht="12.75" customHeight="1" thickBot="1" x14ac:dyDescent="0.25">
      <c r="A110" s="1677" t="s">
        <v>1163</v>
      </c>
      <c r="B110" s="1684" t="s">
        <v>741</v>
      </c>
      <c r="C110" s="617"/>
      <c r="D110" s="617"/>
      <c r="E110" s="617"/>
      <c r="F110" s="617"/>
      <c r="G110" s="617"/>
      <c r="H110" s="1679">
        <f>SUM(H105:H109)</f>
        <v>0</v>
      </c>
      <c r="I110" s="468"/>
      <c r="J110" s="468"/>
      <c r="K110" s="1679">
        <f>SUM(K105:K109)</f>
        <v>0</v>
      </c>
      <c r="L110" s="1679">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692">
        <f>H111</f>
        <v>0</v>
      </c>
      <c r="L111" s="532"/>
      <c r="M111" s="210"/>
      <c r="N111" s="210"/>
    </row>
    <row r="112" spans="1:14" s="598" customFormat="1" ht="12.75" customHeight="1" thickTop="1" thickBot="1" x14ac:dyDescent="0.25">
      <c r="A112" s="1677" t="s">
        <v>658</v>
      </c>
      <c r="B112" s="1678" t="s">
        <v>512</v>
      </c>
      <c r="C112" s="617"/>
      <c r="D112" s="617"/>
      <c r="E112" s="617"/>
      <c r="F112" s="617"/>
      <c r="G112" s="617"/>
      <c r="H112" s="1679">
        <f>SUM(H110:H111)</f>
        <v>0</v>
      </c>
      <c r="I112" s="468"/>
      <c r="J112" s="468"/>
      <c r="K112" s="1679">
        <f>SUM(K110:K111)</f>
        <v>0</v>
      </c>
      <c r="L112" s="1686">
        <f>SUM(L110,L111)</f>
        <v>0</v>
      </c>
      <c r="M112" s="210"/>
      <c r="N112" s="210"/>
    </row>
    <row r="113" spans="1:14" s="259" customFormat="1" ht="15.75" customHeight="1" thickTop="1" thickBot="1" x14ac:dyDescent="0.25">
      <c r="A113" s="1626" t="s">
        <v>534</v>
      </c>
      <c r="B113" s="1633" t="s">
        <v>915</v>
      </c>
      <c r="C113" s="624"/>
      <c r="D113" s="624"/>
      <c r="E113" s="617"/>
      <c r="F113" s="617"/>
      <c r="G113" s="617"/>
      <c r="H113" s="624"/>
      <c r="I113" s="468"/>
      <c r="J113" s="468"/>
      <c r="K113" s="624"/>
      <c r="L113" s="531"/>
      <c r="M113" s="614"/>
      <c r="N113" s="614"/>
    </row>
    <row r="114" spans="1:14" ht="12.75" customHeight="1" thickTop="1" thickBot="1" x14ac:dyDescent="0.25">
      <c r="A114" s="1677" t="s">
        <v>50</v>
      </c>
      <c r="B114" s="1691"/>
      <c r="C114" s="1679">
        <f>SUM(C33,C74,C75,C102,C112,C113)</f>
        <v>115892942</v>
      </c>
      <c r="D114" s="1679">
        <f t="shared" ref="D114:K114" si="13">SUM(D33,D74,D75,D102,D112,D113)</f>
        <v>18147791</v>
      </c>
      <c r="E114" s="1679">
        <f t="shared" si="13"/>
        <v>18618467</v>
      </c>
      <c r="F114" s="1679">
        <f t="shared" si="13"/>
        <v>5729191</v>
      </c>
      <c r="G114" s="1679">
        <f t="shared" si="13"/>
        <v>265104</v>
      </c>
      <c r="H114" s="1679">
        <f>SUM(H33,H74,H75,H102,H112,H113)</f>
        <v>6059511</v>
      </c>
      <c r="I114" s="1679">
        <f t="shared" si="13"/>
        <v>418149</v>
      </c>
      <c r="J114" s="1679">
        <f t="shared" si="13"/>
        <v>0</v>
      </c>
      <c r="K114" s="1679">
        <f t="shared" si="13"/>
        <v>165131155</v>
      </c>
      <c r="L114" s="1679">
        <f>SUM(L33,L74,L75,L102,L112,L113)</f>
        <v>175830512</v>
      </c>
    </row>
    <row r="115" spans="1:14" ht="13.5" thickTop="1" x14ac:dyDescent="0.2">
      <c r="A115" s="2205" t="s">
        <v>1052</v>
      </c>
      <c r="B115" s="2206"/>
      <c r="C115" s="619"/>
      <c r="D115" s="619"/>
      <c r="E115" s="619"/>
      <c r="F115" s="619"/>
      <c r="G115" s="619"/>
      <c r="H115" s="619"/>
      <c r="I115" s="619"/>
      <c r="J115" s="619"/>
      <c r="K115" s="1693">
        <f>'Revenues 9-14'!C275-'Expenditures 15-22'!K114</f>
        <v>26604684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313</v>
      </c>
      <c r="B117" s="2184"/>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0">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79">
        <f>SUM(C122:J122)</f>
        <v>0</v>
      </c>
      <c r="L122" s="466"/>
    </row>
    <row r="123" spans="1:14" ht="14.25" thickTop="1" thickBot="1" x14ac:dyDescent="0.25">
      <c r="A123" s="1526" t="s">
        <v>4</v>
      </c>
      <c r="B123" s="615">
        <v>2530</v>
      </c>
      <c r="C123" s="466"/>
      <c r="D123" s="466"/>
      <c r="E123" s="466">
        <v>46280</v>
      </c>
      <c r="F123" s="466"/>
      <c r="G123" s="466">
        <v>1511820</v>
      </c>
      <c r="H123" s="466"/>
      <c r="I123" s="467"/>
      <c r="J123" s="467"/>
      <c r="K123" s="1679">
        <f>SUM(C123:J123)</f>
        <v>1558100</v>
      </c>
      <c r="L123" s="466">
        <v>1909855</v>
      </c>
    </row>
    <row r="124" spans="1:14" ht="14.25" thickTop="1" thickBot="1" x14ac:dyDescent="0.25">
      <c r="A124" s="1526" t="s">
        <v>206</v>
      </c>
      <c r="B124" s="615">
        <v>2540</v>
      </c>
      <c r="C124" s="466">
        <v>2892206</v>
      </c>
      <c r="D124" s="466">
        <v>365092</v>
      </c>
      <c r="E124" s="466">
        <v>1282249</v>
      </c>
      <c r="F124" s="466">
        <v>3424262</v>
      </c>
      <c r="G124" s="466">
        <v>193657</v>
      </c>
      <c r="H124" s="466"/>
      <c r="I124" s="467">
        <v>36598</v>
      </c>
      <c r="J124" s="467"/>
      <c r="K124" s="1679">
        <f>SUM(C124:J124)</f>
        <v>8194064</v>
      </c>
      <c r="L124" s="466">
        <v>8486832</v>
      </c>
    </row>
    <row r="125" spans="1:14" ht="14.25" thickTop="1" thickBot="1" x14ac:dyDescent="0.25">
      <c r="A125" s="1526" t="s">
        <v>1009</v>
      </c>
      <c r="B125" s="615">
        <v>2550</v>
      </c>
      <c r="C125" s="466"/>
      <c r="D125" s="466"/>
      <c r="E125" s="466">
        <v>42013</v>
      </c>
      <c r="F125" s="466"/>
      <c r="G125" s="466"/>
      <c r="H125" s="466"/>
      <c r="I125" s="467"/>
      <c r="J125" s="467"/>
      <c r="K125" s="1679">
        <f>SUM(C125:J125)</f>
        <v>42013</v>
      </c>
      <c r="L125" s="466">
        <v>0</v>
      </c>
    </row>
    <row r="126" spans="1:14" ht="14.25" thickTop="1" thickBot="1" x14ac:dyDescent="0.25">
      <c r="A126" s="1526" t="s">
        <v>102</v>
      </c>
      <c r="B126" s="615">
        <v>2560</v>
      </c>
      <c r="C126" s="655"/>
      <c r="D126" s="655"/>
      <c r="E126" s="655"/>
      <c r="F126" s="655"/>
      <c r="G126" s="466"/>
      <c r="H126" s="655"/>
      <c r="I126" s="474"/>
      <c r="J126" s="617"/>
      <c r="K126" s="1679">
        <f>SUM(C126:J126)</f>
        <v>0</v>
      </c>
      <c r="L126" s="466"/>
    </row>
    <row r="127" spans="1:14" ht="12.75" customHeight="1" thickTop="1" thickBot="1" x14ac:dyDescent="0.25">
      <c r="A127" s="1677" t="s">
        <v>742</v>
      </c>
      <c r="B127" s="1678" t="s">
        <v>35</v>
      </c>
      <c r="C127" s="1679">
        <f>SUM(C122:C126)</f>
        <v>2892206</v>
      </c>
      <c r="D127" s="1679">
        <f t="shared" ref="D127:L127" si="14">SUM(D122:D126)</f>
        <v>365092</v>
      </c>
      <c r="E127" s="1679">
        <f t="shared" si="14"/>
        <v>1370542</v>
      </c>
      <c r="F127" s="1679">
        <f t="shared" si="14"/>
        <v>3424262</v>
      </c>
      <c r="G127" s="1679">
        <f t="shared" si="14"/>
        <v>1705477</v>
      </c>
      <c r="H127" s="1679">
        <f t="shared" si="14"/>
        <v>0</v>
      </c>
      <c r="I127" s="1679">
        <f t="shared" si="14"/>
        <v>36598</v>
      </c>
      <c r="J127" s="1679">
        <f t="shared" si="14"/>
        <v>0</v>
      </c>
      <c r="K127" s="1679">
        <f t="shared" si="14"/>
        <v>9794177</v>
      </c>
      <c r="L127" s="1679">
        <f t="shared" si="14"/>
        <v>10396687</v>
      </c>
    </row>
    <row r="128" spans="1:14" ht="12.75" customHeight="1" thickTop="1" x14ac:dyDescent="0.2">
      <c r="A128" s="1533" t="s">
        <v>1036</v>
      </c>
      <c r="B128" s="656" t="s">
        <v>594</v>
      </c>
      <c r="C128" s="657"/>
      <c r="D128" s="657"/>
      <c r="E128" s="657"/>
      <c r="F128" s="657"/>
      <c r="G128" s="657"/>
      <c r="H128" s="657"/>
      <c r="I128" s="535"/>
      <c r="J128" s="535"/>
      <c r="K128" s="1694">
        <f>SUM(C128:J128)</f>
        <v>0</v>
      </c>
      <c r="L128" s="657">
        <v>864816</v>
      </c>
    </row>
    <row r="129" spans="1:14" ht="12.75" customHeight="1" thickBot="1" x14ac:dyDescent="0.25">
      <c r="A129" s="1695" t="s">
        <v>864</v>
      </c>
      <c r="B129" s="1696" t="s">
        <v>589</v>
      </c>
      <c r="C129" s="1686">
        <f>SUM(C120,C127,C128)</f>
        <v>2892206</v>
      </c>
      <c r="D129" s="1686">
        <f t="shared" ref="D129:L129" si="15">SUM(D120,D127,D128)</f>
        <v>365092</v>
      </c>
      <c r="E129" s="1686">
        <f t="shared" si="15"/>
        <v>1370542</v>
      </c>
      <c r="F129" s="1686">
        <f t="shared" si="15"/>
        <v>3424262</v>
      </c>
      <c r="G129" s="1686">
        <f t="shared" si="15"/>
        <v>1705477</v>
      </c>
      <c r="H129" s="1686">
        <f t="shared" si="15"/>
        <v>0</v>
      </c>
      <c r="I129" s="1686">
        <f t="shared" si="15"/>
        <v>36598</v>
      </c>
      <c r="J129" s="1686">
        <f t="shared" si="15"/>
        <v>0</v>
      </c>
      <c r="K129" s="1686">
        <f t="shared" si="15"/>
        <v>9794177</v>
      </c>
      <c r="L129" s="1686">
        <f t="shared" si="15"/>
        <v>11261503</v>
      </c>
    </row>
    <row r="130" spans="1:14" ht="15.75" customHeight="1" thickTop="1" thickBot="1" x14ac:dyDescent="0.25">
      <c r="A130" s="1630" t="s">
        <v>1095</v>
      </c>
      <c r="B130" s="1631" t="s">
        <v>595</v>
      </c>
      <c r="C130" s="576"/>
      <c r="D130" s="576"/>
      <c r="E130" s="576"/>
      <c r="F130" s="576"/>
      <c r="G130" s="576"/>
      <c r="H130" s="576"/>
      <c r="I130" s="531"/>
      <c r="J130" s="531"/>
      <c r="K130" s="1679">
        <f>SUM(C130:J130)</f>
        <v>0</v>
      </c>
      <c r="L130" s="576"/>
    </row>
    <row r="131" spans="1:14" ht="15.75" customHeight="1" thickTop="1" x14ac:dyDescent="0.2">
      <c r="A131" s="1636" t="s">
        <v>636</v>
      </c>
      <c r="B131" s="1629"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43" t="s">
        <v>1953</v>
      </c>
      <c r="C133" s="468"/>
      <c r="D133" s="468"/>
      <c r="E133" s="642"/>
      <c r="F133" s="468"/>
      <c r="G133" s="468"/>
      <c r="H133" s="642"/>
      <c r="I133" s="468"/>
      <c r="J133" s="468"/>
      <c r="K133" s="1824">
        <f>SUM(E133,H133)</f>
        <v>0</v>
      </c>
      <c r="L133" s="642"/>
      <c r="M133" s="206"/>
      <c r="N133" s="206"/>
    </row>
    <row r="134" spans="1:14" x14ac:dyDescent="0.2">
      <c r="A134" s="1526" t="s">
        <v>321</v>
      </c>
      <c r="B134" s="615">
        <v>4120</v>
      </c>
      <c r="C134" s="617"/>
      <c r="D134" s="617"/>
      <c r="E134" s="478"/>
      <c r="F134" s="617"/>
      <c r="G134" s="617"/>
      <c r="H134" s="481"/>
      <c r="I134" s="477"/>
      <c r="J134" s="617"/>
      <c r="K134" s="1681">
        <f>SUM(E134,H134)</f>
        <v>0</v>
      </c>
      <c r="L134" s="481"/>
    </row>
    <row r="135" spans="1:14" x14ac:dyDescent="0.2">
      <c r="A135" s="1526" t="s">
        <v>720</v>
      </c>
      <c r="B135" s="615">
        <v>4140</v>
      </c>
      <c r="C135" s="617"/>
      <c r="D135" s="617"/>
      <c r="E135" s="467"/>
      <c r="F135" s="617"/>
      <c r="G135" s="617"/>
      <c r="H135" s="466"/>
      <c r="I135" s="477"/>
      <c r="J135" s="617"/>
      <c r="K135" s="1681">
        <f>SUM(E135,H135)</f>
        <v>0</v>
      </c>
      <c r="L135" s="466"/>
    </row>
    <row r="136" spans="1:14" x14ac:dyDescent="0.2">
      <c r="A136" s="1530" t="s">
        <v>721</v>
      </c>
      <c r="B136" s="629">
        <v>4190</v>
      </c>
      <c r="C136" s="617"/>
      <c r="D136" s="617"/>
      <c r="E136" s="467"/>
      <c r="F136" s="617"/>
      <c r="G136" s="617"/>
      <c r="H136" s="466"/>
      <c r="I136" s="477"/>
      <c r="J136" s="617"/>
      <c r="K136" s="1681">
        <f>SUM(E136,H136)</f>
        <v>0</v>
      </c>
      <c r="L136" s="466"/>
    </row>
    <row r="137" spans="1:14" ht="12.75" customHeight="1" thickBot="1" x14ac:dyDescent="0.25">
      <c r="A137" s="1677" t="s">
        <v>500</v>
      </c>
      <c r="B137" s="1687">
        <v>4100</v>
      </c>
      <c r="C137" s="617"/>
      <c r="D137" s="617"/>
      <c r="E137" s="1679">
        <f>SUM(E133:E136)</f>
        <v>0</v>
      </c>
      <c r="F137" s="617"/>
      <c r="G137" s="617"/>
      <c r="H137" s="1679">
        <f>SUM(H133:H136)</f>
        <v>0</v>
      </c>
      <c r="I137" s="477"/>
      <c r="J137" s="617"/>
      <c r="K137" s="1679">
        <f>SUM(K133:K136)</f>
        <v>0</v>
      </c>
      <c r="L137" s="1679">
        <f>SUM(L133:L136)</f>
        <v>0</v>
      </c>
    </row>
    <row r="138" spans="1:14" ht="12.75" customHeight="1" thickTop="1" thickBot="1" x14ac:dyDescent="0.25">
      <c r="A138" s="1532" t="s">
        <v>98</v>
      </c>
      <c r="B138" s="644" t="s">
        <v>987</v>
      </c>
      <c r="C138" s="617"/>
      <c r="D138" s="617"/>
      <c r="E138" s="479"/>
      <c r="F138" s="617"/>
      <c r="G138" s="617"/>
      <c r="H138" s="576"/>
      <c r="I138" s="477"/>
      <c r="J138" s="617"/>
      <c r="K138" s="1681">
        <f>SUM(E138,H138)</f>
        <v>0</v>
      </c>
      <c r="L138" s="576"/>
    </row>
    <row r="139" spans="1:14" ht="12.75" customHeight="1" thickTop="1" thickBot="1" x14ac:dyDescent="0.25">
      <c r="A139" s="1677" t="s">
        <v>1566</v>
      </c>
      <c r="B139" s="1687">
        <v>4000</v>
      </c>
      <c r="C139" s="617"/>
      <c r="D139" s="617"/>
      <c r="E139" s="1679">
        <f>SUM(E137,E138)</f>
        <v>0</v>
      </c>
      <c r="F139" s="617"/>
      <c r="G139" s="617"/>
      <c r="H139" s="1688">
        <f>SUM(H137:H138)</f>
        <v>0</v>
      </c>
      <c r="I139" s="477"/>
      <c r="J139" s="617"/>
      <c r="K139" s="1681">
        <f>SUM(K137,K138)</f>
        <v>0</v>
      </c>
      <c r="L139" s="1688">
        <f>SUM(L137,L138)</f>
        <v>0</v>
      </c>
    </row>
    <row r="140" spans="1:14" ht="15.75" customHeight="1" thickTop="1" x14ac:dyDescent="0.2">
      <c r="A140" s="1632" t="s">
        <v>1096</v>
      </c>
      <c r="B140" s="1633"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81">
        <f>SUM(H142)</f>
        <v>0</v>
      </c>
      <c r="L142" s="481"/>
    </row>
    <row r="143" spans="1:14" x14ac:dyDescent="0.2">
      <c r="A143" s="1526" t="s">
        <v>90</v>
      </c>
      <c r="B143" s="615">
        <v>5120</v>
      </c>
      <c r="C143" s="617"/>
      <c r="D143" s="617"/>
      <c r="E143" s="617"/>
      <c r="F143" s="617"/>
      <c r="G143" s="617"/>
      <c r="H143" s="466"/>
      <c r="I143" s="468"/>
      <c r="J143" s="617"/>
      <c r="K143" s="1681">
        <f>SUM(H143)</f>
        <v>0</v>
      </c>
      <c r="L143" s="466"/>
    </row>
    <row r="144" spans="1:14" ht="12.75" customHeight="1" x14ac:dyDescent="0.2">
      <c r="A144" s="1526" t="s">
        <v>1231</v>
      </c>
      <c r="B144" s="629" t="s">
        <v>637</v>
      </c>
      <c r="C144" s="617"/>
      <c r="D144" s="617"/>
      <c r="E144" s="617"/>
      <c r="F144" s="617"/>
      <c r="G144" s="617"/>
      <c r="H144" s="466"/>
      <c r="I144" s="468"/>
      <c r="J144" s="617"/>
      <c r="K144" s="1681">
        <f>SUM(H144)</f>
        <v>0</v>
      </c>
      <c r="L144" s="466"/>
    </row>
    <row r="145" spans="1:14" x14ac:dyDescent="0.2">
      <c r="A145" s="1526" t="s">
        <v>91</v>
      </c>
      <c r="B145" s="615" t="s">
        <v>609</v>
      </c>
      <c r="C145" s="617"/>
      <c r="D145" s="617"/>
      <c r="E145" s="617"/>
      <c r="F145" s="617"/>
      <c r="G145" s="617"/>
      <c r="H145" s="466"/>
      <c r="I145" s="468"/>
      <c r="J145" s="617"/>
      <c r="K145" s="1681">
        <f>SUM(H145)</f>
        <v>0</v>
      </c>
      <c r="L145" s="466"/>
    </row>
    <row r="146" spans="1:14" ht="12.75" customHeight="1" x14ac:dyDescent="0.2">
      <c r="A146" s="1526" t="s">
        <v>639</v>
      </c>
      <c r="B146" s="615" t="s">
        <v>638</v>
      </c>
      <c r="C146" s="617"/>
      <c r="D146" s="617"/>
      <c r="E146" s="617"/>
      <c r="F146" s="617"/>
      <c r="G146" s="617"/>
      <c r="H146" s="466"/>
      <c r="I146" s="468"/>
      <c r="J146" s="617"/>
      <c r="K146" s="1681">
        <f>SUM(H146)</f>
        <v>0</v>
      </c>
      <c r="L146" s="466"/>
    </row>
    <row r="147" spans="1:14" ht="12.75" customHeight="1" thickBot="1" x14ac:dyDescent="0.25">
      <c r="A147" s="1537" t="s">
        <v>646</v>
      </c>
      <c r="B147" s="660" t="s">
        <v>741</v>
      </c>
      <c r="C147" s="617"/>
      <c r="D147" s="617"/>
      <c r="E147" s="617"/>
      <c r="F147" s="617"/>
      <c r="G147" s="617"/>
      <c r="H147" s="1697">
        <f>SUM(H142:H146)</f>
        <v>0</v>
      </c>
      <c r="I147" s="468"/>
      <c r="J147" s="617"/>
      <c r="K147" s="1679">
        <f>SUM(K142:K146)</f>
        <v>0</v>
      </c>
      <c r="L147" s="1697">
        <f>SUM(L142:L146)</f>
        <v>0</v>
      </c>
    </row>
    <row r="148" spans="1:14" ht="15.75" customHeight="1" thickTop="1" x14ac:dyDescent="0.2">
      <c r="A148" s="661" t="s">
        <v>1164</v>
      </c>
      <c r="B148" s="662" t="s">
        <v>38</v>
      </c>
      <c r="C148" s="617"/>
      <c r="D148" s="617"/>
      <c r="E148" s="617"/>
      <c r="F148" s="617"/>
      <c r="G148" s="617"/>
      <c r="H148" s="479"/>
      <c r="I148" s="468"/>
      <c r="J148" s="617"/>
      <c r="K148" s="1681">
        <f>SUM(H148)</f>
        <v>0</v>
      </c>
      <c r="L148" s="492"/>
    </row>
    <row r="149" spans="1:14" ht="12.75" customHeight="1" thickBot="1" x14ac:dyDescent="0.25">
      <c r="A149" s="1529" t="s">
        <v>658</v>
      </c>
      <c r="B149" s="618" t="s">
        <v>512</v>
      </c>
      <c r="C149" s="617"/>
      <c r="D149" s="617"/>
      <c r="E149" s="617"/>
      <c r="F149" s="617"/>
      <c r="G149" s="617"/>
      <c r="H149" s="1679">
        <f>SUM(H147,H148)</f>
        <v>0</v>
      </c>
      <c r="I149" s="468"/>
      <c r="J149" s="617"/>
      <c r="K149" s="1679">
        <f>SUM(K147:K148)</f>
        <v>0</v>
      </c>
      <c r="L149" s="1679">
        <f>SUM(L142:L146,L148)</f>
        <v>0</v>
      </c>
    </row>
    <row r="150" spans="1:14" ht="15.75" customHeight="1" thickTop="1" thickBot="1" x14ac:dyDescent="0.25">
      <c r="A150" s="1626" t="s">
        <v>1097</v>
      </c>
      <c r="B150" s="1633" t="s">
        <v>915</v>
      </c>
      <c r="C150" s="617"/>
      <c r="D150" s="617"/>
      <c r="E150" s="617"/>
      <c r="F150" s="617"/>
      <c r="G150" s="617"/>
      <c r="H150" s="663"/>
      <c r="I150" s="521"/>
      <c r="J150" s="617"/>
      <c r="K150" s="624"/>
      <c r="L150" s="573"/>
    </row>
    <row r="151" spans="1:14" ht="12.75" customHeight="1" thickTop="1" thickBot="1" x14ac:dyDescent="0.25">
      <c r="A151" s="2195" t="s">
        <v>640</v>
      </c>
      <c r="B151" s="2177"/>
      <c r="C151" s="1679">
        <f>SUM(C129,C130,C139,C149,C150)</f>
        <v>2892206</v>
      </c>
      <c r="D151" s="1679">
        <f t="shared" ref="D151:K151" si="16">SUM(D129,D130,D139,D149,D150)</f>
        <v>365092</v>
      </c>
      <c r="E151" s="1679">
        <f t="shared" si="16"/>
        <v>1370542</v>
      </c>
      <c r="F151" s="1679">
        <f t="shared" si="16"/>
        <v>3424262</v>
      </c>
      <c r="G151" s="1679">
        <f t="shared" si="16"/>
        <v>1705477</v>
      </c>
      <c r="H151" s="1679">
        <f t="shared" si="16"/>
        <v>0</v>
      </c>
      <c r="I151" s="1679">
        <f t="shared" si="16"/>
        <v>36598</v>
      </c>
      <c r="J151" s="1679">
        <f t="shared" si="16"/>
        <v>0</v>
      </c>
      <c r="K151" s="1679">
        <f t="shared" si="16"/>
        <v>9794177</v>
      </c>
      <c r="L151" s="1679">
        <f>SUM(L129,L130,L139,L149,L150)</f>
        <v>11261503</v>
      </c>
    </row>
    <row r="152" spans="1:14" ht="12.75" customHeight="1" thickTop="1" x14ac:dyDescent="0.2">
      <c r="A152" s="2198" t="s">
        <v>1239</v>
      </c>
      <c r="B152" s="2199"/>
      <c r="C152" s="619"/>
      <c r="D152" s="619"/>
      <c r="E152" s="619"/>
      <c r="F152" s="619"/>
      <c r="G152" s="619"/>
      <c r="H152" s="619"/>
      <c r="I152" s="619"/>
      <c r="J152" s="617"/>
      <c r="K152" s="1693">
        <f>'Revenues 9-14'!D275-'Expenditures 15-22'!K151</f>
        <v>-4628265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641</v>
      </c>
      <c r="B154" s="2185"/>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914</v>
      </c>
      <c r="C155" s="617"/>
      <c r="D155" s="617"/>
      <c r="E155" s="617"/>
      <c r="F155" s="617"/>
      <c r="G155" s="617"/>
      <c r="H155" s="1844"/>
      <c r="I155" s="617"/>
      <c r="J155" s="617"/>
      <c r="K155" s="1828"/>
      <c r="L155" s="1844"/>
      <c r="M155" s="620"/>
      <c r="N155" s="620"/>
    </row>
    <row r="156" spans="1:14" s="621" customFormat="1" ht="15.75" customHeight="1" thickTop="1" x14ac:dyDescent="0.2">
      <c r="A156" s="1825" t="s">
        <v>1954</v>
      </c>
      <c r="B156" s="1826"/>
      <c r="C156" s="617"/>
      <c r="D156" s="617"/>
      <c r="E156" s="617"/>
      <c r="F156" s="617"/>
      <c r="G156" s="617"/>
      <c r="H156" s="1845"/>
      <c r="I156" s="617"/>
      <c r="J156" s="617"/>
      <c r="K156" s="1827"/>
      <c r="L156" s="1845"/>
      <c r="M156" s="620"/>
      <c r="N156" s="620"/>
    </row>
    <row r="157" spans="1:14" s="621" customFormat="1" ht="12" x14ac:dyDescent="0.2">
      <c r="A157" s="1829" t="s">
        <v>516</v>
      </c>
      <c r="B157" s="1830" t="s">
        <v>1953</v>
      </c>
      <c r="C157" s="617"/>
      <c r="D157" s="617"/>
      <c r="E157" s="617"/>
      <c r="F157" s="617"/>
      <c r="G157" s="617"/>
      <c r="H157" s="642"/>
      <c r="I157" s="617"/>
      <c r="J157" s="617"/>
      <c r="K157" s="1680">
        <f>H157</f>
        <v>0</v>
      </c>
      <c r="L157" s="467"/>
      <c r="M157" s="620"/>
      <c r="N157" s="620"/>
    </row>
    <row r="158" spans="1:14" s="621" customFormat="1" ht="12" x14ac:dyDescent="0.2">
      <c r="A158" s="1829" t="s">
        <v>321</v>
      </c>
      <c r="B158" s="1830" t="s">
        <v>1955</v>
      </c>
      <c r="C158" s="617"/>
      <c r="D158" s="617"/>
      <c r="E158" s="617"/>
      <c r="F158" s="617"/>
      <c r="G158" s="617"/>
      <c r="H158" s="467"/>
      <c r="I158" s="617"/>
      <c r="J158" s="617"/>
      <c r="K158" s="1680">
        <f>H158</f>
        <v>0</v>
      </c>
      <c r="L158" s="467"/>
      <c r="M158" s="620"/>
      <c r="N158" s="620"/>
    </row>
    <row r="159" spans="1:14" s="621" customFormat="1" ht="12" x14ac:dyDescent="0.2">
      <c r="A159" s="1829" t="s">
        <v>1956</v>
      </c>
      <c r="B159" s="1830" t="s">
        <v>578</v>
      </c>
      <c r="C159" s="617"/>
      <c r="D159" s="617"/>
      <c r="E159" s="617"/>
      <c r="F159" s="617"/>
      <c r="G159" s="617"/>
      <c r="H159" s="467"/>
      <c r="I159" s="617"/>
      <c r="J159" s="617"/>
      <c r="K159" s="1680">
        <f>H159</f>
        <v>0</v>
      </c>
      <c r="L159" s="467"/>
      <c r="M159" s="620"/>
      <c r="N159" s="620"/>
    </row>
    <row r="160" spans="1:14" s="621" customFormat="1" ht="15.75" customHeight="1" thickBot="1" x14ac:dyDescent="0.25">
      <c r="A160" s="1831" t="s">
        <v>1957</v>
      </c>
      <c r="B160" s="1832" t="s">
        <v>914</v>
      </c>
      <c r="C160" s="617"/>
      <c r="D160" s="617"/>
      <c r="E160" s="617"/>
      <c r="F160" s="617"/>
      <c r="G160" s="617"/>
      <c r="H160" s="1697">
        <f>SUM(H157:H159)</f>
        <v>0</v>
      </c>
      <c r="I160" s="617"/>
      <c r="J160" s="617"/>
      <c r="K160" s="1679">
        <f>SUM(K157:K159)</f>
        <v>0</v>
      </c>
      <c r="L160" s="1697">
        <f>SUM(L157:L159)</f>
        <v>0</v>
      </c>
      <c r="M160" s="620"/>
      <c r="N160" s="620"/>
    </row>
    <row r="161" spans="1:14" s="259" customFormat="1" ht="15.75" customHeight="1" thickTop="1" x14ac:dyDescent="0.2">
      <c r="A161" s="1632" t="s">
        <v>84</v>
      </c>
      <c r="B161" s="1633"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0">
        <f>SUM(C163:J163)</f>
        <v>0</v>
      </c>
      <c r="L163" s="466"/>
    </row>
    <row r="164" spans="1:14" x14ac:dyDescent="0.2">
      <c r="A164" s="1526" t="s">
        <v>90</v>
      </c>
      <c r="B164" s="615">
        <v>5120</v>
      </c>
      <c r="C164" s="617"/>
      <c r="D164" s="617"/>
      <c r="E164" s="617"/>
      <c r="F164" s="617"/>
      <c r="G164" s="617"/>
      <c r="H164" s="466"/>
      <c r="I164" s="617"/>
      <c r="J164" s="617"/>
      <c r="K164" s="1680">
        <f>SUM(C164:J164)</f>
        <v>0</v>
      </c>
      <c r="L164" s="466"/>
    </row>
    <row r="165" spans="1:14" ht="12.75" customHeight="1" x14ac:dyDescent="0.2">
      <c r="A165" s="1526" t="s">
        <v>1231</v>
      </c>
      <c r="B165" s="615" t="s">
        <v>637</v>
      </c>
      <c r="C165" s="617"/>
      <c r="D165" s="617"/>
      <c r="E165" s="617"/>
      <c r="F165" s="617"/>
      <c r="G165" s="617"/>
      <c r="H165" s="466"/>
      <c r="I165" s="617"/>
      <c r="J165" s="617"/>
      <c r="K165" s="1680">
        <f>SUM(C165:J165)</f>
        <v>0</v>
      </c>
      <c r="L165" s="466"/>
    </row>
    <row r="166" spans="1:14" x14ac:dyDescent="0.2">
      <c r="A166" s="1526" t="s">
        <v>91</v>
      </c>
      <c r="B166" s="629" t="s">
        <v>609</v>
      </c>
      <c r="C166" s="617"/>
      <c r="D166" s="617"/>
      <c r="E166" s="617"/>
      <c r="F166" s="617"/>
      <c r="G166" s="617"/>
      <c r="H166" s="466"/>
      <c r="I166" s="617"/>
      <c r="J166" s="617"/>
      <c r="K166" s="1680">
        <f>SUM(C166:J166)</f>
        <v>0</v>
      </c>
      <c r="L166" s="466"/>
    </row>
    <row r="167" spans="1:14" ht="12.75" customHeight="1" x14ac:dyDescent="0.2">
      <c r="A167" s="1526" t="s">
        <v>639</v>
      </c>
      <c r="B167" s="615" t="s">
        <v>638</v>
      </c>
      <c r="C167" s="617"/>
      <c r="D167" s="617"/>
      <c r="E167" s="617"/>
      <c r="F167" s="617"/>
      <c r="G167" s="617"/>
      <c r="H167" s="466"/>
      <c r="I167" s="617"/>
      <c r="J167" s="617"/>
      <c r="K167" s="1680">
        <f>SUM(C167:J167)</f>
        <v>0</v>
      </c>
      <c r="L167" s="466"/>
    </row>
    <row r="168" spans="1:14" ht="13.5" thickBot="1" x14ac:dyDescent="0.25">
      <c r="A168" s="1677" t="s">
        <v>293</v>
      </c>
      <c r="B168" s="1684" t="s">
        <v>741</v>
      </c>
      <c r="C168" s="617"/>
      <c r="D168" s="617"/>
      <c r="E168" s="617"/>
      <c r="F168" s="617"/>
      <c r="G168" s="617"/>
      <c r="H168" s="1679">
        <f>SUM(H163:H167)</f>
        <v>0</v>
      </c>
      <c r="I168" s="617"/>
      <c r="J168" s="617"/>
      <c r="K168" s="1679">
        <f>SUM(K163:K167)</f>
        <v>0</v>
      </c>
      <c r="L168" s="1679">
        <f>SUM(L163:L167)</f>
        <v>0</v>
      </c>
    </row>
    <row r="169" spans="1:14" ht="15.75" customHeight="1" thickTop="1" x14ac:dyDescent="0.2">
      <c r="A169" s="670" t="s">
        <v>85</v>
      </c>
      <c r="B169" s="671" t="s">
        <v>38</v>
      </c>
      <c r="C169" s="617"/>
      <c r="D169" s="617"/>
      <c r="E169" s="617"/>
      <c r="F169" s="617"/>
      <c r="G169" s="617"/>
      <c r="H169" s="657">
        <v>6218644</v>
      </c>
      <c r="I169" s="617"/>
      <c r="J169" s="617"/>
      <c r="K169" s="1680">
        <f>SUM(C169:H169)</f>
        <v>6218644</v>
      </c>
      <c r="L169" s="657">
        <v>6242470</v>
      </c>
    </row>
    <row r="170" spans="1:14" ht="33.75" customHeight="1" x14ac:dyDescent="0.2">
      <c r="A170" s="670" t="s">
        <v>1768</v>
      </c>
      <c r="B170" s="672" t="s">
        <v>31</v>
      </c>
      <c r="C170" s="617"/>
      <c r="D170" s="617"/>
      <c r="E170" s="617"/>
      <c r="F170" s="617"/>
      <c r="G170" s="617"/>
      <c r="H170" s="569">
        <v>3662144</v>
      </c>
      <c r="I170" s="617"/>
      <c r="J170" s="617"/>
      <c r="K170" s="1680">
        <f>SUM(C170:J170)</f>
        <v>3662144</v>
      </c>
      <c r="L170" s="569">
        <v>3464231</v>
      </c>
    </row>
    <row r="171" spans="1:14" ht="15.75" customHeight="1" x14ac:dyDescent="0.2">
      <c r="A171" s="622" t="s">
        <v>789</v>
      </c>
      <c r="B171" s="673" t="s">
        <v>86</v>
      </c>
      <c r="C171" s="617"/>
      <c r="D171" s="617"/>
      <c r="E171" s="466"/>
      <c r="F171" s="617"/>
      <c r="G171" s="617"/>
      <c r="H171" s="569">
        <v>4252</v>
      </c>
      <c r="I171" s="477"/>
      <c r="J171" s="617"/>
      <c r="K171" s="1680">
        <f>SUM(C171:J171)</f>
        <v>4252</v>
      </c>
      <c r="L171" s="569">
        <v>5000</v>
      </c>
    </row>
    <row r="172" spans="1:14" ht="12.75" customHeight="1" thickBot="1" x14ac:dyDescent="0.25">
      <c r="A172" s="1677" t="s">
        <v>658</v>
      </c>
      <c r="B172" s="1678" t="s">
        <v>512</v>
      </c>
      <c r="C172" s="617"/>
      <c r="D172" s="617"/>
      <c r="E172" s="1686">
        <f>SUM(E168,E169,E170,E171)</f>
        <v>0</v>
      </c>
      <c r="F172" s="617"/>
      <c r="G172" s="617"/>
      <c r="H172" s="1686">
        <f>SUM(H168,H169,H170,H171)</f>
        <v>9885040</v>
      </c>
      <c r="I172" s="639"/>
      <c r="J172" s="617"/>
      <c r="K172" s="1686">
        <f>SUM(K168,K169,K170,K171)</f>
        <v>9885040</v>
      </c>
      <c r="L172" s="1686">
        <f>SUM(L168,L169,L170,L171)</f>
        <v>9711701</v>
      </c>
    </row>
    <row r="173" spans="1:14" ht="15.75" customHeight="1" thickTop="1" thickBot="1" x14ac:dyDescent="0.25">
      <c r="A173" s="1639" t="s">
        <v>87</v>
      </c>
      <c r="B173" s="1631" t="s">
        <v>915</v>
      </c>
      <c r="C173" s="617"/>
      <c r="D173" s="617"/>
      <c r="E173" s="624"/>
      <c r="F173" s="617"/>
      <c r="G173" s="617"/>
      <c r="H173" s="627"/>
      <c r="I173" s="639"/>
      <c r="J173" s="617"/>
      <c r="K173" s="624"/>
      <c r="L173" s="576"/>
    </row>
    <row r="174" spans="1:14" ht="12.75" customHeight="1" thickTop="1" thickBot="1" x14ac:dyDescent="0.25">
      <c r="A174" s="1698" t="s">
        <v>92</v>
      </c>
      <c r="B174" s="1699"/>
      <c r="C174" s="617"/>
      <c r="D174" s="617"/>
      <c r="E174" s="1686">
        <f>SUM(E155,E172,E173)</f>
        <v>0</v>
      </c>
      <c r="F174" s="617"/>
      <c r="G174" s="617"/>
      <c r="H174" s="1686">
        <f>SUM(H160,H172,H173)</f>
        <v>9885040</v>
      </c>
      <c r="I174" s="639"/>
      <c r="J174" s="617"/>
      <c r="K174" s="1686">
        <f>SUM(K160,K172,K173)</f>
        <v>9885040</v>
      </c>
      <c r="L174" s="1686">
        <f>SUM(L160,L172,L173)</f>
        <v>9711701</v>
      </c>
    </row>
    <row r="175" spans="1:14" ht="13.5" thickTop="1" x14ac:dyDescent="0.2">
      <c r="A175" s="2205" t="s">
        <v>1052</v>
      </c>
      <c r="B175" s="2206"/>
      <c r="C175" s="617"/>
      <c r="D175" s="617"/>
      <c r="E175" s="617"/>
      <c r="F175" s="617"/>
      <c r="G175" s="617"/>
      <c r="H175" s="619"/>
      <c r="I175" s="617"/>
      <c r="J175" s="617"/>
      <c r="K175" s="1693">
        <f>'Revenues 9-14'!E275-'Expenditures 15-22'!K174</f>
        <v>-100427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993</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994</v>
      </c>
      <c r="B178" s="1641"/>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0">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130489</v>
      </c>
      <c r="D182" s="466">
        <v>20171</v>
      </c>
      <c r="E182" s="466">
        <v>9898548</v>
      </c>
      <c r="F182" s="466">
        <v>28354</v>
      </c>
      <c r="G182" s="466"/>
      <c r="H182" s="466"/>
      <c r="I182" s="467"/>
      <c r="J182" s="467"/>
      <c r="K182" s="1680">
        <f>SUM(C182:J182)</f>
        <v>10077562</v>
      </c>
      <c r="L182" s="466">
        <v>10578127</v>
      </c>
    </row>
    <row r="183" spans="1:14" ht="12.75" customHeight="1" thickBot="1" x14ac:dyDescent="0.25">
      <c r="A183" s="1531" t="s">
        <v>1036</v>
      </c>
      <c r="B183" s="678">
        <v>2900</v>
      </c>
      <c r="C183" s="573"/>
      <c r="D183" s="573"/>
      <c r="E183" s="573"/>
      <c r="F183" s="573"/>
      <c r="G183" s="573"/>
      <c r="H183" s="573"/>
      <c r="I183" s="532"/>
      <c r="J183" s="532"/>
      <c r="K183" s="1686">
        <f>SUM(C183:J183)</f>
        <v>0</v>
      </c>
      <c r="L183" s="573"/>
    </row>
    <row r="184" spans="1:14" ht="12.75" customHeight="1" thickTop="1" thickBot="1" x14ac:dyDescent="0.25">
      <c r="A184" s="1700" t="s">
        <v>864</v>
      </c>
      <c r="B184" s="1678" t="s">
        <v>589</v>
      </c>
      <c r="C184" s="1686">
        <f>SUM(C180,C182,C183)</f>
        <v>130489</v>
      </c>
      <c r="D184" s="1686">
        <f t="shared" ref="D184:J184" si="17">SUM(D180,D182,D183)</f>
        <v>20171</v>
      </c>
      <c r="E184" s="1686">
        <f t="shared" si="17"/>
        <v>9898548</v>
      </c>
      <c r="F184" s="1686">
        <f t="shared" si="17"/>
        <v>28354</v>
      </c>
      <c r="G184" s="1686">
        <f t="shared" si="17"/>
        <v>0</v>
      </c>
      <c r="H184" s="1686">
        <f t="shared" si="17"/>
        <v>0</v>
      </c>
      <c r="I184" s="1686">
        <f t="shared" si="17"/>
        <v>0</v>
      </c>
      <c r="J184" s="1686">
        <f t="shared" si="17"/>
        <v>0</v>
      </c>
      <c r="K184" s="1686">
        <f>SUM(K180,K182,K183)</f>
        <v>10077562</v>
      </c>
      <c r="L184" s="1686">
        <f>SUM(L180, L182:L183)</f>
        <v>10578127</v>
      </c>
    </row>
    <row r="185" spans="1:14" ht="15.75" customHeight="1" thickTop="1" thickBot="1" x14ac:dyDescent="0.25">
      <c r="A185" s="1642" t="s">
        <v>995</v>
      </c>
      <c r="B185" s="1631">
        <v>3000</v>
      </c>
      <c r="C185" s="576"/>
      <c r="D185" s="576"/>
      <c r="E185" s="576"/>
      <c r="F185" s="576"/>
      <c r="G185" s="576"/>
      <c r="H185" s="576"/>
      <c r="I185" s="531"/>
      <c r="J185" s="531"/>
      <c r="K185" s="1679">
        <f>SUM(C185:J185)</f>
        <v>0</v>
      </c>
      <c r="L185" s="576"/>
    </row>
    <row r="186" spans="1:14" s="675" customFormat="1" ht="15.75" customHeight="1" thickTop="1" x14ac:dyDescent="0.2">
      <c r="A186" s="1626" t="s">
        <v>93</v>
      </c>
      <c r="B186" s="1629"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80">
        <f t="shared" ref="K188:K193" si="18">SUM(E188,H188)</f>
        <v>0</v>
      </c>
      <c r="L188" s="466"/>
    </row>
    <row r="189" spans="1:14" x14ac:dyDescent="0.2">
      <c r="A189" s="1526" t="s">
        <v>321</v>
      </c>
      <c r="B189" s="615">
        <v>4120</v>
      </c>
      <c r="C189" s="617"/>
      <c r="D189" s="617"/>
      <c r="E189" s="466"/>
      <c r="F189" s="617"/>
      <c r="G189" s="617"/>
      <c r="H189" s="466"/>
      <c r="I189" s="477"/>
      <c r="J189" s="617"/>
      <c r="K189" s="1680">
        <f t="shared" si="18"/>
        <v>0</v>
      </c>
      <c r="L189" s="466"/>
    </row>
    <row r="190" spans="1:14" x14ac:dyDescent="0.2">
      <c r="A190" s="1526" t="s">
        <v>322</v>
      </c>
      <c r="B190" s="629">
        <v>4130</v>
      </c>
      <c r="C190" s="617"/>
      <c r="D190" s="617"/>
      <c r="E190" s="466"/>
      <c r="F190" s="617"/>
      <c r="G190" s="617"/>
      <c r="H190" s="466"/>
      <c r="I190" s="477"/>
      <c r="J190" s="617"/>
      <c r="K190" s="1680">
        <f t="shared" si="18"/>
        <v>0</v>
      </c>
      <c r="L190" s="466"/>
    </row>
    <row r="191" spans="1:14" x14ac:dyDescent="0.2">
      <c r="A191" s="1526" t="s">
        <v>720</v>
      </c>
      <c r="B191" s="615">
        <v>4140</v>
      </c>
      <c r="C191" s="617"/>
      <c r="D191" s="617"/>
      <c r="E191" s="466"/>
      <c r="F191" s="617"/>
      <c r="G191" s="617"/>
      <c r="H191" s="466"/>
      <c r="I191" s="477"/>
      <c r="J191" s="617"/>
      <c r="K191" s="1680">
        <f t="shared" si="18"/>
        <v>0</v>
      </c>
      <c r="L191" s="466"/>
    </row>
    <row r="192" spans="1:14" x14ac:dyDescent="0.2">
      <c r="A192" s="1526" t="s">
        <v>88</v>
      </c>
      <c r="B192" s="615">
        <v>4170</v>
      </c>
      <c r="C192" s="617"/>
      <c r="D192" s="617"/>
      <c r="E192" s="466"/>
      <c r="F192" s="617"/>
      <c r="G192" s="617"/>
      <c r="H192" s="466"/>
      <c r="I192" s="477"/>
      <c r="J192" s="617"/>
      <c r="K192" s="1680">
        <f t="shared" si="18"/>
        <v>0</v>
      </c>
      <c r="L192" s="466"/>
    </row>
    <row r="193" spans="1:14" x14ac:dyDescent="0.2">
      <c r="A193" s="1530" t="s">
        <v>721</v>
      </c>
      <c r="B193" s="629">
        <v>4190</v>
      </c>
      <c r="C193" s="617"/>
      <c r="D193" s="617"/>
      <c r="E193" s="466"/>
      <c r="F193" s="617"/>
      <c r="G193" s="617"/>
      <c r="H193" s="466"/>
      <c r="I193" s="477"/>
      <c r="J193" s="617"/>
      <c r="K193" s="1680">
        <f t="shared" si="18"/>
        <v>0</v>
      </c>
      <c r="L193" s="466"/>
    </row>
    <row r="194" spans="1:14" ht="12.75" customHeight="1" thickBot="1" x14ac:dyDescent="0.25">
      <c r="A194" s="1677" t="s">
        <v>1201</v>
      </c>
      <c r="B194" s="1678" t="s">
        <v>579</v>
      </c>
      <c r="C194" s="617"/>
      <c r="D194" s="617"/>
      <c r="E194" s="1679">
        <f>SUM(E188:E193)</f>
        <v>0</v>
      </c>
      <c r="F194" s="617"/>
      <c r="G194" s="617"/>
      <c r="H194" s="1679">
        <f>SUM(H188:H193)</f>
        <v>0</v>
      </c>
      <c r="I194" s="477"/>
      <c r="J194" s="617"/>
      <c r="K194" s="1679">
        <f>SUM(K188:K193)</f>
        <v>0</v>
      </c>
      <c r="L194" s="1679">
        <f>SUM(L188:L193)</f>
        <v>0</v>
      </c>
    </row>
    <row r="195" spans="1:14" ht="15.75" customHeight="1" thickTop="1" x14ac:dyDescent="0.2">
      <c r="A195" s="670" t="s">
        <v>94</v>
      </c>
      <c r="B195" s="679" t="s">
        <v>987</v>
      </c>
      <c r="C195" s="617"/>
      <c r="D195" s="617"/>
      <c r="E195" s="657"/>
      <c r="F195" s="617"/>
      <c r="G195" s="617"/>
      <c r="H195" s="657"/>
      <c r="I195" s="477"/>
      <c r="J195" s="617"/>
      <c r="K195" s="1694">
        <f>SUM(E195,H195)</f>
        <v>0</v>
      </c>
      <c r="L195" s="657"/>
    </row>
    <row r="196" spans="1:14" ht="12.75" customHeight="1" thickBot="1" x14ac:dyDescent="0.25">
      <c r="A196" s="1677" t="s">
        <v>1566</v>
      </c>
      <c r="B196" s="1678" t="s">
        <v>914</v>
      </c>
      <c r="C196" s="617"/>
      <c r="D196" s="617"/>
      <c r="E196" s="1686">
        <f>SUM(E194,E195)</f>
        <v>0</v>
      </c>
      <c r="F196" s="617"/>
      <c r="G196" s="617"/>
      <c r="H196" s="1686">
        <f>SUM(H194,H195)</f>
        <v>0</v>
      </c>
      <c r="I196" s="477"/>
      <c r="J196" s="617"/>
      <c r="K196" s="1686">
        <f>SUM(K194,K195)</f>
        <v>0</v>
      </c>
      <c r="L196" s="1686">
        <f>SUM(L194,L195)</f>
        <v>0</v>
      </c>
    </row>
    <row r="197" spans="1:14" s="675" customFormat="1" ht="15.75" customHeight="1" thickTop="1" x14ac:dyDescent="0.2">
      <c r="A197" s="1632" t="s">
        <v>996</v>
      </c>
      <c r="B197" s="1629"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0">
        <f>SUM(H199)</f>
        <v>0</v>
      </c>
      <c r="L199" s="466"/>
    </row>
    <row r="200" spans="1:14" x14ac:dyDescent="0.2">
      <c r="A200" s="1526" t="s">
        <v>90</v>
      </c>
      <c r="B200" s="615">
        <v>5120</v>
      </c>
      <c r="C200" s="617"/>
      <c r="D200" s="617"/>
      <c r="E200" s="617"/>
      <c r="F200" s="617"/>
      <c r="G200" s="617"/>
      <c r="H200" s="466"/>
      <c r="I200" s="617"/>
      <c r="J200" s="617"/>
      <c r="K200" s="1680">
        <f>SUM(H200)</f>
        <v>0</v>
      </c>
      <c r="L200" s="466"/>
    </row>
    <row r="201" spans="1:14" ht="12.75" customHeight="1" x14ac:dyDescent="0.2">
      <c r="A201" s="1526" t="s">
        <v>1231</v>
      </c>
      <c r="B201" s="629" t="s">
        <v>637</v>
      </c>
      <c r="C201" s="617"/>
      <c r="D201" s="617"/>
      <c r="E201" s="617"/>
      <c r="F201" s="617"/>
      <c r="G201" s="617"/>
      <c r="H201" s="466"/>
      <c r="I201" s="617"/>
      <c r="J201" s="617"/>
      <c r="K201" s="1680">
        <f>SUM(H201)</f>
        <v>0</v>
      </c>
      <c r="L201" s="466"/>
    </row>
    <row r="202" spans="1:14" x14ac:dyDescent="0.2">
      <c r="A202" s="1526" t="s">
        <v>91</v>
      </c>
      <c r="B202" s="615" t="s">
        <v>609</v>
      </c>
      <c r="C202" s="617"/>
      <c r="D202" s="617"/>
      <c r="E202" s="617"/>
      <c r="F202" s="617"/>
      <c r="G202" s="617"/>
      <c r="H202" s="466"/>
      <c r="I202" s="617"/>
      <c r="J202" s="617"/>
      <c r="K202" s="1680">
        <f>SUM(H202)</f>
        <v>0</v>
      </c>
      <c r="L202" s="466"/>
    </row>
    <row r="203" spans="1:14" x14ac:dyDescent="0.2">
      <c r="A203" s="1538" t="s">
        <v>639</v>
      </c>
      <c r="B203" s="615" t="s">
        <v>638</v>
      </c>
      <c r="C203" s="617"/>
      <c r="D203" s="617"/>
      <c r="E203" s="617"/>
      <c r="F203" s="617"/>
      <c r="G203" s="617"/>
      <c r="H203" s="471"/>
      <c r="I203" s="617"/>
      <c r="J203" s="617"/>
      <c r="K203" s="1680">
        <f>SUM(H203)</f>
        <v>0</v>
      </c>
      <c r="L203" s="471"/>
    </row>
    <row r="204" spans="1:14" ht="13.5" thickBot="1" x14ac:dyDescent="0.25">
      <c r="A204" s="1677" t="s">
        <v>293</v>
      </c>
      <c r="B204" s="1678" t="s">
        <v>741</v>
      </c>
      <c r="C204" s="617"/>
      <c r="D204" s="617"/>
      <c r="E204" s="617"/>
      <c r="F204" s="617"/>
      <c r="G204" s="617"/>
      <c r="H204" s="1679">
        <f>SUM(H199:H203)</f>
        <v>0</v>
      </c>
      <c r="I204" s="617"/>
      <c r="J204" s="617"/>
      <c r="K204" s="1679">
        <f>SUM(K199:K203)</f>
        <v>0</v>
      </c>
      <c r="L204" s="1679">
        <f>SUM(L199:L203)</f>
        <v>0</v>
      </c>
    </row>
    <row r="205" spans="1:14" ht="15.75" customHeight="1" thickTop="1" x14ac:dyDescent="0.2">
      <c r="A205" s="680" t="s">
        <v>85</v>
      </c>
      <c r="B205" s="681" t="s">
        <v>38</v>
      </c>
      <c r="C205" s="617"/>
      <c r="D205" s="617"/>
      <c r="E205" s="617"/>
      <c r="F205" s="617"/>
      <c r="G205" s="617"/>
      <c r="H205" s="535"/>
      <c r="I205" s="617"/>
      <c r="J205" s="617"/>
      <c r="K205" s="1694">
        <f>SUM(H205)</f>
        <v>0</v>
      </c>
      <c r="L205" s="535"/>
    </row>
    <row r="206" spans="1:14" ht="30" customHeight="1" x14ac:dyDescent="0.2">
      <c r="A206" s="682" t="s">
        <v>1769</v>
      </c>
      <c r="B206" s="673" t="s">
        <v>31</v>
      </c>
      <c r="C206" s="617"/>
      <c r="D206" s="617"/>
      <c r="E206" s="617"/>
      <c r="F206" s="617"/>
      <c r="G206" s="617"/>
      <c r="H206" s="466"/>
      <c r="I206" s="617"/>
      <c r="J206" s="617"/>
      <c r="K206" s="1680">
        <f>SUM(H206)</f>
        <v>0</v>
      </c>
      <c r="L206" s="466"/>
    </row>
    <row r="207" spans="1:14" ht="15.75" customHeight="1" x14ac:dyDescent="0.2">
      <c r="A207" s="622" t="s">
        <v>789</v>
      </c>
      <c r="B207" s="673" t="s">
        <v>86</v>
      </c>
      <c r="C207" s="617"/>
      <c r="D207" s="617"/>
      <c r="E207" s="617"/>
      <c r="F207" s="617"/>
      <c r="G207" s="617"/>
      <c r="H207" s="467"/>
      <c r="I207" s="617"/>
      <c r="J207" s="617"/>
      <c r="K207" s="1680">
        <f>H207</f>
        <v>0</v>
      </c>
      <c r="L207" s="466"/>
    </row>
    <row r="208" spans="1:14" ht="12.75" customHeight="1" thickBot="1" x14ac:dyDescent="0.25">
      <c r="A208" s="1695" t="s">
        <v>658</v>
      </c>
      <c r="B208" s="1696" t="s">
        <v>512</v>
      </c>
      <c r="C208" s="617"/>
      <c r="D208" s="617"/>
      <c r="E208" s="617"/>
      <c r="F208" s="617"/>
      <c r="G208" s="617"/>
      <c r="H208" s="1686">
        <f>SUM(H204,H205,H206,H207)</f>
        <v>0</v>
      </c>
      <c r="I208" s="617"/>
      <c r="J208" s="617"/>
      <c r="K208" s="1686">
        <f>SUM(K204,K205,K206,K207)</f>
        <v>0</v>
      </c>
      <c r="L208" s="1686">
        <f>SUM(L204,L205,L206,L207)</f>
        <v>0</v>
      </c>
    </row>
    <row r="209" spans="1:14" ht="15.75" customHeight="1" thickTop="1" thickBot="1" x14ac:dyDescent="0.25">
      <c r="A209" s="1626" t="s">
        <v>926</v>
      </c>
      <c r="B209" s="1633" t="s">
        <v>915</v>
      </c>
      <c r="C209" s="624"/>
      <c r="D209" s="624"/>
      <c r="E209" s="624"/>
      <c r="F209" s="624"/>
      <c r="G209" s="624"/>
      <c r="H209" s="624"/>
      <c r="I209" s="617"/>
      <c r="J209" s="617"/>
      <c r="K209" s="624"/>
      <c r="L209" s="576"/>
    </row>
    <row r="210" spans="1:14" ht="12.75" customHeight="1" thickTop="1" thickBot="1" x14ac:dyDescent="0.25">
      <c r="A210" s="1701" t="s">
        <v>294</v>
      </c>
      <c r="B210" s="1702"/>
      <c r="C210" s="1679">
        <f>SUM(C184,C185)</f>
        <v>130489</v>
      </c>
      <c r="D210" s="1679">
        <f>SUM(D184,D185)</f>
        <v>20171</v>
      </c>
      <c r="E210" s="1679">
        <f>SUM(E184,E185,E196)</f>
        <v>9898548</v>
      </c>
      <c r="F210" s="1679">
        <f>SUM(F184,F185)</f>
        <v>28354</v>
      </c>
      <c r="G210" s="1679">
        <f>SUM(G184,G185)</f>
        <v>0</v>
      </c>
      <c r="H210" s="1679">
        <f>SUM(H184,H185,H196,H208,H209)</f>
        <v>0</v>
      </c>
      <c r="I210" s="1679">
        <f>SUM(I184,I185)</f>
        <v>0</v>
      </c>
      <c r="J210" s="1679">
        <f>SUM(J184,J185)</f>
        <v>0</v>
      </c>
      <c r="K210" s="1680">
        <f>SUM(K184,K185,K196,K208,K209)</f>
        <v>10077562</v>
      </c>
      <c r="L210" s="1679">
        <f>SUM(L184,L185,L196,L208,L209)</f>
        <v>10578127</v>
      </c>
    </row>
    <row r="211" spans="1:14" ht="13.5" thickTop="1" x14ac:dyDescent="0.2">
      <c r="A211" s="2205" t="s">
        <v>1052</v>
      </c>
      <c r="B211" s="2206"/>
      <c r="C211" s="619"/>
      <c r="D211" s="619"/>
      <c r="E211" s="619"/>
      <c r="F211" s="619"/>
      <c r="G211" s="619"/>
      <c r="H211" s="619"/>
      <c r="I211" s="617"/>
      <c r="J211" s="617"/>
      <c r="K211" s="1693">
        <f>'Revenues 9-14'!F275-'Expenditures 15-22'!K210</f>
        <v>4034223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1021</v>
      </c>
      <c r="B213" s="2201"/>
      <c r="C213" s="1571"/>
      <c r="D213" s="1572"/>
      <c r="E213" s="1572"/>
      <c r="F213" s="1572"/>
      <c r="G213" s="1572"/>
      <c r="H213" s="1572"/>
      <c r="I213" s="1572"/>
      <c r="J213" s="1572"/>
      <c r="K213" s="1572"/>
      <c r="L213" s="1573"/>
      <c r="M213" s="610"/>
      <c r="N213" s="610"/>
    </row>
    <row r="214" spans="1:14" s="675" customFormat="1" ht="15.75" customHeight="1" x14ac:dyDescent="0.2">
      <c r="A214" s="1643" t="s">
        <v>927</v>
      </c>
      <c r="B214" s="1635"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898647</v>
      </c>
      <c r="E215" s="617"/>
      <c r="F215" s="617"/>
      <c r="G215" s="617"/>
      <c r="H215" s="617"/>
      <c r="I215" s="617"/>
      <c r="J215" s="617"/>
      <c r="K215" s="1680">
        <f>D215</f>
        <v>898647</v>
      </c>
      <c r="L215" s="466">
        <v>854921</v>
      </c>
    </row>
    <row r="216" spans="1:14" x14ac:dyDescent="0.2">
      <c r="A216" s="1526" t="s">
        <v>165</v>
      </c>
      <c r="B216" s="615" t="s">
        <v>1023</v>
      </c>
      <c r="C216" s="617"/>
      <c r="D216" s="467">
        <v>118145</v>
      </c>
      <c r="E216" s="617"/>
      <c r="F216" s="617"/>
      <c r="G216" s="617"/>
      <c r="H216" s="617"/>
      <c r="I216" s="617"/>
      <c r="J216" s="617"/>
      <c r="K216" s="1680">
        <f t="shared" ref="K216:K228" si="19">D216</f>
        <v>118145</v>
      </c>
      <c r="L216" s="466">
        <v>106796</v>
      </c>
    </row>
    <row r="217" spans="1:14" x14ac:dyDescent="0.2">
      <c r="A217" s="1526" t="s">
        <v>166</v>
      </c>
      <c r="B217" s="615">
        <v>1200</v>
      </c>
      <c r="C217" s="617"/>
      <c r="D217" s="466">
        <v>1112792</v>
      </c>
      <c r="E217" s="617"/>
      <c r="F217" s="617"/>
      <c r="G217" s="617"/>
      <c r="H217" s="617"/>
      <c r="I217" s="617"/>
      <c r="J217" s="617"/>
      <c r="K217" s="1680">
        <f t="shared" si="19"/>
        <v>1112792</v>
      </c>
      <c r="L217" s="466">
        <v>1037899</v>
      </c>
    </row>
    <row r="218" spans="1:14" x14ac:dyDescent="0.2">
      <c r="A218" s="1526" t="s">
        <v>295</v>
      </c>
      <c r="B218" s="615" t="s">
        <v>1024</v>
      </c>
      <c r="C218" s="617"/>
      <c r="D218" s="467">
        <v>12316</v>
      </c>
      <c r="E218" s="617"/>
      <c r="F218" s="617"/>
      <c r="G218" s="617"/>
      <c r="H218" s="617"/>
      <c r="I218" s="617"/>
      <c r="J218" s="617"/>
      <c r="K218" s="1680">
        <f t="shared" si="19"/>
        <v>12316</v>
      </c>
      <c r="L218" s="466">
        <v>11158</v>
      </c>
    </row>
    <row r="219" spans="1:14" x14ac:dyDescent="0.2">
      <c r="A219" s="1526" t="s">
        <v>296</v>
      </c>
      <c r="B219" s="615">
        <v>1250</v>
      </c>
      <c r="C219" s="617"/>
      <c r="D219" s="466">
        <v>37243</v>
      </c>
      <c r="E219" s="617"/>
      <c r="F219" s="617"/>
      <c r="G219" s="617"/>
      <c r="H219" s="617"/>
      <c r="I219" s="617"/>
      <c r="J219" s="617"/>
      <c r="K219" s="1680">
        <f t="shared" si="19"/>
        <v>37243</v>
      </c>
      <c r="L219" s="466">
        <v>43989</v>
      </c>
    </row>
    <row r="220" spans="1:14" x14ac:dyDescent="0.2">
      <c r="A220" s="1526" t="s">
        <v>297</v>
      </c>
      <c r="B220" s="615" t="s">
        <v>163</v>
      </c>
      <c r="C220" s="617"/>
      <c r="D220" s="467">
        <v>47631</v>
      </c>
      <c r="E220" s="617"/>
      <c r="F220" s="617"/>
      <c r="G220" s="617"/>
      <c r="H220" s="617"/>
      <c r="I220" s="617"/>
      <c r="J220" s="617"/>
      <c r="K220" s="1680">
        <f t="shared" si="19"/>
        <v>47631</v>
      </c>
      <c r="L220" s="466">
        <v>46081</v>
      </c>
    </row>
    <row r="221" spans="1:14" x14ac:dyDescent="0.2">
      <c r="A221" s="1526" t="s">
        <v>1018</v>
      </c>
      <c r="B221" s="615">
        <v>1300</v>
      </c>
      <c r="C221" s="617"/>
      <c r="D221" s="466"/>
      <c r="E221" s="617"/>
      <c r="F221" s="617"/>
      <c r="G221" s="617"/>
      <c r="H221" s="617"/>
      <c r="I221" s="617"/>
      <c r="J221" s="617"/>
      <c r="K221" s="1680">
        <f t="shared" si="19"/>
        <v>0</v>
      </c>
      <c r="L221" s="466"/>
    </row>
    <row r="222" spans="1:14" x14ac:dyDescent="0.2">
      <c r="A222" s="1526" t="s">
        <v>746</v>
      </c>
      <c r="B222" s="615">
        <v>1400</v>
      </c>
      <c r="C222" s="617"/>
      <c r="D222" s="466"/>
      <c r="E222" s="617"/>
      <c r="F222" s="617"/>
      <c r="G222" s="617"/>
      <c r="H222" s="617"/>
      <c r="I222" s="617"/>
      <c r="J222" s="617"/>
      <c r="K222" s="1680">
        <f t="shared" si="19"/>
        <v>0</v>
      </c>
      <c r="L222" s="466"/>
    </row>
    <row r="223" spans="1:14" x14ac:dyDescent="0.2">
      <c r="A223" s="1526" t="s">
        <v>1019</v>
      </c>
      <c r="B223" s="615">
        <v>1500</v>
      </c>
      <c r="C223" s="617"/>
      <c r="D223" s="466">
        <v>61411</v>
      </c>
      <c r="E223" s="617"/>
      <c r="F223" s="617"/>
      <c r="G223" s="617"/>
      <c r="H223" s="617"/>
      <c r="I223" s="617"/>
      <c r="J223" s="617"/>
      <c r="K223" s="1680">
        <f t="shared" si="19"/>
        <v>61411</v>
      </c>
      <c r="L223" s="466">
        <v>62153</v>
      </c>
    </row>
    <row r="224" spans="1:14" x14ac:dyDescent="0.2">
      <c r="A224" s="1526" t="s">
        <v>1020</v>
      </c>
      <c r="B224" s="615">
        <v>1600</v>
      </c>
      <c r="C224" s="617"/>
      <c r="D224" s="466">
        <v>1670</v>
      </c>
      <c r="E224" s="617"/>
      <c r="F224" s="617"/>
      <c r="G224" s="617"/>
      <c r="H224" s="617"/>
      <c r="I224" s="617"/>
      <c r="J224" s="617"/>
      <c r="K224" s="1680">
        <f t="shared" si="19"/>
        <v>1670</v>
      </c>
      <c r="L224" s="466">
        <v>3233</v>
      </c>
    </row>
    <row r="225" spans="1:12" x14ac:dyDescent="0.2">
      <c r="A225" s="1526" t="s">
        <v>1043</v>
      </c>
      <c r="B225" s="615">
        <v>1650</v>
      </c>
      <c r="C225" s="617"/>
      <c r="D225" s="466">
        <v>59</v>
      </c>
      <c r="E225" s="617"/>
      <c r="F225" s="617"/>
      <c r="G225" s="617"/>
      <c r="H225" s="617"/>
      <c r="I225" s="617"/>
      <c r="J225" s="617"/>
      <c r="K225" s="1680">
        <f t="shared" si="19"/>
        <v>59</v>
      </c>
      <c r="L225" s="466">
        <v>0</v>
      </c>
    </row>
    <row r="226" spans="1:12" x14ac:dyDescent="0.2">
      <c r="A226" s="1526" t="s">
        <v>747</v>
      </c>
      <c r="B226" s="615" t="s">
        <v>164</v>
      </c>
      <c r="C226" s="617"/>
      <c r="D226" s="467">
        <v>1721</v>
      </c>
      <c r="E226" s="617"/>
      <c r="F226" s="617"/>
      <c r="G226" s="617"/>
      <c r="H226" s="617"/>
      <c r="I226" s="617"/>
      <c r="J226" s="617"/>
      <c r="K226" s="1680">
        <f t="shared" si="19"/>
        <v>1721</v>
      </c>
      <c r="L226" s="466">
        <v>2011</v>
      </c>
    </row>
    <row r="227" spans="1:12" x14ac:dyDescent="0.2">
      <c r="A227" s="1526" t="s">
        <v>1147</v>
      </c>
      <c r="B227" s="615">
        <v>1800</v>
      </c>
      <c r="C227" s="617"/>
      <c r="D227" s="466">
        <v>163542</v>
      </c>
      <c r="E227" s="617"/>
      <c r="F227" s="617"/>
      <c r="G227" s="617"/>
      <c r="H227" s="617"/>
      <c r="I227" s="617"/>
      <c r="J227" s="617"/>
      <c r="K227" s="1680">
        <f t="shared" si="19"/>
        <v>163542</v>
      </c>
      <c r="L227" s="466">
        <v>172037</v>
      </c>
    </row>
    <row r="228" spans="1:12" x14ac:dyDescent="0.2">
      <c r="A228" s="1526" t="s">
        <v>1148</v>
      </c>
      <c r="B228" s="615">
        <v>1900</v>
      </c>
      <c r="C228" s="617"/>
      <c r="D228" s="466">
        <v>12826</v>
      </c>
      <c r="E228" s="617"/>
      <c r="F228" s="617"/>
      <c r="G228" s="617"/>
      <c r="H228" s="617"/>
      <c r="I228" s="617"/>
      <c r="J228" s="617"/>
      <c r="K228" s="1680">
        <f t="shared" si="19"/>
        <v>12826</v>
      </c>
      <c r="L228" s="466">
        <v>17193</v>
      </c>
    </row>
    <row r="229" spans="1:12" ht="12.75" customHeight="1" thickBot="1" x14ac:dyDescent="0.25">
      <c r="A229" s="1677" t="s">
        <v>738</v>
      </c>
      <c r="B229" s="1684" t="s">
        <v>590</v>
      </c>
      <c r="C229" s="617"/>
      <c r="D229" s="1679">
        <f>SUM(D215:D228)</f>
        <v>2468003</v>
      </c>
      <c r="E229" s="617"/>
      <c r="F229" s="617"/>
      <c r="G229" s="617"/>
      <c r="H229" s="617"/>
      <c r="I229" s="617"/>
      <c r="J229" s="617"/>
      <c r="K229" s="1679">
        <f>SUM(K215:K228)</f>
        <v>2468003</v>
      </c>
      <c r="L229" s="1679">
        <f>SUM(L215:L228)</f>
        <v>2357471</v>
      </c>
    </row>
    <row r="230" spans="1:12" ht="15.75" customHeight="1" thickTop="1" x14ac:dyDescent="0.2">
      <c r="A230" s="1632" t="s">
        <v>928</v>
      </c>
      <c r="B230" s="1633"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441756</v>
      </c>
      <c r="E232" s="617"/>
      <c r="F232" s="617"/>
      <c r="G232" s="617"/>
      <c r="H232" s="617"/>
      <c r="I232" s="617"/>
      <c r="J232" s="617"/>
      <c r="K232" s="1680">
        <f t="shared" ref="K232:K237" si="20">D232</f>
        <v>441756</v>
      </c>
      <c r="L232" s="466">
        <v>382203</v>
      </c>
    </row>
    <row r="233" spans="1:12" x14ac:dyDescent="0.2">
      <c r="A233" s="1526" t="s">
        <v>1150</v>
      </c>
      <c r="B233" s="615">
        <v>2120</v>
      </c>
      <c r="C233" s="617"/>
      <c r="D233" s="466">
        <v>157336</v>
      </c>
      <c r="E233" s="617"/>
      <c r="F233" s="617"/>
      <c r="G233" s="617"/>
      <c r="H233" s="617"/>
      <c r="I233" s="617"/>
      <c r="J233" s="617"/>
      <c r="K233" s="1680">
        <f t="shared" si="20"/>
        <v>157336</v>
      </c>
      <c r="L233" s="466">
        <v>178998</v>
      </c>
    </row>
    <row r="234" spans="1:12" x14ac:dyDescent="0.2">
      <c r="A234" s="1526" t="s">
        <v>207</v>
      </c>
      <c r="B234" s="615">
        <v>2130</v>
      </c>
      <c r="C234" s="617"/>
      <c r="D234" s="466">
        <v>387673</v>
      </c>
      <c r="E234" s="617"/>
      <c r="F234" s="617"/>
      <c r="G234" s="617"/>
      <c r="H234" s="617"/>
      <c r="I234" s="617"/>
      <c r="J234" s="617"/>
      <c r="K234" s="1680">
        <f t="shared" si="20"/>
        <v>387673</v>
      </c>
      <c r="L234" s="466">
        <v>376441</v>
      </c>
    </row>
    <row r="235" spans="1:12" x14ac:dyDescent="0.2">
      <c r="A235" s="1526" t="s">
        <v>208</v>
      </c>
      <c r="B235" s="615">
        <v>2140</v>
      </c>
      <c r="C235" s="617"/>
      <c r="D235" s="466">
        <v>25565</v>
      </c>
      <c r="E235" s="617"/>
      <c r="F235" s="617"/>
      <c r="G235" s="617"/>
      <c r="H235" s="617"/>
      <c r="I235" s="617"/>
      <c r="J235" s="617"/>
      <c r="K235" s="1680">
        <f t="shared" si="20"/>
        <v>25565</v>
      </c>
      <c r="L235" s="466">
        <v>24347</v>
      </c>
    </row>
    <row r="236" spans="1:12" x14ac:dyDescent="0.2">
      <c r="A236" s="1526" t="s">
        <v>209</v>
      </c>
      <c r="B236" s="615">
        <v>2150</v>
      </c>
      <c r="C236" s="617"/>
      <c r="D236" s="466">
        <v>31283</v>
      </c>
      <c r="E236" s="617"/>
      <c r="F236" s="617"/>
      <c r="G236" s="617"/>
      <c r="H236" s="617"/>
      <c r="I236" s="617"/>
      <c r="J236" s="617"/>
      <c r="K236" s="1680">
        <f t="shared" si="20"/>
        <v>31283</v>
      </c>
      <c r="L236" s="466">
        <v>30100</v>
      </c>
    </row>
    <row r="237" spans="1:12" x14ac:dyDescent="0.2">
      <c r="A237" s="1526" t="s">
        <v>167</v>
      </c>
      <c r="B237" s="615">
        <v>2190</v>
      </c>
      <c r="C237" s="617"/>
      <c r="D237" s="466"/>
      <c r="E237" s="617"/>
      <c r="F237" s="617"/>
      <c r="G237" s="617"/>
      <c r="H237" s="617"/>
      <c r="I237" s="617"/>
      <c r="J237" s="617"/>
      <c r="K237" s="1680">
        <f t="shared" si="20"/>
        <v>0</v>
      </c>
      <c r="L237" s="466"/>
    </row>
    <row r="238" spans="1:12" ht="12.75" customHeight="1" thickBot="1" x14ac:dyDescent="0.25">
      <c r="A238" s="1677" t="s">
        <v>580</v>
      </c>
      <c r="B238" s="1684" t="s">
        <v>739</v>
      </c>
      <c r="C238" s="617"/>
      <c r="D238" s="1679">
        <f>SUM(D232:D237)</f>
        <v>1043613</v>
      </c>
      <c r="E238" s="617"/>
      <c r="F238" s="617"/>
      <c r="G238" s="617"/>
      <c r="H238" s="617"/>
      <c r="I238" s="617"/>
      <c r="J238" s="617"/>
      <c r="K238" s="1679">
        <f>SUM(K232:K237)</f>
        <v>1043613</v>
      </c>
      <c r="L238" s="1679">
        <f>SUM(L232:L237)</f>
        <v>992089</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312852</v>
      </c>
      <c r="E240" s="617"/>
      <c r="F240" s="617"/>
      <c r="G240" s="617"/>
      <c r="H240" s="617"/>
      <c r="I240" s="617"/>
      <c r="J240" s="617"/>
      <c r="K240" s="1681">
        <f>D240</f>
        <v>312852</v>
      </c>
      <c r="L240" s="481">
        <v>322725</v>
      </c>
    </row>
    <row r="241" spans="1:12" x14ac:dyDescent="0.2">
      <c r="A241" s="1526" t="s">
        <v>868</v>
      </c>
      <c r="B241" s="615">
        <v>2220</v>
      </c>
      <c r="C241" s="617"/>
      <c r="D241" s="466">
        <v>106605</v>
      </c>
      <c r="E241" s="617"/>
      <c r="F241" s="617"/>
      <c r="G241" s="617"/>
      <c r="H241" s="617"/>
      <c r="I241" s="617"/>
      <c r="J241" s="617"/>
      <c r="K241" s="1681">
        <f>D241</f>
        <v>106605</v>
      </c>
      <c r="L241" s="466">
        <v>120546</v>
      </c>
    </row>
    <row r="242" spans="1:12" x14ac:dyDescent="0.2">
      <c r="A242" s="1526" t="s">
        <v>869</v>
      </c>
      <c r="B242" s="615">
        <v>2230</v>
      </c>
      <c r="C242" s="617"/>
      <c r="D242" s="466">
        <v>3979</v>
      </c>
      <c r="E242" s="617"/>
      <c r="F242" s="617"/>
      <c r="G242" s="617"/>
      <c r="H242" s="617"/>
      <c r="I242" s="617"/>
      <c r="J242" s="617"/>
      <c r="K242" s="1681">
        <f>D242</f>
        <v>3979</v>
      </c>
      <c r="L242" s="466">
        <v>3797</v>
      </c>
    </row>
    <row r="243" spans="1:12" ht="12.75" customHeight="1" thickBot="1" x14ac:dyDescent="0.25">
      <c r="A243" s="1703" t="s">
        <v>581</v>
      </c>
      <c r="B243" s="1704">
        <v>2200</v>
      </c>
      <c r="C243" s="617"/>
      <c r="D243" s="1679">
        <f>SUM(D240:D242)</f>
        <v>423436</v>
      </c>
      <c r="E243" s="617"/>
      <c r="F243" s="617"/>
      <c r="G243" s="617"/>
      <c r="H243" s="617"/>
      <c r="I243" s="617"/>
      <c r="J243" s="617"/>
      <c r="K243" s="1679">
        <f>SUM(K240:K242)</f>
        <v>423436</v>
      </c>
      <c r="L243" s="1679">
        <f>SUM(L240:L242)</f>
        <v>447068</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81">
        <f>D245</f>
        <v>0</v>
      </c>
      <c r="L245" s="481"/>
    </row>
    <row r="246" spans="1:12" x14ac:dyDescent="0.2">
      <c r="A246" s="1526" t="s">
        <v>871</v>
      </c>
      <c r="B246" s="615">
        <v>2320</v>
      </c>
      <c r="C246" s="617"/>
      <c r="D246" s="466">
        <v>15791</v>
      </c>
      <c r="E246" s="617"/>
      <c r="F246" s="617"/>
      <c r="G246" s="617"/>
      <c r="H246" s="617"/>
      <c r="I246" s="617"/>
      <c r="J246" s="617"/>
      <c r="K246" s="1681">
        <f t="shared" ref="K246:K256" si="21">D246</f>
        <v>15791</v>
      </c>
      <c r="L246" s="466">
        <v>16205</v>
      </c>
    </row>
    <row r="247" spans="1:12" x14ac:dyDescent="0.2">
      <c r="A247" s="1526" t="s">
        <v>872</v>
      </c>
      <c r="B247" s="615">
        <v>2330</v>
      </c>
      <c r="C247" s="617"/>
      <c r="D247" s="466"/>
      <c r="E247" s="617"/>
      <c r="F247" s="617"/>
      <c r="G247" s="617"/>
      <c r="H247" s="617"/>
      <c r="I247" s="617"/>
      <c r="J247" s="617"/>
      <c r="K247" s="1681">
        <f t="shared" si="21"/>
        <v>0</v>
      </c>
      <c r="L247" s="466"/>
    </row>
    <row r="248" spans="1:12" x14ac:dyDescent="0.2">
      <c r="A248" s="1527" t="s">
        <v>316</v>
      </c>
      <c r="B248" s="603" t="s">
        <v>298</v>
      </c>
      <c r="C248" s="617"/>
      <c r="D248" s="474"/>
      <c r="E248" s="617"/>
      <c r="F248" s="617"/>
      <c r="G248" s="617"/>
      <c r="H248" s="617"/>
      <c r="I248" s="617"/>
      <c r="J248" s="617"/>
      <c r="K248" s="1681">
        <f t="shared" si="21"/>
        <v>0</v>
      </c>
      <c r="L248" s="466"/>
    </row>
    <row r="249" spans="1:12" x14ac:dyDescent="0.2">
      <c r="A249" s="1528" t="s">
        <v>1905</v>
      </c>
      <c r="B249" s="684" t="s">
        <v>299</v>
      </c>
      <c r="C249" s="617"/>
      <c r="D249" s="474"/>
      <c r="E249" s="617"/>
      <c r="F249" s="617"/>
      <c r="G249" s="617"/>
      <c r="H249" s="617"/>
      <c r="I249" s="617"/>
      <c r="J249" s="617"/>
      <c r="K249" s="1681">
        <f t="shared" si="21"/>
        <v>0</v>
      </c>
      <c r="L249" s="466"/>
    </row>
    <row r="250" spans="1:12" x14ac:dyDescent="0.2">
      <c r="A250" s="1527" t="s">
        <v>1906</v>
      </c>
      <c r="B250" s="603" t="s">
        <v>300</v>
      </c>
      <c r="C250" s="617"/>
      <c r="D250" s="474"/>
      <c r="E250" s="617"/>
      <c r="F250" s="617"/>
      <c r="G250" s="617"/>
      <c r="H250" s="617"/>
      <c r="I250" s="617"/>
      <c r="J250" s="617"/>
      <c r="K250" s="1681">
        <f t="shared" si="21"/>
        <v>0</v>
      </c>
      <c r="L250" s="466"/>
    </row>
    <row r="251" spans="1:12" x14ac:dyDescent="0.2">
      <c r="A251" s="1527" t="s">
        <v>256</v>
      </c>
      <c r="B251" s="603" t="s">
        <v>301</v>
      </c>
      <c r="C251" s="617"/>
      <c r="D251" s="474"/>
      <c r="E251" s="617"/>
      <c r="F251" s="617"/>
      <c r="G251" s="617"/>
      <c r="H251" s="617"/>
      <c r="I251" s="617"/>
      <c r="J251" s="617"/>
      <c r="K251" s="1681">
        <f t="shared" si="21"/>
        <v>0</v>
      </c>
      <c r="L251" s="466"/>
    </row>
    <row r="252" spans="1:12" x14ac:dyDescent="0.2">
      <c r="A252" s="1527" t="s">
        <v>725</v>
      </c>
      <c r="B252" s="603" t="s">
        <v>302</v>
      </c>
      <c r="C252" s="617"/>
      <c r="D252" s="474">
        <v>69449</v>
      </c>
      <c r="E252" s="617"/>
      <c r="F252" s="617"/>
      <c r="G252" s="617"/>
      <c r="H252" s="617"/>
      <c r="I252" s="617"/>
      <c r="J252" s="617"/>
      <c r="K252" s="1681">
        <f t="shared" si="21"/>
        <v>69449</v>
      </c>
      <c r="L252" s="466">
        <v>64939</v>
      </c>
    </row>
    <row r="253" spans="1:12" x14ac:dyDescent="0.2">
      <c r="A253" s="1527" t="s">
        <v>257</v>
      </c>
      <c r="B253" s="603" t="s">
        <v>303</v>
      </c>
      <c r="C253" s="617"/>
      <c r="D253" s="474">
        <v>36</v>
      </c>
      <c r="E253" s="617"/>
      <c r="F253" s="617"/>
      <c r="G253" s="617"/>
      <c r="H253" s="617"/>
      <c r="I253" s="617"/>
      <c r="J253" s="617"/>
      <c r="K253" s="1681">
        <f t="shared" si="21"/>
        <v>36</v>
      </c>
      <c r="L253" s="466">
        <v>0</v>
      </c>
    </row>
    <row r="254" spans="1:12" ht="22.5" x14ac:dyDescent="0.2">
      <c r="A254" s="1527" t="s">
        <v>1086</v>
      </c>
      <c r="B254" s="684" t="s">
        <v>304</v>
      </c>
      <c r="C254" s="617"/>
      <c r="D254" s="474"/>
      <c r="E254" s="617"/>
      <c r="F254" s="617"/>
      <c r="G254" s="617"/>
      <c r="H254" s="617"/>
      <c r="I254" s="617"/>
      <c r="J254" s="617"/>
      <c r="K254" s="1681">
        <f t="shared" si="21"/>
        <v>0</v>
      </c>
      <c r="L254" s="466"/>
    </row>
    <row r="255" spans="1:12" x14ac:dyDescent="0.2">
      <c r="A255" s="1527" t="s">
        <v>1087</v>
      </c>
      <c r="B255" s="603" t="s">
        <v>305</v>
      </c>
      <c r="C255" s="617"/>
      <c r="D255" s="474"/>
      <c r="E255" s="617"/>
      <c r="F255" s="617"/>
      <c r="G255" s="617"/>
      <c r="H255" s="617"/>
      <c r="I255" s="617"/>
      <c r="J255" s="617"/>
      <c r="K255" s="1681">
        <f t="shared" si="21"/>
        <v>0</v>
      </c>
      <c r="L255" s="466"/>
    </row>
    <row r="256" spans="1:12" x14ac:dyDescent="0.2">
      <c r="A256" s="1527" t="s">
        <v>1027</v>
      </c>
      <c r="B256" s="615" t="s">
        <v>306</v>
      </c>
      <c r="C256" s="617"/>
      <c r="D256" s="474">
        <v>39318</v>
      </c>
      <c r="E256" s="617"/>
      <c r="F256" s="617"/>
      <c r="G256" s="617"/>
      <c r="H256" s="617"/>
      <c r="I256" s="617"/>
      <c r="J256" s="617"/>
      <c r="K256" s="1681">
        <f t="shared" si="21"/>
        <v>39318</v>
      </c>
      <c r="L256" s="466">
        <v>40355</v>
      </c>
    </row>
    <row r="257" spans="1:14" ht="12.75" customHeight="1" thickBot="1" x14ac:dyDescent="0.25">
      <c r="A257" s="1677" t="s">
        <v>740</v>
      </c>
      <c r="B257" s="1705">
        <v>2300</v>
      </c>
      <c r="C257" s="617"/>
      <c r="D257" s="1679">
        <f>SUM(D245:D256)</f>
        <v>124594</v>
      </c>
      <c r="E257" s="617"/>
      <c r="F257" s="617"/>
      <c r="G257" s="617"/>
      <c r="H257" s="617"/>
      <c r="I257" s="617"/>
      <c r="J257" s="617"/>
      <c r="K257" s="1679">
        <f>SUM(K245:K256)</f>
        <v>124594</v>
      </c>
      <c r="L257" s="1679">
        <f>SUM(L245:L256)</f>
        <v>121499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404698</v>
      </c>
      <c r="E259" s="617"/>
      <c r="F259" s="617"/>
      <c r="G259" s="617"/>
      <c r="H259" s="617"/>
      <c r="I259" s="617"/>
      <c r="J259" s="617"/>
      <c r="K259" s="1681">
        <f>D259</f>
        <v>404698</v>
      </c>
      <c r="L259" s="481">
        <v>433729</v>
      </c>
    </row>
    <row r="260" spans="1:14" s="598" customFormat="1" x14ac:dyDescent="0.2">
      <c r="A260" s="1544" t="s">
        <v>1904</v>
      </c>
      <c r="B260" s="629">
        <v>2490</v>
      </c>
      <c r="C260" s="617"/>
      <c r="D260" s="466"/>
      <c r="E260" s="617"/>
      <c r="F260" s="617"/>
      <c r="G260" s="617"/>
      <c r="H260" s="617"/>
      <c r="I260" s="617"/>
      <c r="J260" s="617"/>
      <c r="K260" s="1681">
        <f>D260</f>
        <v>0</v>
      </c>
      <c r="L260" s="466"/>
      <c r="M260" s="210"/>
      <c r="N260" s="210"/>
    </row>
    <row r="261" spans="1:14" ht="12.75" customHeight="1" thickBot="1" x14ac:dyDescent="0.25">
      <c r="A261" s="1701" t="s">
        <v>281</v>
      </c>
      <c r="B261" s="1706" t="s">
        <v>34</v>
      </c>
      <c r="C261" s="617"/>
      <c r="D261" s="1679">
        <f>SUM(D259:D260)</f>
        <v>404698</v>
      </c>
      <c r="E261" s="617"/>
      <c r="F261" s="617"/>
      <c r="G261" s="617"/>
      <c r="H261" s="617"/>
      <c r="I261" s="617"/>
      <c r="J261" s="617"/>
      <c r="K261" s="1679">
        <f>SUM(K259:K260)</f>
        <v>404698</v>
      </c>
      <c r="L261" s="1679">
        <f>SUM(L259:L260)</f>
        <v>433729</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41799</v>
      </c>
      <c r="E263" s="617"/>
      <c r="F263" s="617"/>
      <c r="G263" s="617"/>
      <c r="H263" s="617"/>
      <c r="I263" s="617"/>
      <c r="J263" s="617"/>
      <c r="K263" s="1681">
        <f>D263</f>
        <v>41799</v>
      </c>
      <c r="L263" s="481">
        <v>40778</v>
      </c>
    </row>
    <row r="264" spans="1:14" x14ac:dyDescent="0.2">
      <c r="A264" s="1526" t="s">
        <v>482</v>
      </c>
      <c r="B264" s="686">
        <v>2520</v>
      </c>
      <c r="C264" s="617"/>
      <c r="D264" s="466">
        <v>171264</v>
      </c>
      <c r="E264" s="617"/>
      <c r="F264" s="617"/>
      <c r="G264" s="617"/>
      <c r="H264" s="617"/>
      <c r="I264" s="617"/>
      <c r="J264" s="617"/>
      <c r="K264" s="1681">
        <f t="shared" ref="K264:K269" si="22">D264</f>
        <v>171264</v>
      </c>
      <c r="L264" s="466">
        <v>140585</v>
      </c>
    </row>
    <row r="265" spans="1:14" x14ac:dyDescent="0.2">
      <c r="A265" s="1526" t="s">
        <v>4</v>
      </c>
      <c r="B265" s="615">
        <v>2530</v>
      </c>
      <c r="C265" s="617"/>
      <c r="D265" s="466"/>
      <c r="E265" s="617"/>
      <c r="F265" s="617"/>
      <c r="G265" s="617"/>
      <c r="H265" s="617"/>
      <c r="I265" s="617"/>
      <c r="J265" s="617"/>
      <c r="K265" s="1681">
        <f t="shared" si="22"/>
        <v>0</v>
      </c>
      <c r="L265" s="466"/>
    </row>
    <row r="266" spans="1:14" x14ac:dyDescent="0.2">
      <c r="A266" s="1526" t="s">
        <v>206</v>
      </c>
      <c r="B266" s="615">
        <v>2540</v>
      </c>
      <c r="C266" s="617"/>
      <c r="D266" s="466">
        <v>1374431</v>
      </c>
      <c r="E266" s="617"/>
      <c r="F266" s="617"/>
      <c r="G266" s="617"/>
      <c r="H266" s="617"/>
      <c r="I266" s="617"/>
      <c r="J266" s="617"/>
      <c r="K266" s="1681">
        <f t="shared" si="22"/>
        <v>1374431</v>
      </c>
      <c r="L266" s="466">
        <v>1342011</v>
      </c>
    </row>
    <row r="267" spans="1:14" x14ac:dyDescent="0.2">
      <c r="A267" s="1526" t="s">
        <v>1009</v>
      </c>
      <c r="B267" s="615">
        <v>2550</v>
      </c>
      <c r="C267" s="617"/>
      <c r="D267" s="466">
        <v>21970</v>
      </c>
      <c r="E267" s="617"/>
      <c r="F267" s="617"/>
      <c r="G267" s="617"/>
      <c r="H267" s="617"/>
      <c r="I267" s="617"/>
      <c r="J267" s="617"/>
      <c r="K267" s="1681">
        <f t="shared" si="22"/>
        <v>21970</v>
      </c>
      <c r="L267" s="466">
        <v>11824</v>
      </c>
    </row>
    <row r="268" spans="1:14" x14ac:dyDescent="0.2">
      <c r="A268" s="1526" t="s">
        <v>102</v>
      </c>
      <c r="B268" s="615">
        <v>2560</v>
      </c>
      <c r="C268" s="617"/>
      <c r="D268" s="466">
        <v>59536</v>
      </c>
      <c r="E268" s="617"/>
      <c r="F268" s="617"/>
      <c r="G268" s="617"/>
      <c r="H268" s="617"/>
      <c r="I268" s="617"/>
      <c r="J268" s="617"/>
      <c r="K268" s="1681">
        <f t="shared" si="22"/>
        <v>59536</v>
      </c>
      <c r="L268" s="466">
        <v>60746</v>
      </c>
    </row>
    <row r="269" spans="1:14" x14ac:dyDescent="0.2">
      <c r="A269" s="1526" t="s">
        <v>103</v>
      </c>
      <c r="B269" s="615">
        <v>2570</v>
      </c>
      <c r="C269" s="617"/>
      <c r="D269" s="466">
        <v>66076</v>
      </c>
      <c r="E269" s="617"/>
      <c r="F269" s="617"/>
      <c r="G269" s="617"/>
      <c r="H269" s="617"/>
      <c r="I269" s="617"/>
      <c r="J269" s="617"/>
      <c r="K269" s="1681">
        <f t="shared" si="22"/>
        <v>66076</v>
      </c>
      <c r="L269" s="466">
        <v>64030</v>
      </c>
    </row>
    <row r="270" spans="1:14" ht="12.75" customHeight="1" thickBot="1" x14ac:dyDescent="0.25">
      <c r="A270" s="1677" t="s">
        <v>742</v>
      </c>
      <c r="B270" s="1684" t="s">
        <v>35</v>
      </c>
      <c r="C270" s="617"/>
      <c r="D270" s="1679">
        <f>SUM(D263:D269)</f>
        <v>1735076</v>
      </c>
      <c r="E270" s="617"/>
      <c r="F270" s="617"/>
      <c r="G270" s="617"/>
      <c r="H270" s="617"/>
      <c r="I270" s="617"/>
      <c r="J270" s="617"/>
      <c r="K270" s="1679">
        <f>SUM(K263:K269)</f>
        <v>1735076</v>
      </c>
      <c r="L270" s="1679">
        <f>SUM(L263:L269)</f>
        <v>1659974</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81">
        <f>D272</f>
        <v>0</v>
      </c>
      <c r="L272" s="481"/>
    </row>
    <row r="273" spans="1:12" x14ac:dyDescent="0.2">
      <c r="A273" s="1526" t="s">
        <v>627</v>
      </c>
      <c r="B273" s="629">
        <v>2620</v>
      </c>
      <c r="C273" s="617"/>
      <c r="D273" s="466"/>
      <c r="E273" s="617"/>
      <c r="F273" s="617"/>
      <c r="G273" s="617"/>
      <c r="H273" s="617"/>
      <c r="I273" s="617"/>
      <c r="J273" s="617"/>
      <c r="K273" s="1681">
        <f>D273</f>
        <v>0</v>
      </c>
      <c r="L273" s="466"/>
    </row>
    <row r="274" spans="1:12" ht="12" customHeight="1" x14ac:dyDescent="0.2">
      <c r="A274" s="1526" t="s">
        <v>1120</v>
      </c>
      <c r="B274" s="615">
        <v>2630</v>
      </c>
      <c r="C274" s="617"/>
      <c r="D274" s="466">
        <v>33084</v>
      </c>
      <c r="E274" s="617"/>
      <c r="F274" s="617"/>
      <c r="G274" s="617"/>
      <c r="H274" s="617"/>
      <c r="I274" s="617"/>
      <c r="J274" s="617"/>
      <c r="K274" s="1681">
        <f>D274</f>
        <v>33084</v>
      </c>
      <c r="L274" s="466">
        <v>25638</v>
      </c>
    </row>
    <row r="275" spans="1:12" x14ac:dyDescent="0.2">
      <c r="A275" s="1526" t="s">
        <v>422</v>
      </c>
      <c r="B275" s="615">
        <v>2640</v>
      </c>
      <c r="C275" s="617"/>
      <c r="D275" s="466">
        <v>71938</v>
      </c>
      <c r="E275" s="617"/>
      <c r="F275" s="617"/>
      <c r="G275" s="617"/>
      <c r="H275" s="617"/>
      <c r="I275" s="617"/>
      <c r="J275" s="617"/>
      <c r="K275" s="1681">
        <f>D275</f>
        <v>71938</v>
      </c>
      <c r="L275" s="466">
        <v>111613</v>
      </c>
    </row>
    <row r="276" spans="1:12" x14ac:dyDescent="0.2">
      <c r="A276" s="1526" t="s">
        <v>423</v>
      </c>
      <c r="B276" s="615">
        <v>2660</v>
      </c>
      <c r="C276" s="617"/>
      <c r="D276" s="466">
        <v>254476</v>
      </c>
      <c r="E276" s="617"/>
      <c r="F276" s="617"/>
      <c r="G276" s="617"/>
      <c r="H276" s="617"/>
      <c r="I276" s="617"/>
      <c r="J276" s="617"/>
      <c r="K276" s="1681">
        <f>D276</f>
        <v>254476</v>
      </c>
      <c r="L276" s="466">
        <v>251748</v>
      </c>
    </row>
    <row r="277" spans="1:12" ht="12.75" customHeight="1" thickBot="1" x14ac:dyDescent="0.25">
      <c r="A277" s="1700" t="s">
        <v>37</v>
      </c>
      <c r="B277" s="1678" t="s">
        <v>36</v>
      </c>
      <c r="C277" s="617"/>
      <c r="D277" s="1679">
        <f>SUM(D272:D276)</f>
        <v>359498</v>
      </c>
      <c r="E277" s="617"/>
      <c r="F277" s="617"/>
      <c r="G277" s="617"/>
      <c r="H277" s="617"/>
      <c r="I277" s="617"/>
      <c r="J277" s="617"/>
      <c r="K277" s="1679">
        <f>SUM(K272:K276)</f>
        <v>359498</v>
      </c>
      <c r="L277" s="1679">
        <f>SUM(L272:L276)</f>
        <v>388999</v>
      </c>
    </row>
    <row r="278" spans="1:12" ht="13.5" customHeight="1" thickTop="1" x14ac:dyDescent="0.2">
      <c r="A278" s="1532" t="s">
        <v>1036</v>
      </c>
      <c r="B278" s="656" t="s">
        <v>594</v>
      </c>
      <c r="C278" s="617"/>
      <c r="D278" s="657">
        <v>65737</v>
      </c>
      <c r="E278" s="617"/>
      <c r="F278" s="617"/>
      <c r="G278" s="617"/>
      <c r="H278" s="617"/>
      <c r="I278" s="617"/>
      <c r="J278" s="617"/>
      <c r="K278" s="1694">
        <f>D278</f>
        <v>65737</v>
      </c>
      <c r="L278" s="657">
        <v>45000</v>
      </c>
    </row>
    <row r="279" spans="1:12" ht="12.75" customHeight="1" thickBot="1" x14ac:dyDescent="0.25">
      <c r="A279" s="1707" t="s">
        <v>864</v>
      </c>
      <c r="B279" s="1690">
        <v>2000</v>
      </c>
      <c r="C279" s="617"/>
      <c r="D279" s="1686">
        <f>SUM(D238,D243,D257,D261,D270,D277,D278)</f>
        <v>4156652</v>
      </c>
      <c r="E279" s="617"/>
      <c r="F279" s="617"/>
      <c r="G279" s="617"/>
      <c r="H279" s="617"/>
      <c r="I279" s="617"/>
      <c r="J279" s="617"/>
      <c r="K279" s="1686">
        <f>SUM(K238,K243,K257,K261,K270,K277,K278)</f>
        <v>4156652</v>
      </c>
      <c r="L279" s="1686">
        <f>SUM(L238,L243,L257,L261,L270,L277,L278)</f>
        <v>4088358</v>
      </c>
    </row>
    <row r="280" spans="1:12" ht="15.75" customHeight="1" thickTop="1" thickBot="1" x14ac:dyDescent="0.25">
      <c r="A280" s="1644" t="s">
        <v>929</v>
      </c>
      <c r="B280" s="1633">
        <v>3000</v>
      </c>
      <c r="C280" s="617"/>
      <c r="D280" s="576">
        <v>48896</v>
      </c>
      <c r="E280" s="617"/>
      <c r="F280" s="617"/>
      <c r="G280" s="617"/>
      <c r="H280" s="617"/>
      <c r="I280" s="617"/>
      <c r="J280" s="617"/>
      <c r="K280" s="1688">
        <f>D280</f>
        <v>48896</v>
      </c>
      <c r="L280" s="576">
        <v>51975</v>
      </c>
    </row>
    <row r="281" spans="1:12" ht="15.75" customHeight="1" thickTop="1" x14ac:dyDescent="0.2">
      <c r="A281" s="1634" t="s">
        <v>144</v>
      </c>
      <c r="B281" s="1635" t="s">
        <v>914</v>
      </c>
      <c r="C281" s="617"/>
      <c r="D281" s="566"/>
      <c r="E281" s="617"/>
      <c r="F281" s="617"/>
      <c r="G281" s="617"/>
      <c r="H281" s="617"/>
      <c r="I281" s="617"/>
      <c r="J281" s="617"/>
      <c r="K281" s="617"/>
      <c r="L281" s="617"/>
    </row>
    <row r="282" spans="1:12" ht="15.75" customHeight="1" x14ac:dyDescent="0.2">
      <c r="A282" s="1833" t="s">
        <v>516</v>
      </c>
      <c r="B282" s="691" t="s">
        <v>1953</v>
      </c>
      <c r="C282" s="617"/>
      <c r="D282" s="467"/>
      <c r="E282" s="617"/>
      <c r="F282" s="617"/>
      <c r="G282" s="617"/>
      <c r="H282" s="617"/>
      <c r="I282" s="617"/>
      <c r="J282" s="617"/>
      <c r="K282" s="1680">
        <f>D282</f>
        <v>0</v>
      </c>
      <c r="L282" s="467"/>
    </row>
    <row r="283" spans="1:12" x14ac:dyDescent="0.2">
      <c r="A283" s="1526" t="s">
        <v>321</v>
      </c>
      <c r="B283" s="615">
        <v>4120</v>
      </c>
      <c r="C283" s="617"/>
      <c r="D283" s="466"/>
      <c r="E283" s="617"/>
      <c r="F283" s="617"/>
      <c r="G283" s="617"/>
      <c r="H283" s="617"/>
      <c r="I283" s="617"/>
      <c r="J283" s="617"/>
      <c r="K283" s="1680">
        <f>D283</f>
        <v>0</v>
      </c>
      <c r="L283" s="466"/>
    </row>
    <row r="284" spans="1:12" x14ac:dyDescent="0.2">
      <c r="A284" s="1526" t="s">
        <v>720</v>
      </c>
      <c r="B284" s="615">
        <v>4140</v>
      </c>
      <c r="C284" s="617"/>
      <c r="D284" s="467"/>
      <c r="E284" s="617"/>
      <c r="F284" s="617"/>
      <c r="G284" s="617"/>
      <c r="H284" s="617"/>
      <c r="I284" s="617"/>
      <c r="J284" s="617"/>
      <c r="K284" s="1680">
        <f>D284</f>
        <v>0</v>
      </c>
      <c r="L284" s="466"/>
    </row>
    <row r="285" spans="1:12" ht="12.75" customHeight="1" thickBot="1" x14ac:dyDescent="0.25">
      <c r="A285" s="1677" t="s">
        <v>1566</v>
      </c>
      <c r="B285" s="1678" t="s">
        <v>914</v>
      </c>
      <c r="C285" s="617"/>
      <c r="D285" s="1679">
        <f>SUM(D282:D284)</f>
        <v>0</v>
      </c>
      <c r="E285" s="617"/>
      <c r="F285" s="617"/>
      <c r="G285" s="617"/>
      <c r="H285" s="617"/>
      <c r="I285" s="617"/>
      <c r="J285" s="617"/>
      <c r="K285" s="1679">
        <f>SUM(K282:K284)</f>
        <v>0</v>
      </c>
      <c r="L285" s="1679">
        <f>SUM(L282:L284)</f>
        <v>0</v>
      </c>
    </row>
    <row r="286" spans="1:12" ht="15.75" customHeight="1" thickTop="1" x14ac:dyDescent="0.2">
      <c r="A286" s="1632" t="s">
        <v>930</v>
      </c>
      <c r="B286" s="1629"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0">
        <f>H288</f>
        <v>0</v>
      </c>
      <c r="L288" s="466"/>
    </row>
    <row r="289" spans="1:14" x14ac:dyDescent="0.2">
      <c r="A289" s="1526" t="s">
        <v>90</v>
      </c>
      <c r="B289" s="615">
        <v>5120</v>
      </c>
      <c r="C289" s="617"/>
      <c r="D289" s="617"/>
      <c r="E289" s="617"/>
      <c r="F289" s="617"/>
      <c r="G289" s="617"/>
      <c r="H289" s="466"/>
      <c r="I289" s="617"/>
      <c r="J289" s="617"/>
      <c r="K289" s="1680">
        <f>H289</f>
        <v>0</v>
      </c>
      <c r="L289" s="466"/>
    </row>
    <row r="290" spans="1:14" ht="12.75" customHeight="1" x14ac:dyDescent="0.2">
      <c r="A290" s="1526" t="s">
        <v>1231</v>
      </c>
      <c r="B290" s="629" t="s">
        <v>637</v>
      </c>
      <c r="C290" s="617"/>
      <c r="D290" s="617"/>
      <c r="E290" s="617"/>
      <c r="F290" s="617"/>
      <c r="G290" s="617"/>
      <c r="H290" s="466"/>
      <c r="I290" s="617"/>
      <c r="J290" s="617"/>
      <c r="K290" s="1680">
        <f>H290</f>
        <v>0</v>
      </c>
      <c r="L290" s="466"/>
    </row>
    <row r="291" spans="1:14" x14ac:dyDescent="0.2">
      <c r="A291" s="1526" t="s">
        <v>91</v>
      </c>
      <c r="B291" s="615" t="s">
        <v>609</v>
      </c>
      <c r="C291" s="617"/>
      <c r="D291" s="617"/>
      <c r="E291" s="617"/>
      <c r="F291" s="617"/>
      <c r="G291" s="617"/>
      <c r="H291" s="466"/>
      <c r="I291" s="617"/>
      <c r="J291" s="617"/>
      <c r="K291" s="1680">
        <f>H291</f>
        <v>0</v>
      </c>
      <c r="L291" s="466"/>
    </row>
    <row r="292" spans="1:14" x14ac:dyDescent="0.2">
      <c r="A292" s="1526" t="s">
        <v>785</v>
      </c>
      <c r="B292" s="615" t="s">
        <v>638</v>
      </c>
      <c r="C292" s="617"/>
      <c r="D292" s="617"/>
      <c r="E292" s="617"/>
      <c r="F292" s="617"/>
      <c r="G292" s="617"/>
      <c r="H292" s="466"/>
      <c r="I292" s="617"/>
      <c r="J292" s="617"/>
      <c r="K292" s="1680">
        <f>H292</f>
        <v>0</v>
      </c>
      <c r="L292" s="466"/>
    </row>
    <row r="293" spans="1:14" ht="12.75" customHeight="1" thickBot="1" x14ac:dyDescent="0.25">
      <c r="A293" s="1677" t="s">
        <v>504</v>
      </c>
      <c r="B293" s="1678" t="s">
        <v>512</v>
      </c>
      <c r="C293" s="617"/>
      <c r="D293" s="617"/>
      <c r="E293" s="617"/>
      <c r="F293" s="617"/>
      <c r="G293" s="617"/>
      <c r="H293" s="1679">
        <f>SUM(H288:H292)</f>
        <v>0</v>
      </c>
      <c r="I293" s="617"/>
      <c r="J293" s="617"/>
      <c r="K293" s="1679">
        <f>SUM(K288:K292)</f>
        <v>0</v>
      </c>
      <c r="L293" s="1679">
        <f>SUM(L288:L292)</f>
        <v>0</v>
      </c>
    </row>
    <row r="294" spans="1:14" ht="15.75" customHeight="1" thickTop="1" thickBot="1" x14ac:dyDescent="0.25">
      <c r="A294" s="1645" t="s">
        <v>931</v>
      </c>
      <c r="B294" s="1633" t="s">
        <v>915</v>
      </c>
      <c r="C294" s="617"/>
      <c r="D294" s="624"/>
      <c r="E294" s="617"/>
      <c r="F294" s="617"/>
      <c r="G294" s="617"/>
      <c r="H294" s="687"/>
      <c r="I294" s="617"/>
      <c r="J294" s="617"/>
      <c r="K294" s="687"/>
      <c r="L294" s="578"/>
    </row>
    <row r="295" spans="1:14" ht="12.75" customHeight="1" thickTop="1" thickBot="1" x14ac:dyDescent="0.25">
      <c r="A295" s="2196" t="s">
        <v>525</v>
      </c>
      <c r="B295" s="2197"/>
      <c r="C295" s="617"/>
      <c r="D295" s="1679">
        <f>SUM(D229,D279,D280,D285)</f>
        <v>6673551</v>
      </c>
      <c r="E295" s="617"/>
      <c r="F295" s="617"/>
      <c r="G295" s="617"/>
      <c r="H295" s="1679">
        <f>H293</f>
        <v>0</v>
      </c>
      <c r="I295" s="617"/>
      <c r="J295" s="617"/>
      <c r="K295" s="1679">
        <f>SUM(K229,K279,K280,K285,K293,K294)</f>
        <v>6673551</v>
      </c>
      <c r="L295" s="1679">
        <f>SUM(L229,L279,L280,L285,L293,L294)</f>
        <v>6497804</v>
      </c>
    </row>
    <row r="296" spans="1:14" ht="13.5" thickTop="1" x14ac:dyDescent="0.2">
      <c r="A296" s="2205" t="s">
        <v>1052</v>
      </c>
      <c r="B296" s="2206"/>
      <c r="C296" s="617"/>
      <c r="D296" s="619"/>
      <c r="E296" s="617"/>
      <c r="F296" s="617"/>
      <c r="G296" s="617"/>
      <c r="H296" s="688"/>
      <c r="I296" s="617"/>
      <c r="J296" s="617"/>
      <c r="K296" s="1693">
        <f>'Revenues 9-14'!G275-'Expenditures 15-22'!K295</f>
        <v>262177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1"/>
      <c r="D298" s="1572"/>
      <c r="E298" s="1572"/>
      <c r="F298" s="1572"/>
      <c r="G298" s="1572"/>
      <c r="H298" s="1572"/>
      <c r="I298" s="1572"/>
      <c r="J298" s="1572"/>
      <c r="K298" s="1572"/>
      <c r="L298" s="1573"/>
    </row>
    <row r="299" spans="1:14" ht="15.75" customHeight="1" x14ac:dyDescent="0.2">
      <c r="A299" s="1632" t="s">
        <v>146</v>
      </c>
      <c r="B299" s="1635"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553350</v>
      </c>
      <c r="F301" s="466"/>
      <c r="G301" s="466">
        <v>690339</v>
      </c>
      <c r="H301" s="466"/>
      <c r="I301" s="467"/>
      <c r="J301" s="467"/>
      <c r="K301" s="1680">
        <f>SUM(C301:J301)</f>
        <v>1243689</v>
      </c>
      <c r="L301" s="467">
        <v>3879700</v>
      </c>
    </row>
    <row r="302" spans="1:14" ht="13.5" customHeight="1" x14ac:dyDescent="0.2">
      <c r="A302" s="1539" t="s">
        <v>1036</v>
      </c>
      <c r="B302" s="615" t="s">
        <v>594</v>
      </c>
      <c r="C302" s="466"/>
      <c r="D302" s="466"/>
      <c r="E302" s="466"/>
      <c r="F302" s="466"/>
      <c r="G302" s="466"/>
      <c r="H302" s="466"/>
      <c r="I302" s="467"/>
      <c r="J302" s="467"/>
      <c r="K302" s="1680">
        <f>SUM(C302:J302)</f>
        <v>0</v>
      </c>
      <c r="L302" s="466"/>
    </row>
    <row r="303" spans="1:14" ht="12.75" customHeight="1" thickBot="1" x14ac:dyDescent="0.25">
      <c r="A303" s="1677" t="s">
        <v>864</v>
      </c>
      <c r="B303" s="1678" t="s">
        <v>589</v>
      </c>
      <c r="C303" s="1686">
        <f>SUM(C301:C302)</f>
        <v>0</v>
      </c>
      <c r="D303" s="1686">
        <f t="shared" ref="D303:L303" si="23">SUM(D301:D302)</f>
        <v>0</v>
      </c>
      <c r="E303" s="1686">
        <f t="shared" si="23"/>
        <v>553350</v>
      </c>
      <c r="F303" s="1686">
        <f t="shared" si="23"/>
        <v>0</v>
      </c>
      <c r="G303" s="1686">
        <f t="shared" si="23"/>
        <v>690339</v>
      </c>
      <c r="H303" s="1686">
        <f t="shared" si="23"/>
        <v>0</v>
      </c>
      <c r="I303" s="1686">
        <f t="shared" si="23"/>
        <v>0</v>
      </c>
      <c r="J303" s="1686">
        <f t="shared" si="23"/>
        <v>0</v>
      </c>
      <c r="K303" s="1686">
        <f t="shared" si="23"/>
        <v>1243689</v>
      </c>
      <c r="L303" s="1686">
        <f t="shared" si="23"/>
        <v>3879700</v>
      </c>
    </row>
    <row r="304" spans="1:14" ht="15.75" customHeight="1" thickTop="1" x14ac:dyDescent="0.2">
      <c r="A304" s="1632" t="s">
        <v>147</v>
      </c>
      <c r="B304" s="1633"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80">
        <f>SUM(E306,H306)</f>
        <v>0</v>
      </c>
      <c r="L306" s="467"/>
    </row>
    <row r="307" spans="1:14" x14ac:dyDescent="0.2">
      <c r="A307" s="1526" t="s">
        <v>321</v>
      </c>
      <c r="B307" s="615">
        <v>4120</v>
      </c>
      <c r="C307" s="617"/>
      <c r="D307" s="617"/>
      <c r="E307" s="467"/>
      <c r="F307" s="617"/>
      <c r="G307" s="617"/>
      <c r="H307" s="467"/>
      <c r="I307" s="477"/>
      <c r="J307" s="617"/>
      <c r="K307" s="1680">
        <f>SUM(E307,H307)</f>
        <v>0</v>
      </c>
      <c r="L307" s="466"/>
    </row>
    <row r="308" spans="1:14" x14ac:dyDescent="0.2">
      <c r="A308" s="1526" t="s">
        <v>720</v>
      </c>
      <c r="B308" s="615">
        <v>4140</v>
      </c>
      <c r="C308" s="617"/>
      <c r="D308" s="617"/>
      <c r="E308" s="467"/>
      <c r="F308" s="617"/>
      <c r="G308" s="617"/>
      <c r="H308" s="467"/>
      <c r="I308" s="477"/>
      <c r="J308" s="617"/>
      <c r="K308" s="1680">
        <f>SUM(E308,H308)</f>
        <v>0</v>
      </c>
      <c r="L308" s="466"/>
    </row>
    <row r="309" spans="1:14" ht="12.75" customHeight="1" x14ac:dyDescent="0.2">
      <c r="A309" s="1530" t="s">
        <v>721</v>
      </c>
      <c r="B309" s="629">
        <v>4190</v>
      </c>
      <c r="C309" s="617"/>
      <c r="D309" s="617"/>
      <c r="E309" s="467"/>
      <c r="F309" s="617"/>
      <c r="G309" s="617"/>
      <c r="H309" s="467"/>
      <c r="I309" s="477"/>
      <c r="J309" s="617"/>
      <c r="K309" s="1680">
        <f>SUM(E309,H309)</f>
        <v>0</v>
      </c>
      <c r="L309" s="466"/>
    </row>
    <row r="310" spans="1:14" ht="12.75" customHeight="1" thickBot="1" x14ac:dyDescent="0.25">
      <c r="A310" s="1677" t="s">
        <v>1566</v>
      </c>
      <c r="B310" s="1684" t="s">
        <v>914</v>
      </c>
      <c r="C310" s="617"/>
      <c r="D310" s="617"/>
      <c r="E310" s="1679">
        <f>SUM(E306:E309)</f>
        <v>0</v>
      </c>
      <c r="F310" s="617"/>
      <c r="G310" s="617"/>
      <c r="H310" s="1679">
        <f>SUM(H306:H309)</f>
        <v>0</v>
      </c>
      <c r="I310" s="477"/>
      <c r="J310" s="617"/>
      <c r="K310" s="1679">
        <f>SUM(K306:K309)</f>
        <v>0</v>
      </c>
      <c r="L310" s="1686">
        <f>SUM(L306:L309)</f>
        <v>0</v>
      </c>
    </row>
    <row r="311" spans="1:14" ht="15.75" customHeight="1" thickTop="1" thickBot="1" x14ac:dyDescent="0.25">
      <c r="A311" s="1639" t="s">
        <v>950</v>
      </c>
      <c r="B311" s="1631" t="s">
        <v>915</v>
      </c>
      <c r="C311" s="624"/>
      <c r="D311" s="624"/>
      <c r="E311" s="624"/>
      <c r="F311" s="624"/>
      <c r="G311" s="624"/>
      <c r="H311" s="624"/>
      <c r="I311" s="624"/>
      <c r="J311" s="617"/>
      <c r="K311" s="624"/>
      <c r="L311" s="576"/>
    </row>
    <row r="312" spans="1:14" s="675" customFormat="1" ht="12.75" customHeight="1" thickTop="1" thickBot="1" x14ac:dyDescent="0.25">
      <c r="A312" s="2193" t="s">
        <v>294</v>
      </c>
      <c r="B312" s="2194"/>
      <c r="C312" s="1679">
        <f>SUM(C303)</f>
        <v>0</v>
      </c>
      <c r="D312" s="1679">
        <f>SUM(D303)</f>
        <v>0</v>
      </c>
      <c r="E312" s="1679">
        <f>SUM(E303,E310)</f>
        <v>553350</v>
      </c>
      <c r="F312" s="1679">
        <f>SUM(F303)</f>
        <v>0</v>
      </c>
      <c r="G312" s="1679">
        <f>SUM(G303)</f>
        <v>690339</v>
      </c>
      <c r="H312" s="1679">
        <f>SUM(H303,H310)</f>
        <v>0</v>
      </c>
      <c r="I312" s="1679">
        <f>SUM(I303)</f>
        <v>0</v>
      </c>
      <c r="J312" s="1679">
        <f>SUM(J303)</f>
        <v>0</v>
      </c>
      <c r="K312" s="1679">
        <f>SUM(K303,K310,K311)</f>
        <v>1243689</v>
      </c>
      <c r="L312" s="1679">
        <f>SUM(L303,L310,L311)</f>
        <v>3879700</v>
      </c>
      <c r="M312" s="666"/>
      <c r="N312" s="666"/>
    </row>
    <row r="313" spans="1:14" ht="13.5" thickTop="1" x14ac:dyDescent="0.2">
      <c r="A313" s="2189" t="s">
        <v>1052</v>
      </c>
      <c r="B313" s="2190"/>
      <c r="C313" s="627"/>
      <c r="D313" s="627"/>
      <c r="E313" s="627"/>
      <c r="F313" s="627"/>
      <c r="G313" s="627"/>
      <c r="H313" s="627"/>
      <c r="I313" s="627"/>
      <c r="J313" s="627"/>
      <c r="K313" s="1694">
        <f>'Revenues 9-14'!H275-'Expenditures 15-22'!K312</f>
        <v>-950689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953</v>
      </c>
      <c r="B317" s="2203"/>
      <c r="C317" s="1576"/>
      <c r="D317" s="1577"/>
      <c r="E317" s="1577"/>
      <c r="F317" s="1577"/>
      <c r="G317" s="1577"/>
      <c r="H317" s="1577"/>
      <c r="I317" s="1577"/>
      <c r="J317" s="1577"/>
      <c r="K317" s="1577"/>
      <c r="L317" s="1578"/>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80">
        <f>SUM(C319:J319)</f>
        <v>0</v>
      </c>
      <c r="L319" s="467"/>
      <c r="M319" s="666"/>
      <c r="N319" s="666"/>
    </row>
    <row r="320" spans="1:14" s="675" customFormat="1" x14ac:dyDescent="0.2">
      <c r="A320" s="1545" t="s">
        <v>1905</v>
      </c>
      <c r="B320" s="699" t="s">
        <v>299</v>
      </c>
      <c r="C320" s="467"/>
      <c r="D320" s="467"/>
      <c r="E320" s="467">
        <v>897305</v>
      </c>
      <c r="F320" s="467"/>
      <c r="G320" s="467"/>
      <c r="H320" s="467"/>
      <c r="I320" s="467"/>
      <c r="J320" s="467"/>
      <c r="K320" s="1680">
        <f t="shared" ref="K320:K327" si="24">SUM(C320:J320)</f>
        <v>897305</v>
      </c>
      <c r="L320" s="467">
        <v>1112623</v>
      </c>
      <c r="M320" s="666"/>
      <c r="N320" s="666"/>
    </row>
    <row r="321" spans="1:14" s="675" customFormat="1" x14ac:dyDescent="0.2">
      <c r="A321" s="1541" t="s">
        <v>317</v>
      </c>
      <c r="B321" s="698" t="s">
        <v>300</v>
      </c>
      <c r="C321" s="467"/>
      <c r="D321" s="467"/>
      <c r="E321" s="467"/>
      <c r="F321" s="467"/>
      <c r="G321" s="467"/>
      <c r="H321" s="467"/>
      <c r="I321" s="467"/>
      <c r="J321" s="467"/>
      <c r="K321" s="1680">
        <f t="shared" si="24"/>
        <v>0</v>
      </c>
      <c r="L321" s="467"/>
      <c r="M321" s="666"/>
      <c r="N321" s="666"/>
    </row>
    <row r="322" spans="1:14" s="675" customFormat="1" x14ac:dyDescent="0.2">
      <c r="A322" s="1541" t="s">
        <v>256</v>
      </c>
      <c r="B322" s="698" t="s">
        <v>301</v>
      </c>
      <c r="C322" s="467"/>
      <c r="D322" s="467"/>
      <c r="E322" s="467">
        <v>597991</v>
      </c>
      <c r="F322" s="467"/>
      <c r="G322" s="467"/>
      <c r="H322" s="467"/>
      <c r="I322" s="467"/>
      <c r="J322" s="467"/>
      <c r="K322" s="1680">
        <f t="shared" si="24"/>
        <v>597991</v>
      </c>
      <c r="L322" s="467">
        <v>527564</v>
      </c>
      <c r="M322" s="666"/>
      <c r="N322" s="666"/>
    </row>
    <row r="323" spans="1:14" s="675" customFormat="1" x14ac:dyDescent="0.2">
      <c r="A323" s="1541" t="s">
        <v>725</v>
      </c>
      <c r="B323" s="698" t="s">
        <v>302</v>
      </c>
      <c r="C323" s="467">
        <v>1017205</v>
      </c>
      <c r="D323" s="467">
        <v>147353</v>
      </c>
      <c r="E323" s="467"/>
      <c r="F323" s="467"/>
      <c r="G323" s="467"/>
      <c r="H323" s="467"/>
      <c r="I323" s="467"/>
      <c r="J323" s="467"/>
      <c r="K323" s="1680">
        <f t="shared" si="24"/>
        <v>1164558</v>
      </c>
      <c r="L323" s="467">
        <v>1409703</v>
      </c>
      <c r="M323" s="666"/>
      <c r="N323" s="666"/>
    </row>
    <row r="324" spans="1:14" s="675" customFormat="1" x14ac:dyDescent="0.2">
      <c r="A324" s="1541" t="s">
        <v>257</v>
      </c>
      <c r="B324" s="698" t="s">
        <v>303</v>
      </c>
      <c r="C324" s="467">
        <v>2500</v>
      </c>
      <c r="D324" s="467"/>
      <c r="E324" s="467"/>
      <c r="F324" s="467"/>
      <c r="G324" s="467"/>
      <c r="H324" s="467">
        <v>96039</v>
      </c>
      <c r="I324" s="467"/>
      <c r="J324" s="467"/>
      <c r="K324" s="1680">
        <f t="shared" si="24"/>
        <v>98539</v>
      </c>
      <c r="L324" s="467">
        <v>60000</v>
      </c>
      <c r="M324" s="666"/>
      <c r="N324" s="666"/>
    </row>
    <row r="325" spans="1:14" s="675" customFormat="1" ht="22.5" x14ac:dyDescent="0.2">
      <c r="A325" s="1541" t="s">
        <v>1086</v>
      </c>
      <c r="B325" s="699" t="s">
        <v>304</v>
      </c>
      <c r="C325" s="467"/>
      <c r="D325" s="467"/>
      <c r="E325" s="467">
        <v>7500</v>
      </c>
      <c r="F325" s="467"/>
      <c r="G325" s="467"/>
      <c r="H325" s="467"/>
      <c r="I325" s="467"/>
      <c r="J325" s="467"/>
      <c r="K325" s="1680">
        <f t="shared" si="24"/>
        <v>7500</v>
      </c>
      <c r="L325" s="467">
        <v>105000</v>
      </c>
      <c r="M325" s="666"/>
      <c r="N325" s="666"/>
    </row>
    <row r="326" spans="1:14" s="675" customFormat="1" x14ac:dyDescent="0.2">
      <c r="A326" s="1541" t="s">
        <v>1087</v>
      </c>
      <c r="B326" s="698" t="s">
        <v>305</v>
      </c>
      <c r="C326" s="467"/>
      <c r="D326" s="467"/>
      <c r="E326" s="467"/>
      <c r="F326" s="467"/>
      <c r="G326" s="467"/>
      <c r="H326" s="467"/>
      <c r="I326" s="467"/>
      <c r="J326" s="467"/>
      <c r="K326" s="1680">
        <f t="shared" si="24"/>
        <v>0</v>
      </c>
      <c r="L326" s="467"/>
      <c r="M326" s="666"/>
      <c r="N326" s="666"/>
    </row>
    <row r="327" spans="1:14" s="675" customFormat="1" x14ac:dyDescent="0.2">
      <c r="A327" s="1541" t="s">
        <v>1027</v>
      </c>
      <c r="B327" s="698" t="s">
        <v>306</v>
      </c>
      <c r="C327" s="467">
        <v>68302</v>
      </c>
      <c r="D327" s="467">
        <v>3812</v>
      </c>
      <c r="E327" s="467">
        <v>348828</v>
      </c>
      <c r="F327" s="467"/>
      <c r="G327" s="467"/>
      <c r="H327" s="467"/>
      <c r="I327" s="467"/>
      <c r="J327" s="467"/>
      <c r="K327" s="1680">
        <f t="shared" si="24"/>
        <v>420942</v>
      </c>
      <c r="L327" s="467">
        <v>369102</v>
      </c>
      <c r="M327" s="666"/>
      <c r="N327" s="666"/>
    </row>
    <row r="328" spans="1:14" s="675" customFormat="1" x14ac:dyDescent="0.2">
      <c r="A328" s="1542" t="s">
        <v>491</v>
      </c>
      <c r="B328" s="691" t="s">
        <v>1193</v>
      </c>
      <c r="C328" s="474"/>
      <c r="D328" s="474"/>
      <c r="E328" s="474"/>
      <c r="F328" s="474"/>
      <c r="G328" s="474"/>
      <c r="H328" s="474"/>
      <c r="I328" s="474"/>
      <c r="J328" s="474"/>
      <c r="K328" s="1708">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08">
        <f>SUM(C329:J329)</f>
        <v>0</v>
      </c>
      <c r="L329" s="474"/>
      <c r="M329" s="666"/>
      <c r="N329" s="666"/>
    </row>
    <row r="330" spans="1:14" s="675" customFormat="1" ht="12.75" customHeight="1" thickBot="1" x14ac:dyDescent="0.25">
      <c r="A330" s="1709" t="s">
        <v>740</v>
      </c>
      <c r="B330" s="1678" t="s">
        <v>589</v>
      </c>
      <c r="C330" s="1679">
        <f>SUM(C319:C329)</f>
        <v>1088007</v>
      </c>
      <c r="D330" s="1679">
        <f t="shared" ref="D330:J330" si="25">SUM(D319:D329)</f>
        <v>151165</v>
      </c>
      <c r="E330" s="1679">
        <f t="shared" si="25"/>
        <v>1851624</v>
      </c>
      <c r="F330" s="1679">
        <f t="shared" si="25"/>
        <v>0</v>
      </c>
      <c r="G330" s="1679">
        <f t="shared" si="25"/>
        <v>0</v>
      </c>
      <c r="H330" s="1679">
        <f t="shared" si="25"/>
        <v>96039</v>
      </c>
      <c r="I330" s="1679">
        <f t="shared" si="25"/>
        <v>0</v>
      </c>
      <c r="J330" s="1679">
        <f t="shared" si="25"/>
        <v>0</v>
      </c>
      <c r="K330" s="1679">
        <f>SUM(K319:K329)</f>
        <v>3186835</v>
      </c>
      <c r="L330" s="1679">
        <f>SUM(L319:L329)</f>
        <v>3583992</v>
      </c>
      <c r="M330" s="666"/>
      <c r="N330" s="666"/>
    </row>
    <row r="331" spans="1:14" s="675" customFormat="1" ht="12.75" customHeight="1" thickTop="1" x14ac:dyDescent="0.2">
      <c r="A331" s="1834" t="s">
        <v>1959</v>
      </c>
      <c r="B331" s="648" t="s">
        <v>914</v>
      </c>
      <c r="C331" s="1836"/>
      <c r="D331" s="1836"/>
      <c r="E331" s="1836"/>
      <c r="F331" s="1836"/>
      <c r="G331" s="1836"/>
      <c r="H331" s="1836"/>
      <c r="I331" s="1836"/>
      <c r="J331" s="1836"/>
      <c r="K331" s="1836"/>
      <c r="L331" s="1836"/>
      <c r="M331" s="666"/>
      <c r="N331" s="666"/>
    </row>
    <row r="332" spans="1:14" s="675" customFormat="1" ht="12.75" customHeight="1" x14ac:dyDescent="0.2">
      <c r="A332" s="1835" t="s">
        <v>516</v>
      </c>
      <c r="B332" s="1830" t="s">
        <v>1953</v>
      </c>
      <c r="C332" s="1836"/>
      <c r="D332" s="1836"/>
      <c r="E332" s="1836"/>
      <c r="F332" s="1836"/>
      <c r="G332" s="1836"/>
      <c r="H332" s="467"/>
      <c r="I332" s="1836"/>
      <c r="J332" s="1836"/>
      <c r="K332" s="1680">
        <f>H332</f>
        <v>0</v>
      </c>
      <c r="L332" s="467"/>
      <c r="M332" s="666"/>
      <c r="N332" s="666"/>
    </row>
    <row r="333" spans="1:14" s="675" customFormat="1" ht="12.75" customHeight="1" x14ac:dyDescent="0.2">
      <c r="A333" s="1835" t="s">
        <v>321</v>
      </c>
      <c r="B333" s="1830" t="s">
        <v>1955</v>
      </c>
      <c r="C333" s="1836"/>
      <c r="D333" s="1836"/>
      <c r="E333" s="1836"/>
      <c r="F333" s="1836"/>
      <c r="G333" s="1836"/>
      <c r="H333" s="467"/>
      <c r="I333" s="1836"/>
      <c r="J333" s="1836"/>
      <c r="K333" s="1680">
        <f>H333</f>
        <v>0</v>
      </c>
      <c r="L333" s="467"/>
      <c r="M333" s="666"/>
      <c r="N333" s="666"/>
    </row>
    <row r="334" spans="1:14" s="675" customFormat="1" ht="12.75" customHeight="1" thickBot="1" x14ac:dyDescent="0.25">
      <c r="A334" s="1835" t="s">
        <v>1960</v>
      </c>
      <c r="B334" s="1830" t="s">
        <v>914</v>
      </c>
      <c r="C334" s="1836"/>
      <c r="D334" s="1836"/>
      <c r="E334" s="1836"/>
      <c r="F334" s="1836"/>
      <c r="G334" s="1836"/>
      <c r="H334" s="1679">
        <f>SUM(H332:H333)</f>
        <v>0</v>
      </c>
      <c r="I334" s="1836"/>
      <c r="J334" s="1836"/>
      <c r="K334" s="1679">
        <f>SUM(K332:K333)</f>
        <v>0</v>
      </c>
      <c r="L334" s="1679">
        <f>SUM(L332:L333)</f>
        <v>0</v>
      </c>
      <c r="M334" s="666"/>
      <c r="N334" s="666"/>
    </row>
    <row r="335" spans="1:14" ht="15.75" customHeight="1" thickTop="1" x14ac:dyDescent="0.2">
      <c r="A335" s="1636" t="s">
        <v>954</v>
      </c>
      <c r="B335" s="1627"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80">
        <f>H337</f>
        <v>0</v>
      </c>
      <c r="L337" s="478"/>
    </row>
    <row r="338" spans="1:14" ht="12.75" customHeight="1" x14ac:dyDescent="0.2">
      <c r="A338" s="1540" t="s">
        <v>1231</v>
      </c>
      <c r="B338" s="691" t="s">
        <v>637</v>
      </c>
      <c r="C338" s="639"/>
      <c r="D338" s="639"/>
      <c r="E338" s="639"/>
      <c r="F338" s="639"/>
      <c r="G338" s="639"/>
      <c r="H338" s="478"/>
      <c r="I338" s="639"/>
      <c r="J338" s="639"/>
      <c r="K338" s="1680">
        <f>H338</f>
        <v>0</v>
      </c>
      <c r="L338" s="478"/>
    </row>
    <row r="339" spans="1:14" x14ac:dyDescent="0.2">
      <c r="A339" s="1526" t="s">
        <v>956</v>
      </c>
      <c r="B339" s="629">
        <v>5150</v>
      </c>
      <c r="C339" s="639"/>
      <c r="D339" s="639"/>
      <c r="E339" s="639"/>
      <c r="F339" s="639"/>
      <c r="G339" s="639"/>
      <c r="H339" s="467"/>
      <c r="I339" s="639"/>
      <c r="J339" s="639"/>
      <c r="K339" s="1680">
        <f>H339</f>
        <v>0</v>
      </c>
      <c r="L339" s="467"/>
    </row>
    <row r="340" spans="1:14" ht="13.5" thickBot="1" x14ac:dyDescent="0.25">
      <c r="A340" s="1703" t="s">
        <v>957</v>
      </c>
      <c r="B340" s="1678" t="s">
        <v>512</v>
      </c>
      <c r="C340" s="617"/>
      <c r="D340" s="617"/>
      <c r="E340" s="617"/>
      <c r="F340" s="617"/>
      <c r="G340" s="617"/>
      <c r="H340" s="1697">
        <f>SUM(H337:H339)</f>
        <v>0</v>
      </c>
      <c r="I340" s="617"/>
      <c r="J340" s="617"/>
      <c r="K340" s="1697">
        <f>SUM(K337:K339)</f>
        <v>0</v>
      </c>
      <c r="L340" s="1697">
        <f>SUM(L337:L339)</f>
        <v>0</v>
      </c>
    </row>
    <row r="341" spans="1:14" ht="15.75" customHeight="1" thickTop="1" thickBot="1" x14ac:dyDescent="0.25">
      <c r="A341" s="1639" t="s">
        <v>958</v>
      </c>
      <c r="B341" s="1631" t="s">
        <v>915</v>
      </c>
      <c r="C341" s="617"/>
      <c r="D341" s="617"/>
      <c r="E341" s="477"/>
      <c r="F341" s="468"/>
      <c r="G341" s="468"/>
      <c r="H341" s="477"/>
      <c r="I341" s="477"/>
      <c r="J341" s="468"/>
      <c r="K341" s="477"/>
      <c r="L341" s="576"/>
    </row>
    <row r="342" spans="1:14" ht="12.75" customHeight="1" thickTop="1" thickBot="1" x14ac:dyDescent="0.25">
      <c r="A342" s="1695" t="s">
        <v>525</v>
      </c>
      <c r="B342" s="1710"/>
      <c r="C342" s="1679">
        <f>SUM(C330)</f>
        <v>1088007</v>
      </c>
      <c r="D342" s="1679">
        <f>SUM(D330)</f>
        <v>151165</v>
      </c>
      <c r="E342" s="1679">
        <f>SUM(E330)</f>
        <v>1851624</v>
      </c>
      <c r="F342" s="1679">
        <f>SUM(F330)</f>
        <v>0</v>
      </c>
      <c r="G342" s="1679">
        <f>SUM(G330)</f>
        <v>0</v>
      </c>
      <c r="H342" s="1679">
        <f>SUM(H330,H334,H340)</f>
        <v>96039</v>
      </c>
      <c r="I342" s="1679">
        <f>SUM(I330)</f>
        <v>0</v>
      </c>
      <c r="J342" s="1679">
        <f>SUM(J330)</f>
        <v>0</v>
      </c>
      <c r="K342" s="1679">
        <f>SUM(K330,K334,K340)</f>
        <v>3186835</v>
      </c>
      <c r="L342" s="1686">
        <f>SUM(L330,L340,L341)</f>
        <v>3583992</v>
      </c>
    </row>
    <row r="343" spans="1:14" ht="12.75" customHeight="1" thickTop="1" x14ac:dyDescent="0.2">
      <c r="A343" s="2191" t="s">
        <v>1052</v>
      </c>
      <c r="B343" s="2192"/>
      <c r="C343" s="617"/>
      <c r="D343" s="617"/>
      <c r="E343" s="617"/>
      <c r="F343" s="617"/>
      <c r="G343" s="617"/>
      <c r="H343" s="617"/>
      <c r="I343" s="617"/>
      <c r="J343" s="617"/>
      <c r="K343" s="1693">
        <f>'Revenues 9-14'!J275-'Expenditures 15-22'!K342</f>
        <v>589484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1022</v>
      </c>
      <c r="B345" s="2182"/>
      <c r="C345" s="1571"/>
      <c r="D345" s="1572"/>
      <c r="E345" s="1572"/>
      <c r="F345" s="1572"/>
      <c r="G345" s="1572"/>
      <c r="H345" s="1572"/>
      <c r="I345" s="1572"/>
      <c r="J345" s="1572"/>
      <c r="K345" s="1572"/>
      <c r="L345" s="1573"/>
      <c r="M345" s="668"/>
      <c r="N345" s="668"/>
    </row>
    <row r="346" spans="1:14" s="343" customFormat="1" ht="15.75" customHeight="1" x14ac:dyDescent="0.2">
      <c r="A346" s="1643" t="s">
        <v>898</v>
      </c>
      <c r="B346" s="1635"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88193</v>
      </c>
      <c r="F348" s="466"/>
      <c r="G348" s="466">
        <v>1964220</v>
      </c>
      <c r="H348" s="466"/>
      <c r="I348" s="467"/>
      <c r="J348" s="467"/>
      <c r="K348" s="1680">
        <f>SUM(C348:J348)</f>
        <v>2052413</v>
      </c>
      <c r="L348" s="466">
        <v>3801243</v>
      </c>
    </row>
    <row r="349" spans="1:14" x14ac:dyDescent="0.2">
      <c r="A349" s="1526" t="s">
        <v>206</v>
      </c>
      <c r="B349" s="615">
        <v>2540</v>
      </c>
      <c r="C349" s="466"/>
      <c r="D349" s="466"/>
      <c r="E349" s="466"/>
      <c r="F349" s="466"/>
      <c r="G349" s="466"/>
      <c r="H349" s="466"/>
      <c r="I349" s="467"/>
      <c r="J349" s="467"/>
      <c r="K349" s="1680">
        <f>SUM(C349:J349)</f>
        <v>0</v>
      </c>
      <c r="L349" s="466"/>
    </row>
    <row r="350" spans="1:14" ht="12.75" customHeight="1" thickBot="1" x14ac:dyDescent="0.25">
      <c r="A350" s="1677" t="s">
        <v>742</v>
      </c>
      <c r="B350" s="1678" t="s">
        <v>35</v>
      </c>
      <c r="C350" s="1679">
        <f>SUM(C348:C349)</f>
        <v>0</v>
      </c>
      <c r="D350" s="1679">
        <f t="shared" ref="D350:L350" si="26">SUM(D348:D349)</f>
        <v>0</v>
      </c>
      <c r="E350" s="1679">
        <f t="shared" si="26"/>
        <v>88193</v>
      </c>
      <c r="F350" s="1679">
        <f t="shared" si="26"/>
        <v>0</v>
      </c>
      <c r="G350" s="1679">
        <f t="shared" si="26"/>
        <v>1964220</v>
      </c>
      <c r="H350" s="1679">
        <f t="shared" si="26"/>
        <v>0</v>
      </c>
      <c r="I350" s="1679">
        <f t="shared" si="26"/>
        <v>0</v>
      </c>
      <c r="J350" s="1679">
        <f t="shared" si="26"/>
        <v>0</v>
      </c>
      <c r="K350" s="1679">
        <f t="shared" si="26"/>
        <v>2052413</v>
      </c>
      <c r="L350" s="1679">
        <f t="shared" si="26"/>
        <v>3801243</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77" t="s">
        <v>644</v>
      </c>
      <c r="B352" s="1684" t="s">
        <v>589</v>
      </c>
      <c r="C352" s="1679">
        <f>SUM(C350:C351)</f>
        <v>0</v>
      </c>
      <c r="D352" s="1679">
        <f t="shared" ref="D352:L352" si="27">SUM(D350:D351)</f>
        <v>0</v>
      </c>
      <c r="E352" s="1679">
        <f t="shared" si="27"/>
        <v>88193</v>
      </c>
      <c r="F352" s="1679">
        <f t="shared" si="27"/>
        <v>0</v>
      </c>
      <c r="G352" s="1679">
        <f t="shared" si="27"/>
        <v>1964220</v>
      </c>
      <c r="H352" s="1679">
        <f t="shared" si="27"/>
        <v>0</v>
      </c>
      <c r="I352" s="1679">
        <f t="shared" si="27"/>
        <v>0</v>
      </c>
      <c r="J352" s="1679">
        <f t="shared" si="27"/>
        <v>0</v>
      </c>
      <c r="K352" s="1679">
        <f t="shared" si="27"/>
        <v>2052413</v>
      </c>
      <c r="L352" s="1679">
        <f t="shared" si="27"/>
        <v>3801243</v>
      </c>
    </row>
    <row r="353" spans="1:14" s="343" customFormat="1" ht="15.75" customHeight="1" thickTop="1" x14ac:dyDescent="0.2">
      <c r="A353" s="1632" t="s">
        <v>645</v>
      </c>
      <c r="B353" s="1629" t="s">
        <v>914</v>
      </c>
      <c r="C353" s="617"/>
      <c r="D353" s="617"/>
      <c r="E353" s="617"/>
      <c r="F353" s="617"/>
      <c r="G353" s="617"/>
      <c r="H353" s="617"/>
      <c r="I353" s="617"/>
      <c r="J353" s="617"/>
      <c r="K353" s="617"/>
      <c r="L353" s="617"/>
      <c r="M353" s="610"/>
      <c r="N353" s="610"/>
    </row>
    <row r="354" spans="1:14" x14ac:dyDescent="0.2">
      <c r="A354" s="1837" t="s">
        <v>1961</v>
      </c>
      <c r="B354" s="684" t="s">
        <v>1953</v>
      </c>
      <c r="C354" s="617"/>
      <c r="D354" s="617"/>
      <c r="E354" s="617"/>
      <c r="F354" s="617"/>
      <c r="G354" s="617"/>
      <c r="H354" s="474"/>
      <c r="I354" s="702"/>
      <c r="J354" s="617"/>
      <c r="K354" s="1708">
        <f>H354</f>
        <v>0</v>
      </c>
      <c r="L354" s="471"/>
    </row>
    <row r="355" spans="1:14" ht="12.75" customHeight="1" x14ac:dyDescent="0.2">
      <c r="A355" s="1535" t="s">
        <v>1962</v>
      </c>
      <c r="B355" s="691" t="s">
        <v>1955</v>
      </c>
      <c r="C355" s="617"/>
      <c r="D355" s="617"/>
      <c r="E355" s="617"/>
      <c r="F355" s="617"/>
      <c r="G355" s="617"/>
      <c r="H355" s="467"/>
      <c r="I355" s="702"/>
      <c r="J355" s="617"/>
      <c r="K355" s="1752">
        <f>H355</f>
        <v>0</v>
      </c>
      <c r="L355" s="467"/>
    </row>
    <row r="356" spans="1:14" ht="12.75" customHeight="1" x14ac:dyDescent="0.2">
      <c r="A356" s="1837" t="s">
        <v>721</v>
      </c>
      <c r="B356" s="684" t="s">
        <v>578</v>
      </c>
      <c r="C356" s="617"/>
      <c r="D356" s="617"/>
      <c r="E356" s="617"/>
      <c r="F356" s="617"/>
      <c r="G356" s="617"/>
      <c r="H356" s="479"/>
      <c r="I356" s="702"/>
      <c r="J356" s="617"/>
      <c r="K356" s="1749">
        <f>H356</f>
        <v>0</v>
      </c>
      <c r="L356" s="479"/>
    </row>
    <row r="357" spans="1:14" ht="12.75" customHeight="1" thickBot="1" x14ac:dyDescent="0.25">
      <c r="A357" s="1677" t="s">
        <v>1566</v>
      </c>
      <c r="B357" s="1678" t="s">
        <v>914</v>
      </c>
      <c r="C357" s="617"/>
      <c r="D357" s="617"/>
      <c r="E357" s="617"/>
      <c r="F357" s="617"/>
      <c r="G357" s="617"/>
      <c r="H357" s="1697">
        <f>SUM(H354:H356)</f>
        <v>0</v>
      </c>
      <c r="I357" s="702"/>
      <c r="J357" s="617"/>
      <c r="K357" s="1697">
        <f>SUM(K354:K356)</f>
        <v>0</v>
      </c>
      <c r="L357" s="1697">
        <f>SUM(L354:L356)</f>
        <v>0</v>
      </c>
    </row>
    <row r="358" spans="1:14" s="343" customFormat="1" ht="15.75" customHeight="1" thickTop="1" x14ac:dyDescent="0.2">
      <c r="A358" s="1632" t="s">
        <v>1004</v>
      </c>
      <c r="B358" s="1629"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0">
        <f>SUM(C360:J360)</f>
        <v>0</v>
      </c>
      <c r="L360" s="466"/>
    </row>
    <row r="361" spans="1:14" ht="12.75" customHeight="1" x14ac:dyDescent="0.2">
      <c r="A361" s="1527" t="s">
        <v>639</v>
      </c>
      <c r="B361" s="603" t="s">
        <v>638</v>
      </c>
      <c r="C361" s="617"/>
      <c r="D361" s="617"/>
      <c r="E361" s="617"/>
      <c r="F361" s="617"/>
      <c r="G361" s="617"/>
      <c r="H361" s="467"/>
      <c r="I361" s="617"/>
      <c r="J361" s="617"/>
      <c r="K361" s="1680">
        <f>SUM(C361:J361)</f>
        <v>0</v>
      </c>
      <c r="L361" s="466"/>
    </row>
    <row r="362" spans="1:14" ht="12.75" customHeight="1" thickBot="1" x14ac:dyDescent="0.25">
      <c r="A362" s="1677" t="s">
        <v>646</v>
      </c>
      <c r="B362" s="1678" t="s">
        <v>741</v>
      </c>
      <c r="C362" s="617"/>
      <c r="D362" s="617"/>
      <c r="E362" s="617"/>
      <c r="F362" s="617"/>
      <c r="G362" s="617"/>
      <c r="H362" s="1712">
        <f>SUM(H360:H361)</f>
        <v>0</v>
      </c>
      <c r="I362" s="617"/>
      <c r="J362" s="617"/>
      <c r="K362" s="1712">
        <f>SUM(K360:K361)</f>
        <v>0</v>
      </c>
      <c r="L362" s="1712">
        <f>SUM(L360:L361)</f>
        <v>0</v>
      </c>
    </row>
    <row r="363" spans="1:14" s="675" customFormat="1" ht="15.75" customHeight="1" thickTop="1" x14ac:dyDescent="0.2">
      <c r="A363" s="661" t="s">
        <v>85</v>
      </c>
      <c r="B363" s="662" t="s">
        <v>38</v>
      </c>
      <c r="C363" s="639"/>
      <c r="D363" s="639"/>
      <c r="E363" s="639"/>
      <c r="F363" s="639"/>
      <c r="G363" s="639"/>
      <c r="H363" s="479"/>
      <c r="I363" s="639"/>
      <c r="J363" s="639"/>
      <c r="K363" s="1708">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0">
        <f>SUM(C364:J364)</f>
        <v>0</v>
      </c>
      <c r="L364" s="708"/>
    </row>
    <row r="365" spans="1:14" s="675" customFormat="1" ht="12.75" customHeight="1" thickBot="1" x14ac:dyDescent="0.25">
      <c r="A365" s="1543" t="s">
        <v>610</v>
      </c>
      <c r="B365" s="660" t="s">
        <v>512</v>
      </c>
      <c r="C365" s="639"/>
      <c r="D365" s="639"/>
      <c r="E365" s="639"/>
      <c r="F365" s="639"/>
      <c r="G365" s="639"/>
      <c r="H365" s="1712">
        <f>SUM(H362,H363,H364)</f>
        <v>0</v>
      </c>
      <c r="I365" s="639"/>
      <c r="J365" s="639"/>
      <c r="K365" s="1712">
        <f>SUM(K362,K363,K364)</f>
        <v>0</v>
      </c>
      <c r="L365" s="1712">
        <f>SUM(L362,L363,L364)</f>
        <v>0</v>
      </c>
      <c r="M365" s="666"/>
      <c r="N365" s="666"/>
    </row>
    <row r="366" spans="1:14" s="343" customFormat="1" ht="15.75" customHeight="1" thickTop="1" thickBot="1" x14ac:dyDescent="0.25">
      <c r="A366" s="1626" t="s">
        <v>1005</v>
      </c>
      <c r="B366" s="1633" t="s">
        <v>915</v>
      </c>
      <c r="C366" s="624"/>
      <c r="D366" s="624"/>
      <c r="E366" s="624"/>
      <c r="F366" s="624"/>
      <c r="G366" s="624"/>
      <c r="H366" s="624"/>
      <c r="I366" s="624"/>
      <c r="J366" s="617"/>
      <c r="K366" s="624"/>
      <c r="L366" s="573"/>
      <c r="M366" s="610"/>
      <c r="N366" s="610"/>
    </row>
    <row r="367" spans="1:14" ht="12.75" customHeight="1" thickTop="1" thickBot="1" x14ac:dyDescent="0.25">
      <c r="A367" s="1701" t="s">
        <v>525</v>
      </c>
      <c r="B367" s="1713"/>
      <c r="C367" s="1679">
        <f t="shared" ref="C367:L367" si="28">SUM(C352,C357,C365,C366)</f>
        <v>0</v>
      </c>
      <c r="D367" s="1679">
        <f t="shared" si="28"/>
        <v>0</v>
      </c>
      <c r="E367" s="1679">
        <f t="shared" si="28"/>
        <v>88193</v>
      </c>
      <c r="F367" s="1679">
        <f t="shared" si="28"/>
        <v>0</v>
      </c>
      <c r="G367" s="1679">
        <f t="shared" si="28"/>
        <v>1964220</v>
      </c>
      <c r="H367" s="1679">
        <f t="shared" si="28"/>
        <v>0</v>
      </c>
      <c r="I367" s="1679">
        <f t="shared" si="28"/>
        <v>0</v>
      </c>
      <c r="J367" s="1679">
        <f t="shared" si="28"/>
        <v>0</v>
      </c>
      <c r="K367" s="1679">
        <f t="shared" si="28"/>
        <v>2052413</v>
      </c>
      <c r="L367" s="1679">
        <f t="shared" si="28"/>
        <v>3801243</v>
      </c>
    </row>
    <row r="368" spans="1:14" ht="13.5" thickTop="1" x14ac:dyDescent="0.2">
      <c r="A368" s="2205" t="s">
        <v>1052</v>
      </c>
      <c r="B368" s="2206"/>
      <c r="C368" s="655"/>
      <c r="D368" s="655"/>
      <c r="E368" s="627"/>
      <c r="F368" s="627"/>
      <c r="G368" s="627"/>
      <c r="H368" s="627"/>
      <c r="I368" s="627"/>
      <c r="J368" s="624"/>
      <c r="K368" s="1680">
        <f>'Revenues 9-14'!K275-'Expenditures 15-22'!K367</f>
        <v>-1400079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4d435f69-8686-490b-bd6d-b153bf22ab50"/>
    <ds:schemaRef ds:uri="http://purl.org/dc/terms/"/>
    <ds:schemaRef ds:uri="http://schemas.microsoft.com/office/2006/documentManagement/types"/>
    <ds:schemaRef ds:uri="http://purl.org/dc/elements/1.1/"/>
    <ds:schemaRef ds:uri="http://schemas.microsoft.com/office/infopath/2007/PartnerControls"/>
    <ds:schemaRef ds:uri="d21dc803-237d-4c68-8692-8d731fd29118"/>
    <ds:schemaRef ds:uri="http://schemas.microsoft.com/sharepoint/v3"/>
    <ds:schemaRef ds:uri="http://schemas.openxmlformats.org/package/2006/metadata/core-properties"/>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2018-12-10T20:52:49Z</cp:lastPrinted>
  <dcterms:created xsi:type="dcterms:W3CDTF">2003-10-29T19:06:34Z</dcterms:created>
  <dcterms:modified xsi:type="dcterms:W3CDTF">2018-12-14T21:11:58Z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AFR Financial Statement and Footnote Support</vt:lpwstr>
  </property>
  <property fmtid="{D5CDD505-2E9C-101B-9397-08002B2CF9AE}" pid="7" name="tabIndex">
    <vt:lpwstr>150</vt:lpwstr>
  </property>
  <property fmtid="{D5CDD505-2E9C-101B-9397-08002B2CF9AE}" pid="8" name="workpaperIndex">
    <vt:lpwstr>
    </vt:lpwstr>
  </property>
</Properties>
</file>