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1)" sheetId="184" r:id="rId30"/>
    <sheet name=" SEFA (2)" sheetId="185" r:id="rId31"/>
    <sheet name="SF&amp;QC Sec-1" sheetId="174" r:id="rId32"/>
    <sheet name="SF&amp;QC Sec-2" sheetId="175" r:id="rId33"/>
    <sheet name="SF&amp;QC Sec-2 (2)" sheetId="190" r:id="rId34"/>
    <sheet name="SF&amp;QC Sec-2 (3)" sheetId="191" r:id="rId35"/>
    <sheet name="SF&amp;QC Sec-2 (4)" sheetId="192" r:id="rId36"/>
    <sheet name="SF&amp;QC Sec-2 (5)" sheetId="193" r:id="rId37"/>
    <sheet name="SF&amp;QC Sec-3" sheetId="176" r:id="rId38"/>
    <sheet name="SSPAF" sheetId="177" r:id="rId39"/>
  </sheets>
  <definedNames>
    <definedName name="fr" localSheetId="30">#REF!</definedName>
    <definedName name="fr" localSheetId="33">#REF!</definedName>
    <definedName name="fr" localSheetId="34">#REF!</definedName>
    <definedName name="fr" localSheetId="35">#REF!</definedName>
    <definedName name="fr" localSheetId="36">#REF!</definedName>
    <definedName name="fr">#REF!</definedName>
    <definedName name="gr" localSheetId="30">#REF!</definedName>
    <definedName name="gr" localSheetId="33">#REF!</definedName>
    <definedName name="gr" localSheetId="34">#REF!</definedName>
    <definedName name="gr" localSheetId="35">#REF!</definedName>
    <definedName name="gr" localSheetId="36">#REF!</definedName>
    <definedName name="gr">#REF!</definedName>
    <definedName name="_xlnm.Print_Area" localSheetId="28">' SEFA'!$B$1:$M$46</definedName>
    <definedName name="_xlnm.Print_Area" localSheetId="29">' SEFA (1)'!$B$1:$M$46</definedName>
    <definedName name="_xlnm.Print_Area" localSheetId="30">' SEFA (2)'!$B$1:$M$46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7">'SF&amp;QC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rr" localSheetId="30">#REF!</definedName>
    <definedName name="rr" localSheetId="33">#REF!</definedName>
    <definedName name="rr" localSheetId="34">#REF!</definedName>
    <definedName name="rr" localSheetId="35">#REF!</definedName>
    <definedName name="rr" localSheetId="36">#REF!</definedName>
    <definedName name="rr">#REF!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 name="tr" localSheetId="30">#REF!</definedName>
    <definedName name="tr" localSheetId="33">#REF!</definedName>
    <definedName name="tr" localSheetId="34">#REF!</definedName>
    <definedName name="tr" localSheetId="35">#REF!</definedName>
    <definedName name="tr" localSheetId="36">#REF!</definedName>
    <definedName name="t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93" l="1"/>
  <c r="B4" i="192"/>
  <c r="B4" i="191"/>
  <c r="B4" i="190"/>
  <c r="I15" i="185"/>
  <c r="G15" i="185"/>
  <c r="F15" i="185"/>
  <c r="E15" i="185"/>
  <c r="L13" i="185"/>
  <c r="B4" i="185"/>
  <c r="L17" i="184"/>
  <c r="L16" i="184"/>
  <c r="L15" i="184"/>
  <c r="L14" i="184"/>
  <c r="I26" i="184"/>
  <c r="G26" i="184"/>
  <c r="F26" i="184"/>
  <c r="E26" i="184"/>
  <c r="L24" i="184"/>
  <c r="L19" i="184"/>
  <c r="L18" i="184"/>
  <c r="L13" i="184"/>
  <c r="B4" i="184"/>
  <c r="I23" i="179"/>
  <c r="G23" i="179"/>
  <c r="F23" i="179"/>
  <c r="E23" i="179"/>
  <c r="F17" i="185" l="1"/>
  <c r="E17" i="185"/>
  <c r="I17" i="185"/>
  <c r="G17" i="185"/>
  <c r="L15" i="185"/>
  <c r="L23" i="184"/>
  <c r="L26" i="184"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L285" i="29" l="1"/>
  <c r="K356" i="29"/>
  <c r="K357" i="29" s="1"/>
  <c r="K15" i="4" s="1"/>
  <c r="H357" i="29"/>
  <c r="E137" i="29"/>
  <c r="E139" i="29" s="1"/>
  <c r="H137" i="29"/>
  <c r="L137" i="29"/>
  <c r="L357" i="29"/>
  <c r="D285" i="29"/>
  <c r="G40" i="108"/>
  <c r="B7799" i="106"/>
  <c r="F141" i="181"/>
  <c r="B7798" i="106" s="1"/>
  <c r="E40" i="108"/>
  <c r="B4" i="179" l="1"/>
  <c r="D17" i="171" l="1"/>
  <c r="L23" i="179" l="1"/>
  <c r="L17" i="185" s="1"/>
  <c r="L22" i="179"/>
  <c r="L21" i="179"/>
  <c r="L20" i="179"/>
  <c r="L19" i="179"/>
  <c r="L18"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0"/>
  <c r="B2" i="185"/>
  <c r="B2" i="193"/>
  <c r="B2" i="184"/>
  <c r="B2" i="192"/>
  <c r="B2" i="191"/>
  <c r="B1" i="193"/>
  <c r="B1" i="184"/>
  <c r="B1" i="190"/>
  <c r="B1" i="185"/>
  <c r="B1" i="192"/>
  <c r="B1" i="191"/>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s="1"/>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F26" i="108"/>
  <c r="E27" i="108"/>
  <c r="G27" i="108"/>
  <c r="F31" i="108"/>
  <c r="G28" i="108"/>
  <c r="E30" i="108"/>
  <c r="G30" i="108"/>
  <c r="D31" i="108"/>
  <c r="D36"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2" i="7"/>
  <c r="B1753" i="106" s="1"/>
  <c r="D1753" i="106" s="1"/>
  <c r="B13" i="7"/>
  <c r="B3725" i="106" s="1"/>
  <c r="D3725" i="106" s="1"/>
  <c r="B1754" i="106"/>
  <c r="D1754" i="106" s="1"/>
  <c r="B15" i="7"/>
  <c r="B1756" i="106" s="1"/>
  <c r="D1756" i="106" s="1"/>
  <c r="B3446" i="106"/>
  <c r="D3446" i="106" s="1"/>
  <c r="B17" i="7"/>
  <c r="B4102" i="106" s="1"/>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F72" i="34" l="1"/>
  <c r="F27" i="108"/>
  <c r="D5" i="4"/>
  <c r="B3406" i="106" s="1"/>
  <c r="D3406" i="106" s="1"/>
  <c r="B2027" i="106"/>
  <c r="D2027" i="106" s="1"/>
  <c r="B274" i="106"/>
  <c r="D274" i="106" s="1"/>
  <c r="B3454" i="106"/>
  <c r="D3454" i="106" s="1"/>
  <c r="B2864" i="106"/>
  <c r="D2864" i="106" s="1"/>
  <c r="B2026" i="106"/>
  <c r="D2026" i="106" s="1"/>
  <c r="B2029" i="106"/>
  <c r="D2029" i="106" s="1"/>
  <c r="B276" i="106"/>
  <c r="D276" i="106" s="1"/>
  <c r="B2028" i="106"/>
  <c r="D2028" i="106" s="1"/>
  <c r="B275" i="106"/>
  <c r="D275" i="106" s="1"/>
  <c r="D69" i="36"/>
  <c r="H342" i="29"/>
  <c r="B7221" i="106" s="1"/>
  <c r="D7221" i="106" s="1"/>
  <c r="L5" i="11"/>
  <c r="B2056" i="106" s="1"/>
  <c r="D2056" i="106" s="1"/>
  <c r="L22" i="37"/>
  <c r="B1746" i="106"/>
  <c r="D1746" i="106" s="1"/>
  <c r="D6103" i="106"/>
  <c r="F38" i="34"/>
  <c r="B7076" i="106"/>
  <c r="D7076" i="106" s="1"/>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H77" i="4" l="1"/>
  <c r="B3299" i="106" s="1"/>
  <c r="D3299" i="106" s="1"/>
  <c r="F41" i="108"/>
  <c r="G43" i="108" s="1"/>
  <c r="B1328" i="106"/>
  <c r="D1328" i="106" s="1"/>
  <c r="B1266" i="106"/>
  <c r="D1266" i="106" s="1"/>
  <c r="B7235" i="106"/>
  <c r="D7235" i="106" s="1"/>
  <c r="M23" i="3"/>
  <c r="B273" i="106"/>
  <c r="D273" i="106" s="1"/>
  <c r="C4" i="4"/>
  <c r="B2551" i="106" s="1"/>
  <c r="D2551" i="106" s="1"/>
  <c r="G6" i="4"/>
  <c r="B2604" i="106" s="1"/>
  <c r="D2604" i="106" s="1"/>
  <c r="B5770" i="106"/>
  <c r="D5770" i="106"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J17" i="4"/>
  <c r="J19" i="4" s="1"/>
  <c r="B6229" i="106" s="1"/>
  <c r="D6229" i="106" s="1"/>
  <c r="F24" i="37"/>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J20" i="4"/>
  <c r="J78" i="4" s="1"/>
  <c r="M41" i="3"/>
  <c r="B280" i="106"/>
  <c r="D280" i="106" s="1"/>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B2568" i="106"/>
  <c r="D2568" i="106" s="1"/>
  <c r="B3575" i="106"/>
  <c r="D3575" i="106" s="1"/>
  <c r="B281" i="106"/>
  <c r="D281" i="106" s="1"/>
  <c r="D54" i="36"/>
  <c r="H13" i="118"/>
  <c r="C8" i="146"/>
  <c r="D20" i="4"/>
  <c r="D78" i="4" s="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B2574" i="106"/>
  <c r="D2574" i="106" s="1"/>
  <c r="C10" i="146"/>
  <c r="F8" i="146"/>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<sst xmlns="http://schemas.openxmlformats.org/spreadsheetml/2006/main" count="5417" uniqueCount="2242">
  <si>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</si>
  <si>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</si>
  <si>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</si>
  <si>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</si>
  <si>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</si>
  <si>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</si>
  <si>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</si>
  <si>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</si>
  <si>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</si>
  <si>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</si>
  <si>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</si>
  <si>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</si>
  <si>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</si>
  <si>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</si>
  <si>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</si>
  <si>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</si>
  <si>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</si>
  <si>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</si>
  <si>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</si>
  <si>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</si>
  <si>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</si>
  <si>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</si>
  <si>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</si>
  <si>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</si>
  <si>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</si>
  <si>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</si>
  <si>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</si>
  <si>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</si>
  <si>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</si>
  <si>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</si>
  <si>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</si>
  <si>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</si>
  <si>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</si>
  <si>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</si>
  <si>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</si>
  <si>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</si>
  <si>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</si>
  <si>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</si>
  <si>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</si>
  <si>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</si>
  <si>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</si>
  <si>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</si>
  <si>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</si>
  <si>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</si>
  <si>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</si>
  <si>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</si>
  <si>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</si>
  <si>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</si>
  <si>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</si>
  <si>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</si>
  <si>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</si>
  <si>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</si>
  <si>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</si>
  <si>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</si>
  <si>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</si>
  <si>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</si>
  <si>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</si>
  <si>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</si>
  <si>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</si>
  <si>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</si>
  <si>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</si>
  <si>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</si>
  <si>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</si>
  <si>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</si>
  <si>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</si>
  <si>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</si>
  <si>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</si>
  <si>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</si>
  <si>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</si>
  <si>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</si>
  <si>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</si>
  <si>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</si>
  <si>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</si>
  <si>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</si>
  <si>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</si>
  <si>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</si>
  <si>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</si>
  <si>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</si>
  <si>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</si>
  <si>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</si>
  <si>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</si>
  <si>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</si>
  <si>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</si>
  <si>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</si>
  <si>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</si>
  <si>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</si>
  <si>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</si>
  <si>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</si>
  <si>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</si>
  <si>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</si>
  <si>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</si>
  <si>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</si>
  <si>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</si>
  <si>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</si>
  <si>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</si>
  <si>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</si>
  <si>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</si>
  <si>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</si>
  <si>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</si>
  <si>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</si>
  <si>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</si>
  <si>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</si>
  <si>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</si>
  <si>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</si>
  <si>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</si>
  <si>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</si>
  <si>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</si>
  <si>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</si>
  <si>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</si>
  <si>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</si>
  <si>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</si>
  <si>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</si>
  <si>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</si>
  <si>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</si>
  <si>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</si>
  <si>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</si>
  <si>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</si>
  <si>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</si>
  <si>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</si>
  <si>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</si>
  <si>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</si>
  <si>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</si>
  <si>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</si>
  <si>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</si>
  <si>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</si>
  <si>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</si>
  <si>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</si>
  <si>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</si>
  <si>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</si>
  <si>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</si>
  <si>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</si>
  <si>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</si>
  <si>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</si>
  <si>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</si>
  <si>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</si>
  <si>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</si>
  <si>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</si>
  <si>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</si>
  <si>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</si>
  <si>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</si>
  <si>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</si>
  <si>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</si>
  <si>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</si>
  <si>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</si>
  <si>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</si>
  <si>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</si>
  <si>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</si>
  <si>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</si>
  <si>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</si>
  <si>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</si>
  <si>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</si>
  <si>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</si>
  <si>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</si>
  <si>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</si>
  <si>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</si>
  <si>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</si>
  <si>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</si>
  <si>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</si>
  <si>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</si>
  <si>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</si>
  <si>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</si>
  <si>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</si>
  <si>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</si>
  <si>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</si>
  <si>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</si>
  <si>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</si>
  <si>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</si>
  <si>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</si>
  <si>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</si>
  <si>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</si>
  <si>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</si>
  <si>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</si>
  <si>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</si>
  <si>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</si>
  <si>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</si>
  <si>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</si>
  <si>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</si>
  <si>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</si>
  <si>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</si>
  <si>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</si>
  <si>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</si>
  <si>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</si>
  <si>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</si>
  <si>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</si>
  <si>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</si>
  <si>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</si>
  <si>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</si>
  <si>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</si>
  <si>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</si>
  <si>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</si>
  <si>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</si>
  <si>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</si>
  <si>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</si>
  <si>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</si>
  <si>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</si>
  <si>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</si>
  <si>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</si>
  <si>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</si>
  <si>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</si>
  <si>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</si>
  <si>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</si>
  <si>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</si>
  <si>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</si>
  <si>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</si>
  <si>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</si>
  <si>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</si>
  <si>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</si>
  <si>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</si>
  <si>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</si>
  <si>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</si>
  <si>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</si>
  <si>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</si>
  <si>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</si>
  <si>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</si>
  <si>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</si>
  <si>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</si>
  <si>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</si>
  <si>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</si>
  <si>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</si>
  <si>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</si>
  <si>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</si>
  <si>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</si>
  <si>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</si>
  <si>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</si>
  <si>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</si>
  <si>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</si>
  <si>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</si>
  <si>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</si>
  <si>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</si>
  <si>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</si>
  <si>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</si>
  <si>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</si>
  <si>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</si>
  <si>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</si>
  <si>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</si>
  <si>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</si>
  <si>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</si>
  <si>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</si>
  <si>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</si>
  <si>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</si>
  <si>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</si>
  <si>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</si>
  <si>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</si>
  <si>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</si>
  <si>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</si>
  <si>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</si>
  <si>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</si>
  <si>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</si>
  <si>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</si>
  <si>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</si>
  <si>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</si>
  <si>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</si>
  <si>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</si>
  <si>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</si>
  <si>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</si>
  <si>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</si>
  <si>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</si>
  <si>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</si>
  <si>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</si>
  <si>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</si>
  <si>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</si>
  <si>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</si>
  <si>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</si>
  <si>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</si>
  <si>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</si>
  <si>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</si>
  <si>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</si>
  <si>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</si>
  <si>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</si>
  <si>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</si>
  <si>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</si>
  <si>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</si>
  <si>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</si>
  <si>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</si>
  <si>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</si>
  <si>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</si>
  <si>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</si>
  <si>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</si>
  <si>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</si>
  <si>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</si>
  <si>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</si>
  <si>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</si>
  <si>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</si>
  <si>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</si>
  <si>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</si>
  <si>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</si>
  <si>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</si>
  <si>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</si>
  <si>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</si>
  <si>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</si>
  <si>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</si>
  <si>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</si>
  <si>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</si>
  <si>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</si>
  <si>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</si>
  <si>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</si>
  <si>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</si>
  <si>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</si>
  <si>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</si>
  <si>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</si>
  <si>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</si>
  <si>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</si>
  <si>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</si>
  <si>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</si>
  <si>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</si>
  <si>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</si>
  <si>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</si>
  <si>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</si>
  <si>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</si>
  <si>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</si>
  <si>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</si>
  <si>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</si>
  <si>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</si>
  <si>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</si>
  <si>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</si>
  <si>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</si>
  <si>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</si>
  <si>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</si>
  <si>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</si>
  <si>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</si>
  <si>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</si>
  <si>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</si>
  <si>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</si>
  <si>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</si>
  <si>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</si>
  <si>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</si>
  <si>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</si>
  <si>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</si>
  <si>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</si>
  <si>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</si>
  <si>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</si>
  <si>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</si>
  <si>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</si>
  <si>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</si>
  <si>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</si>
  <si>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</si>
  <si>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</si>
  <si>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</si>
  <si>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</si>
  <si>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</si>
  <si>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</si>
  <si>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</si>
  <si>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</si>
  <si>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</si>
  <si>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</si>
  <si>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</si>
  <si>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</si>
  <si>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</si>
  <si>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</si>
  <si>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</si>
  <si>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</si>
  <si>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</si>
  <si>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</si>
  <si>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</si>
  <si>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</si>
  <si>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</si>
  <si>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</si>
  <si>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</si>
  <si>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</si>
  <si>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</si>
  <si>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</si>
  <si>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</si>
  <si>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</si>
  <si>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</si>
  <si>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</si>
  <si>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</si>
  <si>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</si>
  <si>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</si>
  <si>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</si>
  <si>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</si>
  <si>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</si>
  <si>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</si>
  <si>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</si>
  <si>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</si>
  <si>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</si>
  <si>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</si>
  <si>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</si>
  <si>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</si>
  <si>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</si>
  <si>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</si>
  <si>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</si>
  <si>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</si>
  <si>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</si>
  <si>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</si>
  <si>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</si>
  <si>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</si>
  <si>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</si>
  <si>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</si>
  <si>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</si>
  <si>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</si>
  <si>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</si>
  <si>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</si>
  <si>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</si>
  <si>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</si>
  <si>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</si>
  <si>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</si>
  <si>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</si>
  <si>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</si>
  <si>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</si>
  <si>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</si>
  <si>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</si>
  <si>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</si>
  <si>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</si>
  <si>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</si>
  <si>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</si>
  <si>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</si>
  <si>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</si>
  <si>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</si>
  <si>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</si>
  <si>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</si>
  <si>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</si>
  <si>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</si>
  <si>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</si>
  <si>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</si>
  <si>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</si>
  <si>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</si>
  <si>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</si>
  <si>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</si>
  <si>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</si>
  <si>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</si>
  <si>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</si>
  <si>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</si>
  <si>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</si>
  <si>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</si>
  <si>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</si>
  <si>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</si>
  <si>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</si>
  <si>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</si>
  <si>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</si>
  <si>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</si>
  <si>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</si>
  <si>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</si>
  <si>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</si>
  <si>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</si>
  <si>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</si>
  <si>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</si>
  <si>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</si>
  <si>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</si>
  <si>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</si>
  <si>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</si>
  <si>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</si>
  <si>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</si>
  <si>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</si>
  <si>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</si>
  <si>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</si>
  <si>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</si>
  <si>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</si>
  <si>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</si>
  <si>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</si>
  <si>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</si>
  <si>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</si>
  <si>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</si>
  <si>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</si>
  <si>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</si>
  <si>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</si>
  <si>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</si>
  <si>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</si>
  <si>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</si>
  <si>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</si>
  <si>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</si>
  <si>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</si>
  <si>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</si>
  <si>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</si>
  <si>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</si>
  <si>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</si>
  <si>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</si>
  <si>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</si>
  <si>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</si>
  <si>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</si>
  <si>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</si>
  <si>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</si>
  <si>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</si>
  <si>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</si>
  <si>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</si>
  <si>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</si>
  <si>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</si>
  <si>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</si>
  <si>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</si>
  <si>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</si>
  <si>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</si>
  <si>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</si>
  <si>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</si>
  <si>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</si>
  <si>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</si>
  <si>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</si>
  <si>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</si>
  <si>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</si>
  <si>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</si>
  <si>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</si>
  <si>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</si>
  <si>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</si>
  <si>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</si>
  <si>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</si>
  <si>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</si>
  <si>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</si>
  <si>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</si>
  <si>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</si>
  <si>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</si>
  <si>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</si>
  <si>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</si>
  <si>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</si>
  <si>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</si>
  <si>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</si>
  <si>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</si>
  <si>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</si>
  <si>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</si>
  <si>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</si>
  <si>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</si>
  <si>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</si>
  <si>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</si>
  <si>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</si>
  <si>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</si>
  <si>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</si>
  <si>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</si>
  <si>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</si>
  <si>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</si>
  <si>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</si>
  <si>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</si>
  <si>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</si>
  <si>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</si>
  <si>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</si>
  <si>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</si>
  <si>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</si>
  <si>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</si>
  <si>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</si>
  <si>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</si>
  <si>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</si>
  <si>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</si>
  <si>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</si>
  <si>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</si>
  <si>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</si>
  <si>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</si>
  <si>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</si>
  <si>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</si>
  <si>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</si>
  <si>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</si>
  <si>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</si>
  <si>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</si>
  <si>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</si>
  <si>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</si>
  <si>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</si>
  <si>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</si>
  <si>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</si>
  <si>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</si>
  <si>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</si>
  <si>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</si>
  <si>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</si>
  <si>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</si>
  <si>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</si>
  <si>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</si>
  <si>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</si>
  <si>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</si>
  <si>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</si>
  <si>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</si>
  <si>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</si>
  <si>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</si>
  <si>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</si>
  <si>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</si>
  <si>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</si>
  <si>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</si>
  <si>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</si>
  <si>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</si>
  <si>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</si>
  <si>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</si>
  <si>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</si>
  <si>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</si>
  <si>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</si>
  <si>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</si>
  <si>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</si>
  <si>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</si>
  <si>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</si>
  <si>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</si>
  <si>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</si>
  <si>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</si>
  <si>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</si>
  <si>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</si>
  <si>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</si>
  <si>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</si>
  <si>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</si>
  <si>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</si>
  <si>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</si>
  <si>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</si>
  <si>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</si>
  <si>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</si>
  <si>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</si>
  <si>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</si>
  <si>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</si>
  <si>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</si>
  <si>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</si>
  <si>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</si>
  <si>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</si>
  <si>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</si>
  <si>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</si>
  <si>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</si>
  <si>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</si>
  <si>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</si>
  <si>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</si>
  <si>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</si>
  <si>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</si>
  <si>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</si>
  <si>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</si>
  <si>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</si>
  <si>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</si>
  <si>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</si>
  <si>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</si>
  <si>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</si>
  <si>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</si>
  <si>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</si>
  <si>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</si>
  <si>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</si>
  <si>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</si>
  <si>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</si>
  <si>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</si>
  <si>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</si>
  <si>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</si>
  <si>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</si>
  <si>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</si>
  <si>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</si>
  <si>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</si>
  <si>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</si>
  <si>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</si>
  <si>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</si>
  <si>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</si>
  <si>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</si>
  <si>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</si>
  <si>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</si>
  <si>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</si>
  <si>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</si>
  <si>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</si>
  <si>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</si>
  <si>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</si>
  <si>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</si>
  <si>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</si>
  <si>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</si>
  <si>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</si>
  <si>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</si>
  <si>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</si>
  <si>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</si>
  <si>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</si>
  <si>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</si>
  <si>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</si>
  <si>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</si>
  <si>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</si>
  <si>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</si>
  <si>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</si>
  <si>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</si>
  <si>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</si>
  <si>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</si>
  <si>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</si>
  <si>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</si>
  <si>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</si>
  <si>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</si>
  <si>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</si>
  <si>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</si>
  <si>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</si>
  <si>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</si>
  <si>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</si>
  <si>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</si>
  <si>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</si>
  <si>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</si>
  <si>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</si>
  <si>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</si>
  <si>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</si>
  <si>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</si>
  <si>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</si>
  <si>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</si>
  <si>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</si>
  <si>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</si>
  <si>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</si>
  <si>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</si>
  <si>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</si>
  <si>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</si>
  <si>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</si>
  <si>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</si>
  <si>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</si>
  <si>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</si>
  <si>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</si>
  <si>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</si>
  <si>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</si>
  <si>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</si>
  <si>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</si>
  <si>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</si>
  <si>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</si>
  <si>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</si>
  <si>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</si>
  <si>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</si>
  <si>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</si>
  <si>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</si>
  <si>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</si>
  <si>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</si>
  <si>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</si>
  <si>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</si>
  <si>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</si>
  <si>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</si>
  <si>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</si>
  <si>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</si>
  <si>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</si>
  <si>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</si>
  <si>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</si>
  <si>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</si>
  <si>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</si>
  <si>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</si>
  <si>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</si>
  <si>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</si>
  <si>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</si>
  <si>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</si>
  <si>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</si>
  <si>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</si>
  <si>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</si>
  <si>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</si>
  <si>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</si>
  <si>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</si>
  <si>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</si>
  <si>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</si>
  <si>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</si>
  <si>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</si>
  <si>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</si>
  <si>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</si>
  <si>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</si>
  <si>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</si>
  <si>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</si>
  <si>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</si>
  <si>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</si>
  <si>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</si>
  <si>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</si>
  <si>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</si>
  <si>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</si>
  <si>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</si>
  <si>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</si>
  <si>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</si>
  <si>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</si>
  <si>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</si>
  <si>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</si>
  <si>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</si>
  <si>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</si>
  <si>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</si>
  <si>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</si>
  <si>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</si>
  <si>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</si>
  <si>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</si>
  <si>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</si>
  <si>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</si>
  <si>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</si>
  <si>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</si>
  <si>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</si>
  <si>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</si>
  <si>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</si>
  <si>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</si>
  <si>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</si>
  <si>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</si>
  <si>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</si>
  <si>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</si>
  <si>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</si>
  <si>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</si>
  <si>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</si>
  <si>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</si>
  <si>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</si>
  <si>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</si>
  <si>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</si>
  <si>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</si>
  <si>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</si>
  <si>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</si>
  <si>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</si>
  <si>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</si>
  <si>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</si>
  <si>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</si>
  <si>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</si>
  <si>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</si>
  <si>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</si>
  <si>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</si>
  <si>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</si>
  <si>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</si>
  <si>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</si>
  <si>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</si>
  <si>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</si>
  <si>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</si>
  <si>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</si>
  <si>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</si>
  <si>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</si>
  <si>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</si>
  <si>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</si>
  <si>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</si>
  <si>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</si>
  <si>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</si>
  <si>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</si>
  <si>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</si>
  <si>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</si>
  <si>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</si>
  <si>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</si>
  <si>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</si>
  <si>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</si>
  <si>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</si>
  <si>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</si>
  <si>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</si>
  <si>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</si>
  <si>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</si>
  <si>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</si>
  <si>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</si>
  <si>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</si>
  <si>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</si>
  <si>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</si>
  <si>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</si>
  <si>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</si>
  <si>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</si>
  <si>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</si>
  <si>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</si>
  <si>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</si>
  <si>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</si>
  <si>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</si>
  <si>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</si>
  <si>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</si>
  <si>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</si>
  <si>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</si>
  <si>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</si>
  <si>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</si>
  <si>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</si>
  <si>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</si>
  <si>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</si>
  <si>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</si>
  <si>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</si>
  <si>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</si>
  <si>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</si>
  <si>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</si>
  <si>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</si>
  <si>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</si>
  <si>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</si>
  <si>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</si>
  <si>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</si>
  <si>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</si>
  <si>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</si>
  <si>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</si>
  <si>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</si>
  <si>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</si>
  <si>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</si>
  <si>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</si>
  <si>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</si>
  <si>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</si>
  <si>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</si>
  <si>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</si>
  <si>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</si>
  <si>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</si>
  <si>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</si>
  <si>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</si>
  <si>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</si>
  <si>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</si>
  <si>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</si>
  <si>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</si>
  <si>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</si>
  <si>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</si>
  <si>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</si>
  <si>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</si>
  <si>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</si>
  <si>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</si>
  <si>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</si>
  <si>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</si>
  <si>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</si>
  <si>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</si>
  <si>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</si>
  <si>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</si>
  <si>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</si>
  <si>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</si>
  <si>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</si>
  <si>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</si>
  <si>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</si>
  <si>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</si>
  <si>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</si>
  <si>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</si>
  <si>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</si>
  <si>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</si>
  <si>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</si>
  <si>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</si>
  <si>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</si>
  <si>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</si>
  <si>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</si>
  <si>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</si>
  <si>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</si>
  <si>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</si>
  <si>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</si>
  <si>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</si>
  <si>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</si>
  <si>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</si>
  <si>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</si>
  <si>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</si>
  <si>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</si>
  <si>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</si>
  <si>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</si>
  <si>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</si>
  <si>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</si>
  <si>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</si>
  <si>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</si>
  <si>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</si>
  <si>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</si>
  <si>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</si>
  <si>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</si>
  <si>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</si>
  <si>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</si>
  <si>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</si>
  <si>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</si>
  <si>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</si>
  <si>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</si>
  <si>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</si>
  <si>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</si>
  <si>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</si>
  <si>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</si>
  <si>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</si>
  <si>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</si>
  <si>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</si>
  <si>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</si>
  <si>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</si>
  <si>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</si>
  <si>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</si>
  <si>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</si>
  <si>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</si>
  <si>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</si>
  <si>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</si>
  <si>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</si>
  <si>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</si>
  <si>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</si>
  <si>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</si>
  <si>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</si>
  <si>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</si>
  <si>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</si>
  <si>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</si>
  <si>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</si>
  <si>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</si>
  <si>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</si>
  <si>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</si>
  <si>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</si>
  <si>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</si>
  <si>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</si>
  <si>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</si>
  <si>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</si>
  <si>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</si>
  <si>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</si>
  <si>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</si>
  <si>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</si>
  <si>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</si>
  <si>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</si>
  <si>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</si>
  <si>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</si>
  <si>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</si>
  <si>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</si>
  <si>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</si>
  <si>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</si>
  <si>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</si>
  <si>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</si>
  <si>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</si>
  <si>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</si>
  <si>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</si>
  <si>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</si>
  <si>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</si>
  <si>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</si>
  <si>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</si>
  <si>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</si>
  <si>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</si>
  <si>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</si>
  <si>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</si>
  <si>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</si>
  <si>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</si>
  <si>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</si>
  <si>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</si>
  <si>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</si>
  <si>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</si>
  <si>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</si>
  <si>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</si>
  <si>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</si>
  <si>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</si>
  <si>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</si>
  <si>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</si>
  <si>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</si>
  <si>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</si>
  <si>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</si>
  <si>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</si>
  <si>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</si>
  <si>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</si>
  <si>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</si>
  <si>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</si>
  <si>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</si>
  <si>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</si>
  <si>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</si>
  <si>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</si>
  <si>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</si>
  <si>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</si>
  <si>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</si>
  <si>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</si>
  <si>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</si>
  <si>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</si>
  <si>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</si>
  <si>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</si>
  <si>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</si>
  <si>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</si>
  <si>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</si>
  <si>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</si>
  <si>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</si>
  <si>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</si>
  <si>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</si>
  <si>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</si>
  <si>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</si>
  <si>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</si>
  <si>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</si>
  <si>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</si>
  <si>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</si>
  <si>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</si>
  <si>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</si>
  <si>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</si>
  <si>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</si>
  <si>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</si>
  <si>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</si>
  <si>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</si>
  <si>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</si>
  <si>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</si>
  <si>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</si>
  <si>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</si>
  <si>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</si>
  <si>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</si>
  <si>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</si>
  <si>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</si>
  <si>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</si>
  <si>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</si>
  <si>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</si>
  <si>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</si>
  <si>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</si>
  <si>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</si>
  <si>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</si>
  <si>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</si>
  <si>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</si>
  <si>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</si>
  <si>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</si>
  <si>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</si>
  <si>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</si>
  <si>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</si>
  <si>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</si>
  <si>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</si>
  <si>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</si>
  <si>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</si>
  <si>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</si>
  <si>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</si>
  <si>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</si>
  <si>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</si>
  <si>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</si>
  <si>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</si>
  <si>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</si>
  <si>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</si>
  <si>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</si>
  <si>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</si>
  <si>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</si>
  <si>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</si>
  <si>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</si>
  <si>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</si>
  <si>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</si>
  <si>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</si>
  <si>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</si>
  <si>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</si>
  <si>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</si>
  <si>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</si>
  <si>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</si>
  <si>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</si>
  <si>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</si>
  <si>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</si>
  <si>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</si>
  <si>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</si>
  <si>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</si>
  <si>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</si>
  <si>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</si>
  <si>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</si>
  <si>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</si>
  <si>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</si>
  <si>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</si>
  <si>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</si>
  <si>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</si>
  <si>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</si>
  <si>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</si>
  <si>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</si>
  <si>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</si>
  <si>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</si>
  <si>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</si>
  <si>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</si>
  <si>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</si>
  <si>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</si>
  <si>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</si>
  <si>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</si>
  <si>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</si>
  <si>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</si>
  <si>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</si>
  <si>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</si>
  <si>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</si>
  <si>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</si>
  <si>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</si>
  <si>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</si>
  <si>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</si>
  <si>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</si>
  <si>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</si>
  <si>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</si>
  <si>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</si>
  <si>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</si>
  <si>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</si>
  <si>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</si>
  <si>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</si>
  <si>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</si>
  <si>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</si>
  <si>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</si>
  <si>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</si>
  <si>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</si>
  <si>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</si>
  <si>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</si>
  <si>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</si>
  <si>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</si>
  <si>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</si>
  <si>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</si>
  <si>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</si>
  <si>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</si>
  <si>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</si>
  <si>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</si>
  <si>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</si>
  <si>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</si>
  <si>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</si>
  <si>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</si>
  <si>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</si>
  <si>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</si>
  <si>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</si>
  <si>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</si>
  <si>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</si>
  <si>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</si>
  <si>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</si>
  <si>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</si>
  <si>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</si>
  <si>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</si>
  <si>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</si>
  <si>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</si>
  <si>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</si>
  <si>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</si>
  <si>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</si>
  <si>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</si>
  <si>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</si>
  <si>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</si>
  <si>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</si>
  <si>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</si>
  <si>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</si>
  <si>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</si>
  <si>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</si>
  <si>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</si>
  <si>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</si>
  <si>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</si>
  <si>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</si>
  <si>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</si>
  <si>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</si>
  <si>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</si>
  <si>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</si>
  <si>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</si>
  <si>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</si>
  <si>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</si>
  <si>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</si>
  <si>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</si>
  <si>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</si>
  <si>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</si>
  <si>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</si>
  <si>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</si>
  <si>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</si>
  <si>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</si>
  <si>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</si>
  <si>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</si>
  <si>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</si>
  <si>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</si>
  <si>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</si>
  <si>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</si>
  <si>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</si>
  <si>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</si>
  <si>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</si>
  <si>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</si>
  <si>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</si>
  <si>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</si>
  <si>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</si>
  <si>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</si>
  <si>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</si>
  <si>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</si>
  <si>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</si>
  <si>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</si>
  <si>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</si>
  <si>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</si>
  <si>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</si>
  <si>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</si>
  <si>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</si>
  <si>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</si>
  <si>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</si>
  <si>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</si>
  <si>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</si>
  <si>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</si>
  <si>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</si>
  <si>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</si>
  <si>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</si>
  <si>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</si>
  <si>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</si>
  <si>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</si>
  <si>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</si>
  <si>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</si>
  <si>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</si>
  <si>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</si>
  <si>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</si>
  <si>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</si>
  <si>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</si>
  <si>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</si>
  <si>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</si>
  <si>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</si>
  <si>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</si>
  <si>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</si>
  <si>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</si>
  <si>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</si>
  <si>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</si>
  <si>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</si>
  <si>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</si>
  <si>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</si>
  <si>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</si>
  <si>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</si>
  <si>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</si>
  <si>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</si>
  <si>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</si>
  <si>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</si>
  <si>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</si>
  <si>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</si>
  <si>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</si>
  <si>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</si>
  <si>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</si>
  <si>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</si>
  <si>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</si>
  <si>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</si>
  <si>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</si>
  <si>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</si>
  <si>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</si>
  <si>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</si>
  <si>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</si>
  <si>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</si>
  <si>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</si>
  <si>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</si>
  <si>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</si>
  <si>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</si>
  <si>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</si>
  <si>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</si>
  <si>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</si>
  <si>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</si>
  <si>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</si>
  <si>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</si>
  <si>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</si>
  <si>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</si>
  <si>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</si>
  <si>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</si>
  <si>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</si>
  <si>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</si>
  <si>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</si>
  <si>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</si>
  <si>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</si>
  <si>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</si>
  <si>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</si>
  <si>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</si>
  <si>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</si>
  <si>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</si>
  <si>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</si>
  <si>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</si>
  <si>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</si>
  <si>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</si>
  <si>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</si>
  <si>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</si>
  <si>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</si>
  <si>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</si>
  <si>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</si>
  <si>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</si>
  <si>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</si>
  <si>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</si>
  <si>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</si>
  <si>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</si>
  <si>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</si>
  <si>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</si>
  <si>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</si>
  <si>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</si>
  <si>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</si>
  <si>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</si>
  <si>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</si>
  <si>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</si>
  <si>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</si>
  <si>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</si>
  <si>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</si>
  <si>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</si>
  <si>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</si>
  <si>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</si>
  <si>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</si>
  <si>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</si>
  <si>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</si>
  <si>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</si>
  <si>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</si>
  <si>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</si>
  <si>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</si>
  <si>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</si>
  <si>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</si>
  <si>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</si>
  <si>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</si>
  <si>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</si>
  <si>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</si>
  <si>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</si>
  <si>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</si>
  <si>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</si>
  <si>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</si>
  <si>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</si>
  <si>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</si>
  <si>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</si>
  <si>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</si>
  <si>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</si>
  <si>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</si>
  <si>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</si>
  <si>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</si>
  <si>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</si>
  <si>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</si>
  <si>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</si>
  <si>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</si>
  <si>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</si>
  <si>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</si>
  <si>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</si>
  <si>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</si>
  <si>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</si>
  <si>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</si>
  <si>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</si>
  <si>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</si>
  <si>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</si>
  <si>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</si>
  <si>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</si>
  <si>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</si>
  <si>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</si>
  <si>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</si>
  <si>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</si>
  <si>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</si>
  <si>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</si>
  <si>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</si>
  <si>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</si>
  <si>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</si>
  <si>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</si>
  <si>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</si>
  <si>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</si>
  <si>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</si>
  <si>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</si>
  <si>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</si>
  <si>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</si>
  <si>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</si>
  <si>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</si>
  <si>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</si>
  <si>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</si>
  <si>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</si>
  <si>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</si>
  <si>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</si>
  <si>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</si>
  <si>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</si>
  <si>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</si>
  <si>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</si>
  <si>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</si>
  <si>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</si>
  <si>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</si>
  <si>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</si>
  <si>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</si>
  <si>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</si>
  <si>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</si>
  <si>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</si>
  <si>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</si>
  <si>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</si>
  <si>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</si>
  <si>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</si>
  <si>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</si>
  <si>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</si>
  <si>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</si>
  <si>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</si>
  <si>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</si>
  <si>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</si>
  <si>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</si>
  <si>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</si>
  <si>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</si>
  <si>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</si>
  <si>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</si>
  <si>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</si>
  <si>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</si>
  <si>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</si>
  <si>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</si>
  <si>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</si>
  <si>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</si>
  <si>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</si>
  <si>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</si>
  <si>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</si>
  <si>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</si>
  <si>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</si>
  <si>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</si>
  <si>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</si>
  <si>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</si>
  <si>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</si>
  <si>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</si>
  <si>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</si>
  <si>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</si>
  <si>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</si>
  <si>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</si>
  <si>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</si>
  <si>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</si>
  <si>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</si>
  <si>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</si>
  <si>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</si>
  <si>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</si>
  <si>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</si>
  <si>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</si>
  <si>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</si>
  <si>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</si>
  <si>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</si>
  <si>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</si>
  <si>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</si>
  <si>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</si>
  <si>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</si>
  <si>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</si>
  <si>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</si>
  <si>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</si>
  <si>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</si>
  <si>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</si>
  <si>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</si>
  <si>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</si>
  <si>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</si>
  <si>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</si>
  <si>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</si>
  <si>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</si>
  <si>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</si>
  <si>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</si>
  <si>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</si>
  <si>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</si>
  <si>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</si>
  <si>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</si>
  <si>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</si>
  <si>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</si>
  <si>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</si>
  <si>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</si>
  <si>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</si>
  <si>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</si>
  <si>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</si>
  <si>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</si>
  <si>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</si>
  <si>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</si>
  <si>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</si>
  <si>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</si>
  <si>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</si>
  <si>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</si>
  <si>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</si>
  <si>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</si>
  <si>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</si>
  <si>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</si>
  <si>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</si>
  <si>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</si>
  <si>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</si>
  <si>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</si>
  <si>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</si>
  <si>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</si>
  <si>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</si>
  <si>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</si>
  <si>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</si>
  <si>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</si>
  <si>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</si>
  <si>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</si>
  <si>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</si>
  <si>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</si>
  <si>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</si>
  <si>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</si>
  <si>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</si>
  <si>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</si>
  <si>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</si>
  <si>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</si>
  <si>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</si>
  <si>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</si>
  <si>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</si>
  <si>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</si>
  <si>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</si>
  <si>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</si>
  <si>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</si>
  <si>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</si>
  <si>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</si>
  <si>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</si>
  <si>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</si>
  <si>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</si>
  <si>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</si>
  <si>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</si>
  <si>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</si>
  <si>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</si>
  <si>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</si>
  <si>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</si>
  <si>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</si>
  <si>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</si>
  <si>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</si>
  <si>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</si>
  <si>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</si>
  <si>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</si>
  <si>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</si>
  <si>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</si>
  <si>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</si>
  <si>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</si>
  <si>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</si>
  <si>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</si>
  <si>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</si>
  <si>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</si>
  <si>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</si>
  <si>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</si>
  <si>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</si>
  <si>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</si>
  <si>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</si>
  <si>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</si>
  <si>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</si>
  <si>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</si>
  <si>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</si>
  <si>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</si>
  <si>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</si>
  <si>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</si>
  <si>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</si>
  <si>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</si>
  <si>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</si>
  <si>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</si>
  <si>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</si>
  <si>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</si>
  <si>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</si>
  <si>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</si>
  <si>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</si>
  <si>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</si>
  <si>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</si>
  <si>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</si>
  <si>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</si>
  <si>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</si>
  <si>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</si>
  <si>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</si>
  <si>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</si>
  <si>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</si>
  <si>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</si>
  <si>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</si>
  <si>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</si>
  <si>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</si>
  <si>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</si>
  <si>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</si>
  <si>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</si>
  <si>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</si>
  <si>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</si>
  <si>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</si>
  <si>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</si>
  <si>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</si>
  <si>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</si>
  <si>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</si>
  <si>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</si>
  <si>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</si>
  <si>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</si>
  <si>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</si>
  <si>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</si>
  <si>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</si>
  <si>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</si>
  <si>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</si>
  <si>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</si>
  <si>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</si>
  <si>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</si>
  <si>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</si>
  <si>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</si>
  <si>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</si>
  <si>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</si>
  <si>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</si>
  <si>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</si>
  <si>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</si>
  <si>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</si>
  <si>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</si>
  <si>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</si>
  <si>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</si>
  <si>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</si>
  <si>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</si>
  <si>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</si>
  <si>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</si>
  <si>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</si>
  <si>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</si>
  <si>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</si>
  <si>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</si>
  <si>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</si>
  <si>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</si>
  <si>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</si>
  <si>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</si>
  <si>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</si>
  <si>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</si>
  <si>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</si>
  <si>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</si>
  <si>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</si>
  <si>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</si>
  <si>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</si>
  <si>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</si>
  <si>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</si>
  <si>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</si>
  <si>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</si>
  <si>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</si>
  <si>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</si>
  <si>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</si>
  <si>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</si>
  <si>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</si>
  <si>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</si>
  <si>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</si>
  <si>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</si>
  <si>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</si>
  <si>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</si>
  <si>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</si>
  <si>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</si>
  <si>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</si>
  <si>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</si>
  <si>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</si>
  <si>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</si>
  <si>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</si>
  <si>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</si>
  <si>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</si>
  <si>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</si>
  <si>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</si>
  <si>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</si>
  <si>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</si>
  <si>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</si>
  <si>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</si>
  <si>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</si>
  <si>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</si>
  <si>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</si>
  <si>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</si>
  <si>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</si>
  <si>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</si>
  <si>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</si>
  <si>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</si>
  <si>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</si>
  <si>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</si>
  <si>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</si>
  <si>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</si>
  <si>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</si>
  <si>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</si>
  <si>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</si>
  <si>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</si>
  <si>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</si>
  <si>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</si>
  <si>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</si>
  <si>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</si>
  <si>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</si>
  <si>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</si>
  <si>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</si>
  <si>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</si>
  <si>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</si>
  <si>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</si>
  <si>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</si>
  <si>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</si>
  <si>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</si>
  <si>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</si>
  <si>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</si>
  <si>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</si>
  <si>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</si>
  <si>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</si>
  <si>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</si>
  <si>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</si>
  <si>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</si>
  <si>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</si>
  <si>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</si>
  <si>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</si>
  <si>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</si>
  <si>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</si>
  <si>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</si>
  <si>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</si>
  <si>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</si>
  <si>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</si>
  <si>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</si>
  <si>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</si>
  <si>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</si>
  <si>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</si>
  <si>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</si>
  <si>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</si>
  <si>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</si>
  <si>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</si>
  <si>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</si>
  <si>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</si>
  <si>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</si>
  <si>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</si>
  <si>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</si>
  <si>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</si>
  <si>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</si>
  <si>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</si>
  <si>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</si>
  <si>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</si>
  <si>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</si>
  <si>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</si>
  <si>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</si>
  <si>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</si>
  <si>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</si>
  <si>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</si>
  <si>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</si>
  <si>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</si>
  <si>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</si>
  <si>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</si>
  <si>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</si>
  <si>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</si>
  <si>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</si>
  <si>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</si>
  <si>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</si>
  <si>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</si>
  <si>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</si>
  <si>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</si>
  <si>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</si>
  <si>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</si>
  <si>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</si>
  <si>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</si>
  <si>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</si>
  <si>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</si>
  <si>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</si>
  <si>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</si>
  <si>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</si>
  <si>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</si>
  <si>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</si>
  <si>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</si>
  <si>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</si>
  <si>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</si>
  <si>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</si>
  <si>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</si>
  <si>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</si>
  <si>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</si>
  <si>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</si>
  <si>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</si>
  <si>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</si>
  <si>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</si>
  <si>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</si>
  <si>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</si>
  <si>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</si>
  <si>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</si>
  <si>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</si>
  <si>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</si>
  <si>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</si>
  <si>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</si>
  <si>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</si>
  <si>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</si>
  <si>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</si>
  <si>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</si>
  <si>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</si>
  <si>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</si>
  <si>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</si>
  <si>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</si>
  <si>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</si>
  <si>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</si>
  <si>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</si>
  <si>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</si>
  <si>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</si>
  <si>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</si>
  <si>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</si>
  <si>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</si>
  <si>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</si>
  <si>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</si>
  <si>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</si>
  <si>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</si>
  <si>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</si>
  <si>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</si>
  <si>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</si>
  <si>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</si>
  <si>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</si>
  <si>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</si>
  <si>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</si>
  <si>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</si>
  <si>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</si>
  <si>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</si>
  <si>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</si>
  <si>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</si>
  <si>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</si>
  <si>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</si>
  <si>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</si>
  <si>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</si>
  <si>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</si>
  <si>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</si>
  <si>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</si>
  <si>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</si>
  <si>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</si>
  <si>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</si>
  <si>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</si>
  <si>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</si>
  <si>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</si>
  <si>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</si>
  <si>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</si>
  <si>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</si>
  <si>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</si>
  <si>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</si>
  <si>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</si>
  <si>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</si>
  <si>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</si>
  <si>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</si>
  <si>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</si>
  <si>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</si>
  <si>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</si>
  <si>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</si>
  <si>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</si>
  <si>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</si>
  <si>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</si>
  <si>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</si>
  <si>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</si>
  <si>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</si>
  <si>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</si>
  <si>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</si>
  <si>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</si>
  <si>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</si>
  <si>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</si>
  <si>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</si>
  <si>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</si>
  <si>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</si>
  <si>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</si>
  <si>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</si>
  <si>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</si>
  <si>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</si>
  <si>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</si>
  <si>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</si>
  <si>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</si>
  <si>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</si>
  <si>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</si>
  <si>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</si>
  <si>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</si>
  <si>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</si>
  <si>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</si>
  <si>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</si>
  <si>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</si>
  <si>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</si>
  <si>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</si>
  <si>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</si>
  <si>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</si>
  <si>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</si>
  <si>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</si>
  <si>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</si>
  <si>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</si>
  <si>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</si>
  <si>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</si>
  <si>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</si>
  <si>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</si>
  <si>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</si>
  <si>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</si>
  <si>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</si>
  <si>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</si>
  <si>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</si>
  <si>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</si>
  <si>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</si>
  <si>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</si>
  <si>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</si>
  <si>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</si>
  <si>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</si>
  <si>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</si>
  <si>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</si>
  <si>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</si>
  <si>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</si>
  <si>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</si>
  <si>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</si>
  <si>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</si>
  <si>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</si>
  <si>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</si>
  <si>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</si>
  <si>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</si>
  <si>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</si>
  <si>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</si>
  <si>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</si>
  <si>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</si>
  <si>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</si>
  <si>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</si>
  <si>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</si>
  <si>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</si>
  <si>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</si>
  <si>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</si>
  <si>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</si>
  <si>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</si>
  <si>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</si>
  <si>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</si>
  <si>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</si>
  <si>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</si>
  <si>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</si>
  <si>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</si>
  <si>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</si>
  <si>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</si>
  <si>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</si>
  <si>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</si>
  <si>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</si>
  <si>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</si>
  <si>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</si>
  <si>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</si>
  <si>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</si>
  <si>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</si>
  <si>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</si>
  <si>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</si>
  <si>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</si>
  <si>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</si>
  <si>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</si>
  <si>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</si>
  <si>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</si>
  <si>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</si>
  <si>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</si>
  <si>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</si>
  <si>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</si>
  <si>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</si>
  <si>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</si>
  <si>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</si>
  <si>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</si>
  <si>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</si>
  <si>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</si>
  <si>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</si>
  <si>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</si>
  <si>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</si>
  <si>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</si>
  <si>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</si>
  <si>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</si>
  <si>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</si>
  <si>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</si>
  <si>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</si>
  <si>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</si>
  <si>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</si>
  <si>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</si>
  <si>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</si>
  <si>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</si>
  <si>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</si>
  <si>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</si>
  <si>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</si>
  <si>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</si>
  <si>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</si>
  <si>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</si>
  <si>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</si>
  <si>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</si>
  <si>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</si>
  <si>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</si>
  <si>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</si>
  <si>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</si>
  <si>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</si>
  <si>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</si>
  <si>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</si>
  <si>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</si>
  <si>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</si>
  <si>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</si>
  <si>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</si>
  <si>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</si>
  <si>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</si>
  <si>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</si>
  <si>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</si>
  <si>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</si>
  <si>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</si>
  <si>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</si>
  <si>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</si>
  <si>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</si>
  <si>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</si>
  <si>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</si>
  <si>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</si>
  <si>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</si>
  <si>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</si>
  <si>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</si>
  <si>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</si>
  <si>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</si>
  <si>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</si>
  <si>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</si>
  <si>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</si>
  <si>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</si>
  <si>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</si>
  <si>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</si>
  <si>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</si>
  <si>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</si>
  <si>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</si>
  <si>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</si>
  <si>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</si>
  <si>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</si>
  <si>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</si>
  <si>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</si>
  <si>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</si>
  <si>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</si>
  <si>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</si>
  <si>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</si>
  <si>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</si>
  <si>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</si>
  <si>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</si>
  <si>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</si>
  <si>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</si>
  <si>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</si>
  <si>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</si>
  <si>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</si>
  <si>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</si>
  <si>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</si>
  <si>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</si>
  <si>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</si>
  <si>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</si>
  <si>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</si>
  <si>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</si>
  <si>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</si>
  <si>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</si>
  <si>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</si>
  <si>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</si>
  <si>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</si>
  <si>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</si>
  <si>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</si>
  <si>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</si>
  <si>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</si>
  <si>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</si>
  <si>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</si>
  <si>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</si>
  <si>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</si>
  <si>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</si>
  <si>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</si>
  <si>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</si>
  <si>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</si>
  <si>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</si>
  <si>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</si>
  <si>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</si>
  <si>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</si>
  <si>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</si>
  <si>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</si>
  <si>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</si>
  <si>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</si>
  <si>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</si>
  <si>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</si>
  <si>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</si>
  <si>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</si>
  <si>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</si>
  <si>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</si>
  <si>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</si>
  <si>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</si>
  <si>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</si>
  <si>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</si>
  <si>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</si>
  <si>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</si>
  <si>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</si>
  <si>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</si>
  <si>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</si>
  <si>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</si>
  <si>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</si>
  <si>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</si>
  <si>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</si>
  <si>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</si>
  <si>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</si>
  <si>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</si>
  <si>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</si>
  <si>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</si>
  <si>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</si>
  <si>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</si>
  <si>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</si>
  <si>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</si>
  <si>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</si>
  <si>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</si>
  <si>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</si>
  <si>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</si>
  <si>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</si>
  <si>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</si>
  <si>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</si>
  <si>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</si>
  <si>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</si>
  <si>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</si>
  <si>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</si>
  <si>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</si>
  <si>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</si>
  <si>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</si>
  <si>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</si>
  <si>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</si>
  <si>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</si>
  <si>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</si>
  <si>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</si>
  <si>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</si>
  <si>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</si>
  <si>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</si>
  <si>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</si>
  <si>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</si>
  <si>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</si>
  <si>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</si>
  <si>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</si>
  <si>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</si>
  <si>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</si>
  <si>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</si>
  <si>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</si>
  <si>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</si>
  <si>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</si>
  <si>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</si>
  <si>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</si>
  <si>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</si>
  <si>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</si>
  <si>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</si>
  <si>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</si>
  <si>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</si>
  <si>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</si>
  <si>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</si>
  <si>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</si>
  <si>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</si>
  <si>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</si>
  <si>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</si>
  <si>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</si>
  <si>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</si>
  <si>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</si>
  <si>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</si>
  <si>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</si>
  <si>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</si>
  <si>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565 FREDERICK RD</t>
  </si>
  <si>
    <t>LAKE</t>
  </si>
  <si>
    <t>X</t>
  </si>
  <si>
    <t>EDER, CASELLA &amp; CO.</t>
  </si>
  <si>
    <t>CHERYDEN JUERGENSEN</t>
  </si>
  <si>
    <t>5400 WEST ELM STREET, SUITE 203</t>
  </si>
  <si>
    <t>MCHENRY</t>
  </si>
  <si>
    <t>IL</t>
  </si>
  <si>
    <t>815-344-1300</t>
  </si>
  <si>
    <t>815-344-1320</t>
  </si>
  <si>
    <t>066-005142</t>
  </si>
  <si>
    <t xml:space="preserve">20. Findings reported:
- During the course of the audit, material misstatements of the financial records were found, resulting in adjusting entries.
- The insurance payable liability amount could not be traced to supporting documents.
- Several employees had incorrect amounts deducted from their wages for TRS contributions.
- Employee and employer IMRF contributiobs submitted during fiscal year 2018 were incorrect.
- The District had several old outstanding checks and manual adjustments on its bank reconciliation. </t>
  </si>
  <si>
    <t>Eder, Casella &amp; Co.</t>
  </si>
  <si>
    <t>Capital Appreciation Bonds, 2000</t>
  </si>
  <si>
    <t>Capital Appreciation Bonds, 2001</t>
  </si>
  <si>
    <t>Capital Appreciation Bonds, 2002</t>
  </si>
  <si>
    <t>General Obligation Refunding Bonds, 2012</t>
  </si>
  <si>
    <t>General Obligation Refunding Bonds, 2014</t>
  </si>
  <si>
    <t>General Obligation Refunding Bonds, 2015</t>
  </si>
  <si>
    <t>CAPITAL LEASE</t>
  </si>
  <si>
    <t>Capital Lease, 2018</t>
  </si>
  <si>
    <t>Ed - Support Services-Business - Purchased Services</t>
  </si>
  <si>
    <t>10-2560-300</t>
  </si>
  <si>
    <t>Arbor Management, Inc.</t>
  </si>
  <si>
    <t>Ed - Support Services-Central - Purchased Services</t>
  </si>
  <si>
    <t>10-2660-300</t>
  </si>
  <si>
    <t>Computer Information Concepts</t>
  </si>
  <si>
    <t>10-2570-300</t>
  </si>
  <si>
    <t>COTG</t>
  </si>
  <si>
    <t>Transportation - Support Services-Business - Purchased Services</t>
  </si>
  <si>
    <t>40-2550-300</t>
  </si>
  <si>
    <t>Durham School Services</t>
  </si>
  <si>
    <t>Ed -Support Services-Instructional Staff - Purchased Services</t>
  </si>
  <si>
    <t>10-2200-300</t>
  </si>
  <si>
    <t>Northwest Evaluation Association</t>
  </si>
  <si>
    <t>Ricoh USA</t>
  </si>
  <si>
    <t>O&amp;M - Support Services-Business -Purchased Services</t>
  </si>
  <si>
    <t>20-2540-300</t>
  </si>
  <si>
    <t>RJB Properties</t>
  </si>
  <si>
    <t>Intergovernmental Utility Purchasing Cooperative (IUPC)</t>
  </si>
  <si>
    <t>Collective Liability Insurance Cooperative (CLIC)</t>
  </si>
  <si>
    <t>Illinois School District Liquid Asset Fund (ISDLAF)</t>
  </si>
  <si>
    <t>Special Education District of Lake County (SEDOL)</t>
  </si>
  <si>
    <t>St. Gilbert, Westlake Christian Academy</t>
  </si>
  <si>
    <t>Page 9, Line 11 - Other Tax Levies</t>
  </si>
  <si>
    <t>SEDOL IMRF tax levy</t>
  </si>
  <si>
    <t>Page 10, Line 91 - Sales - Other</t>
  </si>
  <si>
    <t>Registration fees</t>
  </si>
  <si>
    <t>Technology fees</t>
  </si>
  <si>
    <t>Ed Fund, Page 11, Line 107 - Other Local Revenues</t>
  </si>
  <si>
    <t>Preferred meals reimbursement, credit card rebates and other miscellaneous revenue</t>
  </si>
  <si>
    <t>Operations and Maintenance Fund, Page 11, Line 107 - Other Local Revenues</t>
  </si>
  <si>
    <t>Cell tower revenue and energy rebates</t>
  </si>
  <si>
    <t>Transportation Fund, Page 11, Line 107 - Other Local Revenues</t>
  </si>
  <si>
    <t>Miscellaneous transportation reimbursements</t>
  </si>
  <si>
    <t>Library Per Capita Grant</t>
  </si>
  <si>
    <t>Salaries and benefits - support services staff and physical therapy supplies</t>
  </si>
  <si>
    <t>Bond fees</t>
  </si>
  <si>
    <t>Benefits - support services staff</t>
  </si>
  <si>
    <t xml:space="preserve">Page 23, Line 18 - Other Tax Receipts </t>
  </si>
  <si>
    <t>Page 24, Column G, Lines 31-33 Differences with Page 7</t>
  </si>
  <si>
    <t>Current year accreted interest</t>
  </si>
  <si>
    <t>Total Long-Term Debt Issued on page 24, cell F49 does not equal Principal on Long-Term Debt Sold on Page 8, cells C33:K33</t>
  </si>
  <si>
    <t>due to capital lease transactions not involving cash.</t>
  </si>
  <si>
    <t xml:space="preserve">Total Long-Term Debt (Principal) Retired on page 18, cell H170, does not equal Debt Service - Long Term Debt (Principal) Retired </t>
  </si>
  <si>
    <t>on Page 24, cell H49 due to Accreted Interest being recorded under interest expense during the current year.</t>
  </si>
  <si>
    <t>cpas@edercasella.com</t>
  </si>
  <si>
    <t>herrin.john@dist46.org</t>
  </si>
  <si>
    <t>Medicaid - Admin Outreach - Admin Assessment FY2018</t>
  </si>
  <si>
    <t>Rounding</t>
  </si>
  <si>
    <r>
      <t xml:space="preserve">The accompanying Schedule of Expenditures of Federal Awards includes the federal grant activity of </t>
    </r>
    <r>
      <rPr>
        <b/>
        <sz val="9"/>
        <rFont val="Calibri"/>
        <family val="2"/>
        <scheme val="minor"/>
      </rPr>
      <t>Grayslake Community Consolidated School District No. 46</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</si>
  <si>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Grayslake Community Consolidated School District No. 46</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</si>
  <si>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Grayslake Community Consolidated School District No. 46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</si>
  <si>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Agriculture/Department of Defense Passed Through</t>
  </si>
  <si>
    <t>Illinois State Board of Education:</t>
  </si>
  <si>
    <t>Food Donation Program (M)</t>
  </si>
  <si>
    <t>18-4299-00</t>
  </si>
  <si>
    <t>U.S. Department of Agriculture Passed Through</t>
  </si>
  <si>
    <t>National School Lunch + (M)</t>
  </si>
  <si>
    <t>17-4210-00</t>
  </si>
  <si>
    <t>National School Lunch * (M)</t>
  </si>
  <si>
    <t>18-4210-00</t>
  </si>
  <si>
    <t>School Breakfast Program + (M)</t>
  </si>
  <si>
    <t>17-4220-00</t>
  </si>
  <si>
    <t>School Breakfast Program * (M)</t>
  </si>
  <si>
    <t>18-4220-00</t>
  </si>
  <si>
    <t>Subtotal - CFDA "10"</t>
  </si>
  <si>
    <t>N/A</t>
  </si>
  <si>
    <t>U.S. Department of Education Passed Through</t>
  </si>
  <si>
    <t>Title I - Low Income ++</t>
  </si>
  <si>
    <t>17-4300-00</t>
  </si>
  <si>
    <t>Title I - Low Income **</t>
  </si>
  <si>
    <t>18-4300-00</t>
  </si>
  <si>
    <t xml:space="preserve"> Special Education - IDEA Room and Board ** (M)</t>
  </si>
  <si>
    <t>18-4625-00</t>
  </si>
  <si>
    <t>Title III - Immigrant Education Program **</t>
  </si>
  <si>
    <t>84.365A</t>
  </si>
  <si>
    <t>18-4905-00</t>
  </si>
  <si>
    <t>Title III - LIP/LEP ++</t>
  </si>
  <si>
    <t>17-4909-00</t>
  </si>
  <si>
    <t>Title III - LIP/LEP **</t>
  </si>
  <si>
    <t>18-4909-00</t>
  </si>
  <si>
    <t>18-4932-00</t>
  </si>
  <si>
    <t>Special Education District of Lake County:</t>
  </si>
  <si>
    <t>Special Education - Grants to States (M)</t>
  </si>
  <si>
    <t>84-027</t>
  </si>
  <si>
    <t>18-4620-00</t>
  </si>
  <si>
    <t>Special Education - Preschool Grant (M)</t>
  </si>
  <si>
    <t>84-173</t>
  </si>
  <si>
    <t>18-4600-00</t>
  </si>
  <si>
    <t>Subtotal - CFDA "84"</t>
  </si>
  <si>
    <t>U.S. Department of Health and Human Services
Passed Through</t>
  </si>
  <si>
    <t>Illinois Department of Healthcare &amp; Family Services:</t>
  </si>
  <si>
    <t>Medicaid Admin Outreach</t>
  </si>
  <si>
    <t>18-1991-00</t>
  </si>
  <si>
    <t>Subtotal - CFDA "93"</t>
  </si>
  <si>
    <t>Total Federal Assistance</t>
  </si>
  <si>
    <t>+ Project End Date 09/30/17 *Project End Date 9/30/18</t>
  </si>
  <si>
    <t>++ Project End Date 8/31/17 **Project End Date 8/31/18</t>
  </si>
  <si>
    <t>UNMODIFIED</t>
  </si>
  <si>
    <t>10.553, 10.555</t>
  </si>
  <si>
    <t>84.027, 84.173</t>
  </si>
  <si>
    <t>CHILD NUTRITION CLUSTER</t>
  </si>
  <si>
    <t>SPECIAL EDUCATION CLUSTER</t>
  </si>
  <si>
    <t>Management is responsible for the accuracy and completeness of all financial statement records.</t>
  </si>
  <si>
    <t xml:space="preserve">During the course of the audit, material misstatements of the financial records were found, resulting in adjusting entries.									</t>
  </si>
  <si>
    <t xml:space="preserve">There were a few material adjusting journal entries made to the financial records of the District.									</t>
  </si>
  <si>
    <t xml:space="preserve">The financial records were materially misstated prior to the start of the audit.									</t>
  </si>
  <si>
    <t xml:space="preserve">The District's control policies and procedures did not detect or prevent the misstatements.									</t>
  </si>
  <si>
    <t>Management should develop a process to identify potential adjustments throughout the year to minimize potential adjustments made by the auditor.</t>
  </si>
  <si>
    <t xml:space="preserve">Management plans to make all necessary adjusting entries prior to the start of the audit process.									</t>
  </si>
  <si>
    <t>NONE</t>
  </si>
  <si>
    <t>2017-001</t>
  </si>
  <si>
    <t>During the course of the audit material misstatements</t>
  </si>
  <si>
    <t>This is still a finding in the current year. See finding 2018-001.</t>
  </si>
  <si>
    <t>of the financial records were found, resulting in adjusting</t>
  </si>
  <si>
    <t>entries.</t>
  </si>
  <si>
    <t>Management plans to set procedures in place to ensure that employee contribution rates, as well as wages subject to the contributions, are reviewed periodically. Discrepancies for the current year identified by the District and TRS will be corrected in fiscal year 2019.</t>
  </si>
  <si>
    <t>Management plans to set procedures in place to ensure that employee contribution rates, wages subject to contributions, as well as employer contributions are reviewed periodically. Discrepancies for the current year identified by the District and IMRF will be corrected in fiscal year 2019.</t>
  </si>
  <si>
    <t xml:space="preserve">The insurance payable liability amount could not be traced to supporting documents. 							</t>
  </si>
  <si>
    <t xml:space="preserve">We recorded a material adjusting journal entry to adjust the ending balance to the correct amount.									</t>
  </si>
  <si>
    <t xml:space="preserve">The insurance payable liability was  materially misstated prior to the start of the audit.														</t>
  </si>
  <si>
    <t xml:space="preserve">The District's control policies and procedures did not detect or prevent the misstatements.															</t>
  </si>
  <si>
    <t xml:space="preserve">	Management should develop a process to ensure that the amount of insurance payable is correct throughout the year. 									</t>
  </si>
  <si>
    <t xml:space="preserve">Management plans to set procedures in place to ensure that transactions posted to this account are followed closely thorughout the year.																	</t>
  </si>
  <si>
    <t xml:space="preserve">Several employees had incorrect amounts deducted from their wages for TRS contributions. 																	</t>
  </si>
  <si>
    <t xml:space="preserve">Four of the 25 employees selected for the payroll test of controls had incorrect TRS contributions deducted from their paychecks.																	</t>
  </si>
  <si>
    <t xml:space="preserve">In some instances, employee TRS contribution amounts were incorrect.																	</t>
  </si>
  <si>
    <t xml:space="preserve">The District's control policies and procedures did not detect or prevent the erroneous deductions and contributions. 									</t>
  </si>
  <si>
    <t xml:space="preserve">Management should develop a process to ensure that employee contribution rates, as well as wages subject to the contributions, are reviewed periodically throughout the year. 									</t>
  </si>
  <si>
    <t xml:space="preserve">Employee and employer IMRF contributions submitted during fiscal year 2018 were incorrect. 																								</t>
  </si>
  <si>
    <t xml:space="preserve">For a few months of fiscal year 2018, IMRF contributions were not calculated correctly due to the amount of wages subject to IMRF being incorrect. 														</t>
  </si>
  <si>
    <t xml:space="preserve">Both employee and employer IMRF contribution amounts were not accurate.														</t>
  </si>
  <si>
    <t xml:space="preserve">Management should develop a process to ensure that employee contributions rates, wages subject to contributions, as well as employer contributions are reviewed periodically throughout the year. 									</t>
  </si>
  <si>
    <t xml:space="preserve">The District has several old outstanding checks and manual adjustments on its bank reconciliation.																																	</t>
  </si>
  <si>
    <t xml:space="preserve">A bank reconciliation had old outstanding checks which have not changed since the previous fiscal year. It also contained manual adjustments for miscellaneous reconciliation differences.												</t>
  </si>
  <si>
    <t xml:space="preserve">Bank reconciliations contain items that should have been identified and corrected by the District in order to properly report the District's cash balance.																						</t>
  </si>
  <si>
    <t xml:space="preserve">The District's control policies and procedures did not ensure that old outstanding checks are reviewed and resolved periodically, and that bank reconciliations are free of manual adjustments. 									</t>
  </si>
  <si>
    <t xml:space="preserve">Management should set up procedures to ensure that old outstanding checks are reviewed to determine if they need to be voided and/or reissued, and manual adjustments are avoided going forward.  																	</t>
  </si>
  <si>
    <t xml:space="preserve">Management plans to set up procedures in place to ensure that old outstanding checks are voided or reissued as needed, and bank reconciliations do not contain manual adjustments.  									</t>
  </si>
  <si>
    <t>GRAYSLAKE</t>
  </si>
  <si>
    <t>Ed Fund, Page 12, Line 171 - Other Restricted Revenue from State Sources</t>
  </si>
  <si>
    <t>Ed Fund, Page 15, Line 41 - Other Support Services - Pupils</t>
  </si>
  <si>
    <t>Debt Services Fund, Page 18, Line 171 - Debt Services - Other</t>
  </si>
  <si>
    <t>Municipal Retirement/Social Security Fund, Page 19, Line 237 - Other Support Services - Pupils</t>
  </si>
  <si>
    <t>Page 10, Line 106 - Other Local Fees</t>
  </si>
  <si>
    <t>Grayslake  CCSD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</si>
</sst>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91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9" fillId="0" borderId="0" applyAlignment="0"/>
    <xf numFmtId="43" fontId="9" fillId="0" borderId="0" applyAlignment="0"/>
    <xf numFmtId="43"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9"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7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61" fillId="0" borderId="2" xfId="9" applyNumberFormat="1" applyFont="1" applyFill="1" applyBorder="1" applyAlignment="1" applyProtection="1">
      <alignment horizontal="left" vertical="center"/>
      <protection locked="0"/>
    </xf>
    <xf numFmtId="38" fontId="54" fillId="0" borderId="2" xfId="2244" applyNumberFormat="1" applyFont="1" applyFill="1" applyBorder="1" applyAlignment="1" applyProtection="1">
      <alignment horizontal="right"/>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38" fontId="54" fillId="0" borderId="2" xfId="9" applyNumberFormat="1" applyFont="1" applyFill="1" applyBorder="1" applyAlignment="1" applyProtection="1">
      <alignment horizontal="right" vertical="center"/>
      <protection locked="0"/>
    </xf>
    <xf numFmtId="0" fontId="54" fillId="0" borderId="2" xfId="2244"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8" fontId="54" fillId="0" borderId="2" xfId="2244"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vertical="center"/>
      <protection locked="0"/>
    </xf>
    <xf numFmtId="38" fontId="54" fillId="0" borderId="2" xfId="2244"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vertical="center"/>
      <protection locked="0"/>
    </xf>
    <xf numFmtId="0" fontId="1" fillId="0" borderId="158" xfId="2863" applyFont="1" applyBorder="1" applyAlignment="1" applyProtection="1">
      <alignment horizontal="left" vertical="top" wrapText="1"/>
      <protection locked="0"/>
    </xf>
    <xf numFmtId="0" fontId="1" fillId="0" borderId="158" xfId="2863" applyFont="1" applyBorder="1" applyAlignment="1" applyProtection="1">
      <alignment vertical="top"/>
      <protection locked="0"/>
    </xf>
    <xf numFmtId="38" fontId="1" fillId="0" borderId="158" xfId="2863" applyNumberFormat="1" applyBorder="1" applyAlignment="1" applyProtection="1">
      <alignment horizontal="right" vertical="top"/>
      <protection locked="0"/>
    </xf>
    <xf numFmtId="49" fontId="1" fillId="0" borderId="158" xfId="2863" applyNumberFormat="1" applyFont="1" applyBorder="1" applyAlignment="1" applyProtection="1">
      <alignment horizontal="center" vertical="top"/>
      <protection locked="0"/>
    </xf>
    <xf numFmtId="49" fontId="132" fillId="0" borderId="105" xfId="2864" applyNumberFormat="1" applyFont="1" applyBorder="1" applyAlignment="1" applyProtection="1">
      <alignment horizontal="center" vertical="center"/>
      <protection locked="0"/>
    </xf>
    <xf numFmtId="0" fontId="99" fillId="0" borderId="105" xfId="2864" applyFont="1" applyBorder="1" applyProtection="1">
      <protection locked="0"/>
    </xf>
    <xf numFmtId="49" fontId="132" fillId="0" borderId="107" xfId="2864" applyNumberFormat="1" applyFont="1" applyFill="1" applyBorder="1" applyAlignment="1" applyProtection="1">
      <alignment horizontal="center" vertical="center"/>
      <protection locked="0"/>
    </xf>
    <xf numFmtId="49" fontId="132" fillId="0" borderId="105" xfId="2864" applyNumberFormat="1" applyFont="1" applyBorder="1" applyAlignment="1" applyProtection="1">
      <alignment horizontal="center" vertical="center"/>
      <protection locked="0"/>
    </xf>
    <xf numFmtId="0" fontId="99" fillId="0" borderId="105" xfId="2864" applyFont="1" applyBorder="1" applyProtection="1">
      <protection locked="0"/>
    </xf>
    <xf numFmtId="49" fontId="132" fillId="0" borderId="107" xfId="2864" applyNumberFormat="1" applyFont="1" applyFill="1" applyBorder="1" applyAlignment="1" applyProtection="1">
      <alignment horizontal="center" vertical="center"/>
      <protection locked="0"/>
    </xf>
    <xf numFmtId="49" fontId="132" fillId="0" borderId="105" xfId="2864" applyNumberFormat="1" applyFont="1" applyBorder="1" applyAlignment="1" applyProtection="1">
      <alignment horizontal="center" vertical="center"/>
      <protection locked="0"/>
    </xf>
    <xf numFmtId="0" fontId="99" fillId="0" borderId="105" xfId="2864" applyFont="1" applyBorder="1" applyProtection="1">
      <protection locked="0"/>
    </xf>
    <xf numFmtId="49" fontId="132" fillId="0" borderId="107" xfId="2864" applyNumberFormat="1" applyFont="1" applyFill="1" applyBorder="1" applyAlignment="1" applyProtection="1">
      <alignment horizontal="center" vertical="center"/>
      <protection locked="0"/>
    </xf>
    <xf numFmtId="49" fontId="132" fillId="0" borderId="105" xfId="2864" applyNumberFormat="1" applyFont="1" applyBorder="1" applyAlignment="1" applyProtection="1">
      <alignment horizontal="center" vertical="center"/>
      <protection locked="0"/>
    </xf>
    <xf numFmtId="0" fontId="99" fillId="0" borderId="105" xfId="2864" applyFont="1" applyBorder="1" applyProtection="1">
      <protection locked="0"/>
    </xf>
    <xf numFmtId="49" fontId="132" fillId="0" borderId="107" xfId="2864" applyNumberFormat="1" applyFont="1" applyFill="1" applyBorder="1" applyAlignment="1" applyProtection="1">
      <alignment horizontal="center" vertical="center"/>
      <protection locked="0"/>
    </xf>
    <xf numFmtId="0" fontId="9" fillId="0" borderId="0" xfId="2244"/>
    <xf numFmtId="0" fontId="56" fillId="0" borderId="0" xfId="2244" applyFont="1" applyFill="1"/>
    <xf numFmtId="164" fontId="56" fillId="0" borderId="0" xfId="2244" applyNumberFormat="1" applyFont="1"/>
    <xf numFmtId="0" fontId="56" fillId="0" borderId="0" xfId="2244" applyFont="1" applyFill="1" applyAlignment="1">
      <alignment horizontal="left" vertical="center"/>
    </xf>
    <xf numFmtId="164" fontId="56" fillId="0" borderId="0" xfId="2244" applyNumberFormat="1" applyFont="1" applyAlignment="1">
      <alignment vertical="center"/>
    </xf>
    <xf numFmtId="0" fontId="56" fillId="0" borderId="0" xfId="2244" applyFont="1" applyFill="1" applyAlignment="1">
      <alignment vertic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center"/>
      <protection locked="0"/>
    </xf>
    <xf numFmtId="0" fontId="56" fillId="0" borderId="0" xfId="3" applyFont="1" applyProtection="1"/>
    <xf numFmtId="0" fontId="61" fillId="0" borderId="0" xfId="3" applyFont="1" applyBorder="1" applyAlignment="1" applyProtection="1">
      <alignment horizontal="center"/>
    </xf>
    <xf numFmtId="0" fontId="61" fillId="0" borderId="0" xfId="3" applyFont="1" applyBorder="1" applyProtection="1"/>
    <xf numFmtId="0" fontId="56" fillId="0" borderId="0" xfId="3" applyFont="1" applyAlignment="1" applyProtection="1">
      <alignment horizontal="center"/>
    </xf>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63" fillId="0" borderId="5" xfId="3" applyFont="1" applyFill="1" applyBorder="1" applyAlignment="1" applyProtection="1"/>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Protection="1"/>
    <xf numFmtId="0" fontId="61" fillId="0" borderId="0" xfId="3" applyFont="1" applyBorder="1" applyAlignment="1" applyProtection="1">
      <alignment horizontal="center"/>
    </xf>
    <xf numFmtId="0" fontId="61" fillId="0" borderId="0" xfId="3" applyFont="1" applyBorder="1" applyProtection="1"/>
    <xf numFmtId="0" fontId="56" fillId="0" borderId="0" xfId="3" applyFont="1" applyAlignment="1" applyProtection="1">
      <alignment horizontal="center"/>
    </xf>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63" fillId="0" borderId="5" xfId="3" applyFont="1" applyFill="1" applyBorder="1" applyAlignment="1" applyProtection="1"/>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Border="1" applyAlignment="1" applyProtection="1">
      <alignment horizontal="left" vertical="center" wrapText="1"/>
      <protection locked="0"/>
    </xf>
    <xf numFmtId="169" fontId="61" fillId="0" borderId="77"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2"/>
      <protection locked="0"/>
    </xf>
    <xf numFmtId="3" fontId="61" fillId="0" borderId="22" xfId="3" quotePrefix="1" applyNumberFormat="1" applyFont="1" applyBorder="1" applyAlignment="1" applyProtection="1">
      <alignment horizontal="left" vertical="center" wrapText="1"/>
      <protection locked="0"/>
    </xf>
    <xf numFmtId="0" fontId="56" fillId="0" borderId="0" xfId="3" applyFont="1" applyProtection="1">
      <protection locked="0"/>
    </xf>
    <xf numFmtId="0" fontId="56" fillId="0" borderId="0" xfId="3" applyFont="1" applyBorder="1" applyProtection="1">
      <protection locked="0"/>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0" fontId="53" fillId="0" borderId="0" xfId="3" applyFont="1" applyBorder="1" applyAlignment="1" applyProtection="1">
      <alignment horizontal="center" vertical="center"/>
    </xf>
    <xf numFmtId="0" fontId="56" fillId="0" borderId="0" xfId="3" applyFont="1" applyProtection="1"/>
    <xf numFmtId="0" fontId="56" fillId="0" borderId="0" xfId="3" applyFont="1" applyBorder="1" applyProtection="1"/>
    <xf numFmtId="0" fontId="56" fillId="0" borderId="0" xfId="3" applyFont="1" applyAlignment="1" applyProtection="1">
      <alignment horizontal="center"/>
    </xf>
    <xf numFmtId="0" fontId="64" fillId="0" borderId="0" xfId="3" applyFont="1" applyProtection="1"/>
    <xf numFmtId="0" fontId="54" fillId="0" borderId="0" xfId="3" applyFont="1" applyProtection="1"/>
    <xf numFmtId="0" fontId="64" fillId="0" borderId="0" xfId="3" applyFont="1" applyBorder="1" applyProtection="1"/>
    <xf numFmtId="0" fontId="56" fillId="0" borderId="78" xfId="3" applyFont="1" applyBorder="1" applyProtection="1"/>
    <xf numFmtId="0" fontId="61" fillId="0" borderId="0" xfId="3" applyFont="1" applyProtection="1"/>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56" fillId="0" borderId="0" xfId="2244" applyFont="1" applyFill="1" applyAlignment="1">
      <alignment horizontal="left" wrapText="1"/>
    </xf>
    <xf numFmtId="0" fontId="56" fillId="0" borderId="0" xfId="2244" applyFont="1" applyFill="1" applyAlignment="1">
      <alignment wrapText="1"/>
    </xf>
    <xf numFmtId="0" fontId="9" fillId="0" borderId="0" xfId="2244" applyAlignment="1">
      <alignment wrapText="1"/>
    </xf>
    <xf numFmtId="0" fontId="56" fillId="0" borderId="0" xfId="2244" applyFont="1" applyFill="1" applyAlignment="1">
      <alignment vertical="center" wrapText="1"/>
    </xf>
    <xf numFmtId="0" fontId="0" fillId="0" borderId="0" xfId="0" applyAlignment="1">
      <alignment vertical="center" wrapText="1"/>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912">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38 2" xfId="2875"/>
    <cellStyle name="12 4" xfId="32"/>
    <cellStyle name="12 5" xfId="33"/>
    <cellStyle name="12 6" xfId="34"/>
    <cellStyle name="12 7" xfId="35"/>
    <cellStyle name="12 8" xfId="36"/>
    <cellStyle name="12 9" xfId="39"/>
    <cellStyle name="12 9 2" xfId="280"/>
    <cellStyle name="12 9 2 2" xfId="2876"/>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4 2 2" xfId="2899"/>
    <cellStyle name="Comma 3 4 3" xfId="2877"/>
    <cellStyle name="Comma 3 5" xfId="2526"/>
    <cellStyle name="Comma 3 5 2" xfId="2849"/>
    <cellStyle name="Comma 3 5 2 2" xfId="2903"/>
    <cellStyle name="Comma 3 5 3" xfId="2886"/>
    <cellStyle name="Comma 3 6" xfId="2535"/>
    <cellStyle name="Comma 3 6 2" xfId="2853"/>
    <cellStyle name="Comma 3 6 2 2" xfId="2907"/>
    <cellStyle name="Comma 3 6 3" xfId="2890"/>
    <cellStyle name="Comma 3 7" xfId="2843"/>
    <cellStyle name="Comma 3 7 2" xfId="2897"/>
    <cellStyle name="Comma 3 8" xfId="287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 2" xfId="2910"/>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2 2" xfId="2878"/>
    <cellStyle name="Currency 2 3 3" xfId="1733"/>
    <cellStyle name="Currency 2 4" xfId="1735"/>
    <cellStyle name="Currency 2 4 2" xfId="2879"/>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2 3 2" xfId="2880"/>
    <cellStyle name="Hyperlink 2 3" xfId="2078"/>
    <cellStyle name="Hyperlink 2 4" xfId="2079"/>
    <cellStyle name="Hyperlink 2 4 2" xfId="2881"/>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2 2" xfId="2882"/>
    <cellStyle name="Normal 2 2 3" xfId="2246"/>
    <cellStyle name="Normal 2 3" xfId="2248"/>
    <cellStyle name="Normal 2 4" xfId="2249"/>
    <cellStyle name="Normal 2 5" xfId="2250"/>
    <cellStyle name="Normal 2 6" xfId="2251"/>
    <cellStyle name="Normal 3" xfId="4"/>
    <cellStyle name="Normal 3 10" xfId="2838"/>
    <cellStyle name="Normal 3 10 2" xfId="2892"/>
    <cellStyle name="Normal 3 11" xfId="2858"/>
    <cellStyle name="Normal 3 11 2" xfId="2911"/>
    <cellStyle name="Normal 3 12" xfId="19"/>
    <cellStyle name="Normal 3 12 2" xfId="2865"/>
    <cellStyle name="Normal 3 13" xfId="2860"/>
    <cellStyle name="Normal 3 2" xfId="14"/>
    <cellStyle name="Normal 3 2 2" xfId="18"/>
    <cellStyle name="Normal 3 2 2 2" xfId="211"/>
    <cellStyle name="Normal 3 2 2 3" xfId="2864"/>
    <cellStyle name="Normal 3 2 3" xfId="2524"/>
    <cellStyle name="Normal 3 2 3 2" xfId="2848"/>
    <cellStyle name="Normal 3 2 3 2 2" xfId="2902"/>
    <cellStyle name="Normal 3 2 3 3" xfId="2885"/>
    <cellStyle name="Normal 3 2 4" xfId="30"/>
    <cellStyle name="Normal 3 2 4 2" xfId="2842"/>
    <cellStyle name="Normal 3 2 4 2 2" xfId="2896"/>
    <cellStyle name="Normal 3 2 4 3" xfId="2872"/>
    <cellStyle name="Normal 3 2 5" xfId="23"/>
    <cellStyle name="Normal 3 2 5 2" xfId="2869"/>
    <cellStyle name="Normal 3 2 6" xfId="2839"/>
    <cellStyle name="Normal 3 2 6 2" xfId="2893"/>
    <cellStyle name="Normal 3 2 7" xfId="20"/>
    <cellStyle name="Normal 3 2 7 2" xfId="2866"/>
    <cellStyle name="Normal 3 2 8" xfId="2861"/>
    <cellStyle name="Normal 3 3" xfId="212"/>
    <cellStyle name="Normal 3 3 2" xfId="213"/>
    <cellStyle name="Normal 3 3 2 2" xfId="2525"/>
    <cellStyle name="Normal 3 3 3" xfId="2252"/>
    <cellStyle name="Normal 3 4" xfId="2253"/>
    <cellStyle name="Normal 3 4 2" xfId="2846"/>
    <cellStyle name="Normal 3 4 2 2" xfId="2900"/>
    <cellStyle name="Normal 3 4 3" xfId="2883"/>
    <cellStyle name="Normal 3 5" xfId="2531"/>
    <cellStyle name="Normal 3 5 2" xfId="2850"/>
    <cellStyle name="Normal 3 5 2 2" xfId="2904"/>
    <cellStyle name="Normal 3 5 3" xfId="2887"/>
    <cellStyle name="Normal 3 6" xfId="2534"/>
    <cellStyle name="Normal 3 6 2" xfId="2852"/>
    <cellStyle name="Normal 3 6 2 2" xfId="2906"/>
    <cellStyle name="Normal 3 6 3" xfId="2889"/>
    <cellStyle name="Normal 3 7" xfId="25"/>
    <cellStyle name="Normal 3 7 2" xfId="2841"/>
    <cellStyle name="Normal 3 7 2 2" xfId="2895"/>
    <cellStyle name="Normal 3 7 3" xfId="2871"/>
    <cellStyle name="Normal 3 8" xfId="24"/>
    <cellStyle name="Normal 3 8 2" xfId="2840"/>
    <cellStyle name="Normal 3 8 2 2" xfId="2894"/>
    <cellStyle name="Normal 3 8 3" xfId="2870"/>
    <cellStyle name="Normal 3 9" xfId="22"/>
    <cellStyle name="Normal 3 9 2" xfId="2868"/>
    <cellStyle name="Normal 4" xfId="16"/>
    <cellStyle name="Normal 4 2" xfId="2254"/>
    <cellStyle name="Normal 4 2 2" xfId="2847"/>
    <cellStyle name="Normal 4 2 2 2" xfId="2901"/>
    <cellStyle name="Normal 4 2 3" xfId="2884"/>
    <cellStyle name="Normal 4 3" xfId="2532"/>
    <cellStyle name="Normal 4 3 2" xfId="2851"/>
    <cellStyle name="Normal 4 3 2 2" xfId="2905"/>
    <cellStyle name="Normal 4 3 3" xfId="2888"/>
    <cellStyle name="Normal 4 4" xfId="2536"/>
    <cellStyle name="Normal 4 4 2" xfId="2854"/>
    <cellStyle name="Normal 4 4 2 2" xfId="2908"/>
    <cellStyle name="Normal 4 4 3" xfId="2891"/>
    <cellStyle name="Normal 4 5" xfId="214"/>
    <cellStyle name="Normal 4 5 2" xfId="2874"/>
    <cellStyle name="Normal 4 6" xfId="2844"/>
    <cellStyle name="Normal 4 6 2" xfId="2898"/>
    <cellStyle name="Normal 4 7" xfId="2859"/>
    <cellStyle name="Normal 4 8" xfId="21"/>
    <cellStyle name="Normal 4 8 2" xfId="2867"/>
    <cellStyle name="Normal 4 9" xfId="2862"/>
    <cellStyle name="Normal 5" xfId="17"/>
    <cellStyle name="Normal 5 2" xfId="2255"/>
    <cellStyle name="Normal 5 3" xfId="215"/>
    <cellStyle name="Normal 5 4" xfId="2863"/>
    <cellStyle name="Normal 6" xfId="2533"/>
    <cellStyle name="Normal 6 2" xfId="2256"/>
    <cellStyle name="Normal 7" xfId="2855"/>
    <cellStyle name="Normal 7 2" xfId="2257"/>
    <cellStyle name="Normal 7 3" xfId="2909"/>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5</xdr:row>
          <xdr:rowOff>66675</xdr:rowOff>
        </xdr:from>
        <xdr:to>
          <xdr:col>1</xdr:col>
          <xdr:colOff>1152525</xdr:colOff>
          <xdr:row>9</xdr:row>
          <xdr:rowOff>104775</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6A1AF5C5-4FA7-4C25-96CC-775BB7A69A1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0B31382-9521-41C0-88C8-EE5F950E30E3}"/>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5B41679-356E-4BBD-82DD-CC7AF9091DC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9BC563F-D5D4-4636-A05A-009B11C8697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C1414822-4F19-4571-AC48-A0C5C5C2F2D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42DE4F41-875F-4A07-9C9C-DA00C44F6BB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B0C6C78-0C51-4504-8B8C-107577FB4DC9}"/>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13FEB2AF-16DA-46D5-9EAC-20866BE5516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Normal="100" workbookViewId="0">
      <selection activeCell="P37" sqref="P3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277" t="s">
        <v>425</v>
      </c>
      <c r="J1" s="2278"/>
      <c r="K1" s="2278"/>
      <c r="L1" s="2278"/>
      <c r="M1" s="2278"/>
      <c r="N1" s="2278"/>
      <c r="O1" s="2278"/>
      <c r="P1" s="2278"/>
      <c r="Q1" s="2278"/>
      <c r="R1" s="2278"/>
      <c r="S1" s="2278"/>
    </row>
    <row r="2" spans="1:28" ht="12" customHeight="1" x14ac:dyDescent="0.2">
      <c r="A2" s="47" t="s">
        <v>1684</v>
      </c>
      <c r="D2" s="48"/>
      <c r="I2" s="2279" t="s">
        <v>1036</v>
      </c>
      <c r="J2" s="2278"/>
      <c r="K2" s="2278"/>
      <c r="L2" s="2278"/>
      <c r="M2" s="2278"/>
      <c r="N2" s="2278"/>
      <c r="O2" s="2278"/>
      <c r="P2" s="2278"/>
      <c r="Q2" s="2278"/>
      <c r="R2" s="2278"/>
      <c r="S2" s="2278"/>
    </row>
    <row r="3" spans="1:28" ht="12" customHeight="1" x14ac:dyDescent="0.2">
      <c r="A3" s="155" t="s">
        <v>1685</v>
      </c>
      <c r="B3" s="156"/>
      <c r="C3" s="156"/>
      <c r="D3" s="157"/>
      <c r="I3" s="2279" t="s">
        <v>54</v>
      </c>
      <c r="J3" s="2278"/>
      <c r="K3" s="2278"/>
      <c r="L3" s="2278"/>
      <c r="M3" s="2278"/>
      <c r="N3" s="2278"/>
      <c r="O3" s="2278"/>
      <c r="P3" s="2278"/>
      <c r="Q3" s="2278"/>
      <c r="R3" s="2278"/>
      <c r="S3" s="2278"/>
    </row>
    <row r="4" spans="1:28" ht="12" customHeight="1" x14ac:dyDescent="0.2">
      <c r="A4" s="37"/>
      <c r="I4" s="2279" t="s">
        <v>545</v>
      </c>
      <c r="J4" s="2278"/>
      <c r="K4" s="2278"/>
      <c r="L4" s="2278"/>
      <c r="M4" s="2278"/>
      <c r="N4" s="2278"/>
      <c r="O4" s="2278"/>
      <c r="P4" s="2278"/>
      <c r="Q4" s="2278"/>
      <c r="R4" s="2278"/>
      <c r="S4" s="2278"/>
    </row>
    <row r="5" spans="1:28" ht="14.1" customHeight="1" x14ac:dyDescent="0.2">
      <c r="B5" s="104" t="s">
        <v>2074</v>
      </c>
      <c r="C5" s="26" t="s">
        <v>966</v>
      </c>
      <c r="D5" s="84"/>
      <c r="E5" s="84"/>
      <c r="H5" s="38"/>
      <c r="I5" s="2287" t="s">
        <v>701</v>
      </c>
      <c r="J5" s="2286"/>
      <c r="K5" s="2286"/>
      <c r="L5" s="2286"/>
      <c r="M5" s="2286"/>
      <c r="N5" s="2286"/>
      <c r="O5" s="2286"/>
      <c r="P5" s="2286"/>
      <c r="Q5" s="2286"/>
      <c r="R5" s="2286"/>
      <c r="S5" s="2286"/>
    </row>
    <row r="6" spans="1:28" ht="14.1" customHeight="1" x14ac:dyDescent="0.2">
      <c r="B6" s="104"/>
      <c r="C6" s="26" t="s">
        <v>967</v>
      </c>
      <c r="D6" s="84"/>
      <c r="E6" s="84"/>
      <c r="I6" s="2285" t="s">
        <v>938</v>
      </c>
      <c r="J6" s="2286"/>
      <c r="K6" s="2286"/>
      <c r="L6" s="2286"/>
      <c r="M6" s="2286"/>
      <c r="N6" s="2286"/>
      <c r="O6" s="2286"/>
      <c r="P6" s="2286"/>
      <c r="Q6" s="2286"/>
      <c r="R6" s="2286"/>
      <c r="S6" s="2286"/>
    </row>
    <row r="7" spans="1:28" ht="12.2" customHeight="1" x14ac:dyDescent="0.2">
      <c r="I7" s="2280">
        <v>43281</v>
      </c>
      <c r="J7" s="2281"/>
      <c r="K7" s="2281"/>
      <c r="L7" s="2281"/>
      <c r="M7" s="2281"/>
      <c r="N7" s="2281"/>
      <c r="O7" s="2281"/>
      <c r="P7" s="2281"/>
      <c r="Q7" s="2281"/>
      <c r="R7" s="2281"/>
      <c r="S7" s="228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282" t="s">
        <v>695</v>
      </c>
      <c r="J9" s="2283"/>
      <c r="K9" s="2283"/>
      <c r="L9" s="2283"/>
      <c r="M9" s="2283"/>
      <c r="N9" s="2283"/>
      <c r="O9" s="2283"/>
      <c r="P9" s="2283"/>
      <c r="Q9" s="2283"/>
      <c r="R9" s="2283"/>
      <c r="S9" s="2284"/>
      <c r="T9" s="2298" t="s">
        <v>554</v>
      </c>
      <c r="U9" s="2299"/>
      <c r="V9" s="2299"/>
      <c r="W9" s="2299"/>
      <c r="X9" s="2299"/>
      <c r="Y9" s="2299"/>
      <c r="Z9" s="2299"/>
      <c r="AA9" s="2300"/>
    </row>
    <row r="10" spans="1:28" ht="13.5" customHeight="1" x14ac:dyDescent="0.2">
      <c r="A10" s="2305" t="s">
        <v>696</v>
      </c>
      <c r="B10" s="2306"/>
      <c r="C10" s="2306"/>
      <c r="D10" s="2306"/>
      <c r="E10" s="2306"/>
      <c r="F10" s="2306"/>
      <c r="G10" s="2306"/>
      <c r="H10" s="2307"/>
      <c r="I10" s="29"/>
      <c r="J10" s="30"/>
      <c r="K10" s="28"/>
      <c r="R10" s="30"/>
      <c r="S10" s="30"/>
      <c r="T10" s="2301"/>
      <c r="U10" s="2286"/>
      <c r="V10" s="2286"/>
      <c r="W10" s="2286"/>
      <c r="X10" s="2286"/>
      <c r="Y10" s="2286"/>
      <c r="Z10" s="2286"/>
      <c r="AA10" s="2292"/>
    </row>
    <row r="11" spans="1:28" ht="14.25" customHeight="1" x14ac:dyDescent="0.2">
      <c r="A11" s="2308" t="s">
        <v>1012</v>
      </c>
      <c r="B11" s="2309"/>
      <c r="C11" s="2309"/>
      <c r="D11" s="2309"/>
      <c r="E11" s="2309"/>
      <c r="F11" s="2309"/>
      <c r="G11" s="2309"/>
      <c r="H11" s="2310"/>
      <c r="I11" s="27"/>
      <c r="J11" s="74"/>
      <c r="K11" s="27"/>
      <c r="O11" s="148"/>
      <c r="P11" s="100" t="s">
        <v>210</v>
      </c>
      <c r="Q11" s="30"/>
      <c r="R11" s="28"/>
      <c r="S11" s="27"/>
      <c r="T11" s="2302"/>
      <c r="U11" s="2303"/>
      <c r="V11" s="2303"/>
      <c r="W11" s="2303"/>
      <c r="X11" s="2303"/>
      <c r="Y11" s="2303"/>
      <c r="Z11" s="2303"/>
      <c r="AA11" s="2304"/>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312">
        <v>34049046004</v>
      </c>
      <c r="B13" s="2313"/>
      <c r="C13" s="2313"/>
      <c r="D13" s="2313"/>
      <c r="E13" s="2313"/>
      <c r="F13" s="2313"/>
      <c r="G13" s="2313"/>
      <c r="H13" s="2314"/>
      <c r="I13" s="31"/>
      <c r="J13" s="30"/>
      <c r="K13" s="28"/>
      <c r="L13" s="30"/>
      <c r="M13" s="30"/>
      <c r="N13" s="30"/>
      <c r="O13" s="30"/>
      <c r="P13" s="30"/>
      <c r="Q13" s="30"/>
      <c r="R13" s="30"/>
      <c r="S13" s="30"/>
      <c r="T13" s="2317" t="s">
        <v>2078</v>
      </c>
      <c r="U13" s="2318"/>
      <c r="V13" s="2318"/>
      <c r="W13" s="2318"/>
      <c r="X13" s="2318"/>
      <c r="Y13" s="2319"/>
      <c r="Z13" s="2319"/>
      <c r="AA13" s="232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311" t="s">
        <v>2076</v>
      </c>
      <c r="B15" s="2315"/>
      <c r="C15" s="2315"/>
      <c r="D15" s="2315"/>
      <c r="E15" s="2315"/>
      <c r="F15" s="2315"/>
      <c r="G15" s="2315"/>
      <c r="H15" s="2316"/>
      <c r="T15" s="2321" t="s">
        <v>2079</v>
      </c>
      <c r="U15" s="2265"/>
      <c r="V15" s="2265"/>
      <c r="W15" s="2265"/>
      <c r="X15" s="2265"/>
      <c r="Y15" s="2322"/>
      <c r="Z15" s="2322"/>
      <c r="AA15" s="23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271" t="s">
        <v>2241</v>
      </c>
      <c r="B17" s="2272"/>
      <c r="C17" s="2272"/>
      <c r="D17" s="2272"/>
      <c r="E17" s="2272"/>
      <c r="F17" s="2272"/>
      <c r="G17" s="2272"/>
      <c r="H17" s="2297"/>
      <c r="T17" s="2328" t="s">
        <v>2080</v>
      </c>
      <c r="U17" s="2329"/>
      <c r="V17" s="2329"/>
      <c r="W17" s="2329"/>
      <c r="X17" s="2329"/>
      <c r="Y17" s="2329"/>
      <c r="Z17" s="2329"/>
      <c r="AA17" s="2330"/>
    </row>
    <row r="18" spans="1:27" ht="13.5" customHeight="1" x14ac:dyDescent="0.2">
      <c r="A18" s="85" t="s">
        <v>551</v>
      </c>
      <c r="B18" s="76"/>
      <c r="C18" s="72"/>
      <c r="D18" s="76"/>
      <c r="E18" s="76"/>
      <c r="F18" s="76"/>
      <c r="G18" s="76"/>
      <c r="H18" s="56"/>
      <c r="I18" s="2296" t="s">
        <v>697</v>
      </c>
      <c r="J18" s="2247"/>
      <c r="K18" s="2247"/>
      <c r="L18" s="2247"/>
      <c r="M18" s="2247"/>
      <c r="N18" s="2247"/>
      <c r="O18" s="2247"/>
      <c r="P18" s="2247"/>
      <c r="Q18" s="2247"/>
      <c r="R18" s="2247"/>
      <c r="S18" s="2248"/>
      <c r="T18" s="85" t="s">
        <v>735</v>
      </c>
      <c r="U18" s="51"/>
      <c r="V18" s="72"/>
      <c r="W18" s="50"/>
      <c r="X18" s="85" t="s">
        <v>284</v>
      </c>
      <c r="Y18" s="81"/>
      <c r="Z18" s="159" t="s">
        <v>698</v>
      </c>
      <c r="AA18" s="46"/>
    </row>
    <row r="19" spans="1:27" ht="13.5" customHeight="1" x14ac:dyDescent="0.2">
      <c r="A19" s="2311" t="s">
        <v>2075</v>
      </c>
      <c r="B19" s="2257"/>
      <c r="C19" s="2257"/>
      <c r="D19" s="2257"/>
      <c r="E19" s="2257"/>
      <c r="F19" s="2257"/>
      <c r="G19" s="2257"/>
      <c r="H19" s="2237"/>
      <c r="I19" s="30"/>
      <c r="J19" s="99"/>
      <c r="K19" s="40"/>
      <c r="L19" s="38"/>
      <c r="M19" s="112" t="s">
        <v>333</v>
      </c>
      <c r="P19" s="27"/>
      <c r="Q19" s="27"/>
      <c r="R19" s="27"/>
      <c r="S19" s="31"/>
      <c r="T19" s="2311" t="s">
        <v>2081</v>
      </c>
      <c r="U19" s="2236"/>
      <c r="V19" s="2236"/>
      <c r="W19" s="2237"/>
      <c r="X19" s="2326" t="s">
        <v>2082</v>
      </c>
      <c r="Y19" s="2327"/>
      <c r="Z19" s="2324">
        <v>60050</v>
      </c>
      <c r="AA19" s="23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235" t="s">
        <v>2235</v>
      </c>
      <c r="B21" s="2236"/>
      <c r="C21" s="2236"/>
      <c r="D21" s="2236"/>
      <c r="E21" s="2236"/>
      <c r="F21" s="2236"/>
      <c r="G21" s="2236"/>
      <c r="H21" s="2237"/>
      <c r="I21" s="2291" t="s">
        <v>699</v>
      </c>
      <c r="J21" s="2286"/>
      <c r="K21" s="2286"/>
      <c r="L21" s="2286"/>
      <c r="M21" s="2286"/>
      <c r="N21" s="2286"/>
      <c r="O21" s="2286"/>
      <c r="P21" s="2286"/>
      <c r="Q21" s="2286"/>
      <c r="R21" s="2286"/>
      <c r="S21" s="2292"/>
      <c r="T21" s="2335" t="s">
        <v>2083</v>
      </c>
      <c r="U21" s="2336"/>
      <c r="V21" s="2336"/>
      <c r="W21" s="2336"/>
      <c r="X21" s="2341" t="s">
        <v>2084</v>
      </c>
      <c r="Y21" s="2342"/>
      <c r="Z21" s="2342"/>
      <c r="AA21" s="2343"/>
    </row>
    <row r="22" spans="1:27" ht="13.5" customHeight="1" x14ac:dyDescent="0.2">
      <c r="A22" s="87" t="s">
        <v>552</v>
      </c>
      <c r="B22" s="59"/>
      <c r="C22" s="59"/>
      <c r="D22" s="59"/>
      <c r="E22" s="59"/>
      <c r="F22" s="59"/>
      <c r="G22" s="59"/>
      <c r="H22" s="60"/>
      <c r="I22" s="2293" t="s">
        <v>1504</v>
      </c>
      <c r="J22" s="2294"/>
      <c r="K22" s="2294"/>
      <c r="L22" s="2294"/>
      <c r="M22" s="2294"/>
      <c r="N22" s="2294"/>
      <c r="O22" s="2294"/>
      <c r="P22" s="2294"/>
      <c r="Q22" s="2294"/>
      <c r="R22" s="2294"/>
      <c r="S22" s="2295"/>
      <c r="T22" s="85" t="s">
        <v>1596</v>
      </c>
      <c r="U22" s="51"/>
      <c r="V22" s="72"/>
      <c r="W22" s="51"/>
      <c r="X22" s="160" t="s">
        <v>1385</v>
      </c>
      <c r="Z22" s="45"/>
      <c r="AA22" s="46"/>
    </row>
    <row r="23" spans="1:27" ht="13.5" customHeight="1" x14ac:dyDescent="0.2">
      <c r="A23" s="2288" t="s">
        <v>2142</v>
      </c>
      <c r="B23" s="2289"/>
      <c r="C23" s="2289"/>
      <c r="D23" s="2289"/>
      <c r="E23" s="2289"/>
      <c r="F23" s="2289"/>
      <c r="G23" s="2289"/>
      <c r="H23" s="2290"/>
      <c r="T23" s="2271" t="s">
        <v>2085</v>
      </c>
      <c r="U23" s="2334"/>
      <c r="V23" s="2334"/>
      <c r="W23" s="2334"/>
      <c r="X23" s="2338">
        <v>44530</v>
      </c>
      <c r="Y23" s="2339"/>
      <c r="Z23" s="2339"/>
      <c r="AA23" s="2340"/>
    </row>
    <row r="24" spans="1:27" ht="14.1" customHeight="1" x14ac:dyDescent="0.2">
      <c r="A24" s="88" t="s">
        <v>698</v>
      </c>
      <c r="B24" s="49"/>
      <c r="C24" s="49"/>
      <c r="D24" s="49"/>
      <c r="E24" s="49"/>
      <c r="F24" s="49"/>
      <c r="G24" s="49"/>
      <c r="H24" s="61"/>
      <c r="J24" s="2258">
        <f>IF(B5="x",IF(AUDITCHECK!D29="AFR form Incomplete.","",IF(AUDITCHECK!D29="Deficit reduction plan is required.","School District must complete a deficit reduction plan in the 2018-2019 Budget",)),"")</f>
        <v>0</v>
      </c>
      <c r="K24" s="2258"/>
      <c r="L24" s="2258"/>
      <c r="M24" s="2258"/>
      <c r="N24" s="2258"/>
      <c r="O24" s="2258"/>
      <c r="P24" s="2258"/>
      <c r="Q24" s="2258"/>
      <c r="R24" s="2258"/>
      <c r="S24" s="2259"/>
      <c r="T24" s="105" t="s">
        <v>552</v>
      </c>
      <c r="U24" s="106"/>
      <c r="V24" s="106"/>
      <c r="W24" s="106"/>
      <c r="X24" s="107"/>
      <c r="Y24" s="107"/>
      <c r="Z24" s="107"/>
      <c r="AA24" s="108"/>
    </row>
    <row r="25" spans="1:27" ht="14.1" customHeight="1" x14ac:dyDescent="0.2">
      <c r="A25" s="2235">
        <v>60030</v>
      </c>
      <c r="B25" s="2236"/>
      <c r="C25" s="2236"/>
      <c r="D25" s="2236"/>
      <c r="E25" s="2236"/>
      <c r="F25" s="2236"/>
      <c r="G25" s="2236"/>
      <c r="H25" s="2237"/>
      <c r="I25" s="113"/>
      <c r="J25" s="2260"/>
      <c r="K25" s="2260"/>
      <c r="L25" s="2260"/>
      <c r="M25" s="2260"/>
      <c r="N25" s="2260"/>
      <c r="O25" s="2260"/>
      <c r="P25" s="2260"/>
      <c r="Q25" s="2260"/>
      <c r="R25" s="2260"/>
      <c r="S25" s="2261"/>
      <c r="T25" s="2331" t="s">
        <v>2141</v>
      </c>
      <c r="U25" s="2332"/>
      <c r="V25" s="2332"/>
      <c r="W25" s="2332"/>
      <c r="X25" s="2332"/>
      <c r="Y25" s="2332"/>
      <c r="Z25" s="2332"/>
      <c r="AA25" s="233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246" t="s">
        <v>1591</v>
      </c>
      <c r="J27" s="2247"/>
      <c r="K27" s="2247"/>
      <c r="L27" s="2247"/>
      <c r="M27" s="2247"/>
      <c r="N27" s="2247"/>
      <c r="O27" s="2247"/>
      <c r="P27" s="2247"/>
      <c r="Q27" s="2247"/>
      <c r="R27" s="2247"/>
      <c r="S27" s="224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257"/>
      <c r="Q35" s="2236"/>
      <c r="R35" s="223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271"/>
      <c r="B38" s="2272"/>
      <c r="C38" s="2272"/>
      <c r="D38" s="2272"/>
      <c r="E38" s="2272"/>
      <c r="F38" s="2236"/>
      <c r="G38" s="2236"/>
      <c r="H38" s="2237"/>
      <c r="I38" s="2264"/>
      <c r="J38" s="2265"/>
      <c r="K38" s="2265"/>
      <c r="L38" s="2265"/>
      <c r="M38" s="2265"/>
      <c r="N38" s="2265"/>
      <c r="O38" s="2265"/>
      <c r="P38" s="2266"/>
      <c r="Q38" s="2266"/>
      <c r="R38" s="2266"/>
      <c r="S38" s="2267"/>
      <c r="T38" s="2321"/>
      <c r="U38" s="2265"/>
      <c r="V38" s="2265"/>
      <c r="W38" s="2265"/>
      <c r="X38" s="2266"/>
      <c r="Y38" s="2266"/>
      <c r="Z38" s="2266"/>
      <c r="AA38" s="2267"/>
    </row>
    <row r="39" spans="1:27" ht="12" customHeight="1" x14ac:dyDescent="0.2">
      <c r="A39" s="2241" t="s">
        <v>552</v>
      </c>
      <c r="B39" s="2242"/>
      <c r="C39" s="72"/>
      <c r="D39" s="69"/>
      <c r="E39" s="69"/>
      <c r="F39" s="79"/>
      <c r="G39" s="69"/>
      <c r="H39" s="56"/>
      <c r="I39" s="2241" t="s">
        <v>552</v>
      </c>
      <c r="J39" s="2242"/>
      <c r="K39" s="2242"/>
      <c r="L39" s="2242"/>
      <c r="M39" s="2242"/>
      <c r="N39" s="67"/>
      <c r="O39" s="72"/>
      <c r="P39" s="72"/>
      <c r="Q39" s="78"/>
      <c r="R39" s="72"/>
      <c r="S39" s="56"/>
      <c r="T39" s="72" t="s">
        <v>552</v>
      </c>
      <c r="U39" s="51"/>
      <c r="V39" s="72"/>
      <c r="W39" s="50"/>
      <c r="X39" s="78"/>
      <c r="Y39" s="45"/>
      <c r="Z39" s="45"/>
      <c r="AA39" s="46"/>
    </row>
    <row r="40" spans="1:27" ht="13.5" customHeight="1" x14ac:dyDescent="0.2">
      <c r="A40" s="2249"/>
      <c r="B40" s="2250"/>
      <c r="C40" s="2251"/>
      <c r="D40" s="2251"/>
      <c r="E40" s="2251"/>
      <c r="F40" s="2252"/>
      <c r="G40" s="2252"/>
      <c r="H40" s="2253"/>
      <c r="I40" s="2274"/>
      <c r="J40" s="2275"/>
      <c r="K40" s="2275"/>
      <c r="L40" s="2275"/>
      <c r="M40" s="2275"/>
      <c r="N40" s="2275"/>
      <c r="O40" s="2275"/>
      <c r="P40" s="2275"/>
      <c r="Q40" s="2275"/>
      <c r="R40" s="2275"/>
      <c r="S40" s="2276"/>
      <c r="T40" s="2274"/>
      <c r="U40" s="2337"/>
      <c r="V40" s="2275"/>
      <c r="W40" s="2275"/>
      <c r="X40" s="2275"/>
      <c r="Y40" s="2275"/>
      <c r="Z40" s="2275"/>
      <c r="AA40" s="22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263"/>
      <c r="B42" s="2255"/>
      <c r="C42" s="2256"/>
      <c r="D42" s="2254"/>
      <c r="E42" s="2255"/>
      <c r="F42" s="2255"/>
      <c r="G42" s="2255"/>
      <c r="H42" s="2256"/>
      <c r="I42" s="2238"/>
      <c r="J42" s="2239"/>
      <c r="K42" s="2239"/>
      <c r="L42" s="2239"/>
      <c r="M42" s="2239"/>
      <c r="N42" s="2239"/>
      <c r="O42" s="2240"/>
      <c r="P42" s="2273"/>
      <c r="Q42" s="2239"/>
      <c r="R42" s="2239"/>
      <c r="S42" s="2240"/>
      <c r="T42" s="2238"/>
      <c r="U42" s="2239"/>
      <c r="V42" s="2239"/>
      <c r="W42" s="2240"/>
      <c r="X42" s="2273"/>
      <c r="Y42" s="2239"/>
      <c r="Z42" s="2239"/>
      <c r="AA42" s="224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268"/>
      <c r="B44" s="2269"/>
      <c r="C44" s="2269"/>
      <c r="D44" s="2269"/>
      <c r="E44" s="2269"/>
      <c r="F44" s="2269"/>
      <c r="G44" s="2269"/>
      <c r="H44" s="2270"/>
      <c r="I44" s="2243"/>
      <c r="J44" s="2244"/>
      <c r="K44" s="2244"/>
      <c r="L44" s="2244"/>
      <c r="M44" s="2244"/>
      <c r="N44" s="2244"/>
      <c r="O44" s="2244"/>
      <c r="P44" s="2244"/>
      <c r="Q44" s="2244"/>
      <c r="R44" s="2244"/>
      <c r="S44" s="2245"/>
      <c r="T44" s="2243"/>
      <c r="U44" s="2262"/>
      <c r="V44" s="2262"/>
      <c r="W44" s="2262"/>
      <c r="X44" s="2262"/>
      <c r="Y44" s="2262"/>
      <c r="Z44" s="2244"/>
      <c r="AA44" s="22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1" zoomScale="110" zoomScaleNormal="110" workbookViewId="0">
      <selection activeCell="A21" sqref="A21:H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347" t="s">
        <v>1125</v>
      </c>
      <c r="B35" s="2347"/>
      <c r="C35" s="2347"/>
      <c r="D35" s="2347"/>
      <c r="E35" s="23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344" t="s">
        <v>715</v>
      </c>
      <c r="B40" s="2344"/>
      <c r="C40" s="2344"/>
      <c r="D40" s="2344"/>
      <c r="E40" s="2344"/>
    </row>
    <row r="41" spans="1:5" x14ac:dyDescent="0.2">
      <c r="A41" s="2345" t="s">
        <v>1706</v>
      </c>
      <c r="B41" s="2345"/>
      <c r="C41" s="2345"/>
      <c r="D41" s="2345"/>
      <c r="E41" s="2345"/>
    </row>
    <row r="42" spans="1:5" ht="12.75" customHeight="1" x14ac:dyDescent="0.2">
      <c r="A42" s="2346" t="s">
        <v>1080</v>
      </c>
      <c r="B42" s="2346"/>
      <c r="C42" s="2346"/>
      <c r="D42" s="2346"/>
      <c r="E42" s="234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2" t="s">
        <v>1876</v>
      </c>
    </row>
    <row r="60" spans="1:3" x14ac:dyDescent="0.2">
      <c r="A60" s="196"/>
      <c r="B60" s="1502"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4"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3"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4"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348" t="s">
        <v>1230</v>
      </c>
      <c r="B2" s="2348"/>
      <c r="C2" s="2348"/>
      <c r="D2" s="2348"/>
      <c r="E2" s="2348"/>
      <c r="F2" s="2348"/>
      <c r="G2" s="2348"/>
      <c r="H2" s="2348"/>
      <c r="I2" s="2348"/>
      <c r="J2" s="234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362" t="s">
        <v>1731</v>
      </c>
      <c r="B35" s="2363"/>
      <c r="C35" s="2363"/>
      <c r="D35" s="2363"/>
      <c r="E35" s="2364"/>
      <c r="F35" s="2364"/>
      <c r="G35" s="2364"/>
      <c r="H35" s="2364"/>
      <c r="I35" s="236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362" t="s">
        <v>331</v>
      </c>
      <c r="B47" s="2365"/>
      <c r="C47" s="2365"/>
      <c r="D47" s="2365"/>
      <c r="E47" s="2366"/>
      <c r="F47" s="2366"/>
      <c r="G47" s="2366"/>
      <c r="H47" s="2366"/>
      <c r="I47" s="236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2074</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369"/>
      <c r="C57" s="2370"/>
      <c r="D57" s="2370"/>
      <c r="E57" s="2370"/>
      <c r="F57" s="2370"/>
      <c r="G57" s="2370"/>
      <c r="H57" s="2370"/>
      <c r="I57" s="2370"/>
      <c r="J57" s="2371"/>
    </row>
    <row r="58" spans="1:10" s="181" customFormat="1" x14ac:dyDescent="0.2">
      <c r="A58" s="253"/>
      <c r="B58" s="2372"/>
      <c r="C58" s="2373"/>
      <c r="D58" s="2373"/>
      <c r="E58" s="2373"/>
      <c r="F58" s="2373"/>
      <c r="G58" s="2373"/>
      <c r="H58" s="2373"/>
      <c r="I58" s="2373"/>
      <c r="J58" s="2374"/>
    </row>
    <row r="59" spans="1:10" s="181" customFormat="1" x14ac:dyDescent="0.2">
      <c r="A59" s="253"/>
      <c r="B59" s="2372"/>
      <c r="C59" s="2373"/>
      <c r="D59" s="2373"/>
      <c r="E59" s="2373"/>
      <c r="F59" s="2373"/>
      <c r="G59" s="2373"/>
      <c r="H59" s="2373"/>
      <c r="I59" s="2373"/>
      <c r="J59" s="2374"/>
    </row>
    <row r="60" spans="1:10" s="181" customFormat="1" x14ac:dyDescent="0.2">
      <c r="A60" s="253"/>
      <c r="B60" s="2372"/>
      <c r="C60" s="2373"/>
      <c r="D60" s="2373"/>
      <c r="E60" s="2373"/>
      <c r="F60" s="2373"/>
      <c r="G60" s="2373"/>
      <c r="H60" s="2373"/>
      <c r="I60" s="2373"/>
      <c r="J60" s="2374"/>
    </row>
    <row r="61" spans="1:10" s="181" customFormat="1" x14ac:dyDescent="0.2">
      <c r="A61" s="253"/>
      <c r="B61" s="2372"/>
      <c r="C61" s="2373"/>
      <c r="D61" s="2373"/>
      <c r="E61" s="2373"/>
      <c r="F61" s="2373"/>
      <c r="G61" s="2373"/>
      <c r="H61" s="2373"/>
      <c r="I61" s="2373"/>
      <c r="J61" s="2374"/>
    </row>
    <row r="62" spans="1:10" s="181" customFormat="1" x14ac:dyDescent="0.2">
      <c r="A62" s="253"/>
      <c r="B62" s="2372"/>
      <c r="C62" s="2373"/>
      <c r="D62" s="2373"/>
      <c r="E62" s="2373"/>
      <c r="F62" s="2373"/>
      <c r="G62" s="2373"/>
      <c r="H62" s="2373"/>
      <c r="I62" s="2373"/>
      <c r="J62" s="2374"/>
    </row>
    <row r="63" spans="1:10" s="181" customFormat="1" x14ac:dyDescent="0.2">
      <c r="A63" s="253"/>
      <c r="B63" s="2372"/>
      <c r="C63" s="2373"/>
      <c r="D63" s="2373"/>
      <c r="E63" s="2373"/>
      <c r="F63" s="2373"/>
      <c r="G63" s="2373"/>
      <c r="H63" s="2373"/>
      <c r="I63" s="2373"/>
      <c r="J63" s="2374"/>
    </row>
    <row r="64" spans="1:10" s="181" customFormat="1" x14ac:dyDescent="0.2">
      <c r="A64" s="253"/>
      <c r="B64" s="2372"/>
      <c r="C64" s="2373"/>
      <c r="D64" s="2373"/>
      <c r="E64" s="2373"/>
      <c r="F64" s="2373"/>
      <c r="G64" s="2373"/>
      <c r="H64" s="2373"/>
      <c r="I64" s="2373"/>
      <c r="J64" s="2374"/>
    </row>
    <row r="65" spans="1:10" s="181" customFormat="1" x14ac:dyDescent="0.2">
      <c r="A65" s="253"/>
      <c r="B65" s="2372"/>
      <c r="C65" s="2373"/>
      <c r="D65" s="2373"/>
      <c r="E65" s="2373"/>
      <c r="F65" s="2373"/>
      <c r="G65" s="2373"/>
      <c r="H65" s="2373"/>
      <c r="I65" s="2373"/>
      <c r="J65" s="2374"/>
    </row>
    <row r="66" spans="1:10" s="181" customFormat="1" x14ac:dyDescent="0.2">
      <c r="A66" s="253"/>
      <c r="B66" s="2372"/>
      <c r="C66" s="2373"/>
      <c r="D66" s="2373"/>
      <c r="E66" s="2373"/>
      <c r="F66" s="2373"/>
      <c r="G66" s="2373"/>
      <c r="H66" s="2373"/>
      <c r="I66" s="2373"/>
      <c r="J66" s="2374"/>
    </row>
    <row r="67" spans="1:10" s="181" customFormat="1" ht="9" customHeight="1" x14ac:dyDescent="0.2">
      <c r="A67" s="254"/>
      <c r="B67" s="2375"/>
      <c r="C67" s="2376"/>
      <c r="D67" s="2376"/>
      <c r="E67" s="2376"/>
      <c r="F67" s="2376"/>
      <c r="G67" s="2376"/>
      <c r="H67" s="2376"/>
      <c r="I67" s="2376"/>
      <c r="J67" s="23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362" t="s">
        <v>1390</v>
      </c>
      <c r="B70" s="2365"/>
      <c r="C70" s="2365"/>
      <c r="D70" s="2365"/>
      <c r="E70" s="2366"/>
      <c r="F70" s="2366"/>
      <c r="G70" s="2366"/>
      <c r="H70" s="2366"/>
      <c r="I70" s="236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6"/>
      <c r="J77" s="261">
        <v>43342</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367" t="s">
        <v>1387</v>
      </c>
      <c r="B83" s="2367"/>
      <c r="C83" s="2367"/>
      <c r="D83" s="236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v>0</v>
      </c>
      <c r="F88" s="276">
        <v>196994</v>
      </c>
      <c r="G88" s="276">
        <v>290387</v>
      </c>
      <c r="H88" s="276">
        <v>223310</v>
      </c>
      <c r="I88" s="276">
        <v>0</v>
      </c>
      <c r="J88" s="277">
        <f>SUM(E88:I88)</f>
        <v>710691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710691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349" t="s">
        <v>2086</v>
      </c>
      <c r="C102" s="2350"/>
      <c r="D102" s="2350"/>
      <c r="E102" s="2350"/>
      <c r="F102" s="2350"/>
      <c r="G102" s="2350"/>
      <c r="H102" s="2350"/>
      <c r="I102" s="2351"/>
    </row>
    <row r="103" spans="1:9" s="181" customFormat="1" ht="11.25" customHeight="1" x14ac:dyDescent="0.2">
      <c r="A103" s="316"/>
      <c r="B103" s="2352"/>
      <c r="C103" s="2353"/>
      <c r="D103" s="2353"/>
      <c r="E103" s="2353"/>
      <c r="F103" s="2353"/>
      <c r="G103" s="2353"/>
      <c r="H103" s="2353"/>
      <c r="I103" s="2354"/>
    </row>
    <row r="104" spans="1:9" s="181" customFormat="1" ht="11.25" customHeight="1" x14ac:dyDescent="0.2">
      <c r="A104" s="316"/>
      <c r="B104" s="2352"/>
      <c r="C104" s="2353"/>
      <c r="D104" s="2353"/>
      <c r="E104" s="2353"/>
      <c r="F104" s="2353"/>
      <c r="G104" s="2353"/>
      <c r="H104" s="2353"/>
      <c r="I104" s="2354"/>
    </row>
    <row r="105" spans="1:9" s="181" customFormat="1" x14ac:dyDescent="0.2">
      <c r="A105" s="316"/>
      <c r="B105" s="2352"/>
      <c r="C105" s="2353"/>
      <c r="D105" s="2353"/>
      <c r="E105" s="2353"/>
      <c r="F105" s="2353"/>
      <c r="G105" s="2353"/>
      <c r="H105" s="2353"/>
      <c r="I105" s="2354"/>
    </row>
    <row r="106" spans="1:9" s="181" customFormat="1" ht="11.25" customHeight="1" x14ac:dyDescent="0.2">
      <c r="A106" s="316"/>
      <c r="B106" s="2352"/>
      <c r="C106" s="2353"/>
      <c r="D106" s="2353"/>
      <c r="E106" s="2353"/>
      <c r="F106" s="2353"/>
      <c r="G106" s="2353"/>
      <c r="H106" s="2353"/>
      <c r="I106" s="2354"/>
    </row>
    <row r="107" spans="1:9" s="181" customFormat="1" ht="11.25" customHeight="1" x14ac:dyDescent="0.2">
      <c r="A107" s="316"/>
      <c r="B107" s="2352"/>
      <c r="C107" s="2353"/>
      <c r="D107" s="2353"/>
      <c r="E107" s="2353"/>
      <c r="F107" s="2353"/>
      <c r="G107" s="2353"/>
      <c r="H107" s="2353"/>
      <c r="I107" s="2354"/>
    </row>
    <row r="108" spans="1:9" s="181" customFormat="1" ht="11.25" customHeight="1" x14ac:dyDescent="0.2">
      <c r="A108" s="316"/>
      <c r="B108" s="2352"/>
      <c r="C108" s="2353"/>
      <c r="D108" s="2353"/>
      <c r="E108" s="2353"/>
      <c r="F108" s="2353"/>
      <c r="G108" s="2353"/>
      <c r="H108" s="2353"/>
      <c r="I108" s="2354"/>
    </row>
    <row r="109" spans="1:9" s="181" customFormat="1" ht="11.25" customHeight="1" x14ac:dyDescent="0.2">
      <c r="A109" s="316"/>
      <c r="B109" s="2352"/>
      <c r="C109" s="2353"/>
      <c r="D109" s="2353"/>
      <c r="E109" s="2353"/>
      <c r="F109" s="2353"/>
      <c r="G109" s="2353"/>
      <c r="H109" s="2353"/>
      <c r="I109" s="2354"/>
    </row>
    <row r="110" spans="1:9" s="181" customFormat="1" ht="11.25" customHeight="1" x14ac:dyDescent="0.2">
      <c r="A110" s="316"/>
      <c r="B110" s="2352"/>
      <c r="C110" s="2353"/>
      <c r="D110" s="2353"/>
      <c r="E110" s="2353"/>
      <c r="F110" s="2353"/>
      <c r="G110" s="2353"/>
      <c r="H110" s="2353"/>
      <c r="I110" s="2354"/>
    </row>
    <row r="111" spans="1:9" s="181" customFormat="1" ht="11.25" customHeight="1" x14ac:dyDescent="0.2">
      <c r="A111" s="316"/>
      <c r="B111" s="2352"/>
      <c r="C111" s="2353"/>
      <c r="D111" s="2353"/>
      <c r="E111" s="2353"/>
      <c r="F111" s="2353"/>
      <c r="G111" s="2353"/>
      <c r="H111" s="2353"/>
      <c r="I111" s="2354"/>
    </row>
    <row r="112" spans="1:9" s="181" customFormat="1" ht="11.25" customHeight="1" x14ac:dyDescent="0.2">
      <c r="A112" s="316"/>
      <c r="B112" s="2355"/>
      <c r="C112" s="2356"/>
      <c r="D112" s="2356"/>
      <c r="E112" s="2356"/>
      <c r="F112" s="2356"/>
      <c r="G112" s="2356"/>
      <c r="H112" s="2356"/>
      <c r="I112" s="23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358" t="s">
        <v>2087</v>
      </c>
      <c r="D114" s="235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359" t="s">
        <v>1397</v>
      </c>
      <c r="D117" s="2360"/>
      <c r="E117" s="2361"/>
      <c r="F117" s="2361"/>
      <c r="G117" s="2361"/>
      <c r="H117" s="2361"/>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2019</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3" colorId="8" zoomScale="110" zoomScaleNormal="110" workbookViewId="0">
      <selection activeCell="A21" sqref="A21:H2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378" t="s">
        <v>404</v>
      </c>
      <c r="B1" s="2378"/>
      <c r="C1" s="2378"/>
      <c r="D1" s="2378"/>
      <c r="E1" s="2378"/>
      <c r="F1" s="2378"/>
      <c r="G1" s="2378"/>
      <c r="H1" s="2378"/>
      <c r="I1" s="2378"/>
      <c r="J1" s="2378"/>
      <c r="K1" s="2378"/>
      <c r="L1" s="2378"/>
      <c r="M1" s="237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659639906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3.3037999999999998E-2</v>
      </c>
      <c r="E10" s="356" t="s">
        <v>1062</v>
      </c>
      <c r="F10" s="355">
        <v>5.0650000000000001E-3</v>
      </c>
      <c r="G10" s="356" t="s">
        <v>1062</v>
      </c>
      <c r="H10" s="355">
        <v>1.719E-3</v>
      </c>
      <c r="I10" s="356" t="s">
        <v>1063</v>
      </c>
      <c r="J10" s="1749">
        <f>ROUND(D10+F10+H10,5)</f>
        <v>3.9820000000000001E-2</v>
      </c>
      <c r="K10" s="222"/>
      <c r="L10" s="355">
        <v>3.4E-5</v>
      </c>
      <c r="M10" s="222"/>
    </row>
    <row r="11" spans="1:14" ht="7.5" customHeight="1" x14ac:dyDescent="0.2">
      <c r="B11" s="222"/>
      <c r="C11" s="222"/>
      <c r="D11" s="2388" t="str">
        <f>IF(SUM(J10)&lt;=0.0999999,"","Enter the Tax Rates by moving the decimal two places to the left.")</f>
        <v/>
      </c>
      <c r="E11" s="2389"/>
      <c r="F11" s="2389"/>
      <c r="G11" s="2389"/>
      <c r="H11" s="2389"/>
      <c r="I11" s="2389"/>
      <c r="J11" s="23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44609463</v>
      </c>
      <c r="E16" s="356"/>
      <c r="F16" s="1750">
        <f>SUM('Acct Summary 7-8'!C17,'Acct Summary 7-8'!D17,'Acct Summary 7-8'!F17)</f>
        <v>44053061</v>
      </c>
      <c r="G16" s="356"/>
      <c r="H16" s="1750">
        <f>SUM(D16-F16)</f>
        <v>556402</v>
      </c>
      <c r="I16" s="222"/>
      <c r="J16" s="1750">
        <f>SUM('Acct Summary 7-8'!C81,'Acct Summary 7-8'!D81,'Acct Summary 7-8'!F81,'Acct Summary 7-8'!I81)</f>
        <v>18111282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2">
        <f>IF(B31="X",(J7*0.069),IF(B32="X",(J7*0.138),"Enter x in a.or b."))</f>
        <v>45515153.514000006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52043526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379"/>
      <c r="C54" s="2380"/>
      <c r="D54" s="2380"/>
      <c r="E54" s="2380"/>
      <c r="F54" s="2380"/>
      <c r="G54" s="2380"/>
      <c r="H54" s="2380"/>
      <c r="I54" s="2380"/>
      <c r="J54" s="2380"/>
      <c r="K54" s="2380"/>
      <c r="L54" s="2381"/>
      <c r="M54" s="380"/>
    </row>
    <row r="55" spans="1:13" ht="12.75" customHeight="1" x14ac:dyDescent="0.2">
      <c r="B55" s="2382"/>
      <c r="C55" s="2383"/>
      <c r="D55" s="2383"/>
      <c r="E55" s="2383"/>
      <c r="F55" s="2383"/>
      <c r="G55" s="2383"/>
      <c r="H55" s="2383"/>
      <c r="I55" s="2383"/>
      <c r="J55" s="2383"/>
      <c r="K55" s="2383"/>
      <c r="L55" s="2384"/>
      <c r="M55" s="380"/>
    </row>
    <row r="56" spans="1:13" ht="12.75" customHeight="1" x14ac:dyDescent="0.2">
      <c r="B56" s="2382"/>
      <c r="C56" s="2383"/>
      <c r="D56" s="2383"/>
      <c r="E56" s="2383"/>
      <c r="F56" s="2383"/>
      <c r="G56" s="2383"/>
      <c r="H56" s="2383"/>
      <c r="I56" s="2383"/>
      <c r="J56" s="2383"/>
      <c r="K56" s="2383"/>
      <c r="L56" s="2384"/>
      <c r="M56" s="222"/>
    </row>
    <row r="57" spans="1:13" ht="12.75" customHeight="1" x14ac:dyDescent="0.2">
      <c r="B57" s="2382"/>
      <c r="C57" s="2383"/>
      <c r="D57" s="2383"/>
      <c r="E57" s="2383"/>
      <c r="F57" s="2383"/>
      <c r="G57" s="2383"/>
      <c r="H57" s="2383"/>
      <c r="I57" s="2383"/>
      <c r="J57" s="2383"/>
      <c r="K57" s="2383"/>
      <c r="L57" s="2384"/>
      <c r="M57" s="222"/>
    </row>
    <row r="58" spans="1:13" x14ac:dyDescent="0.2">
      <c r="B58" s="2385"/>
      <c r="C58" s="2386"/>
      <c r="D58" s="2386"/>
      <c r="E58" s="2386"/>
      <c r="F58" s="2386"/>
      <c r="G58" s="2386"/>
      <c r="H58" s="2386"/>
      <c r="I58" s="2386"/>
      <c r="J58" s="2386"/>
      <c r="K58" s="2386"/>
      <c r="L58" s="23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390"/>
      <c r="D61" s="23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21" sqref="A21:H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93"/>
      <c r="B1" s="2394"/>
      <c r="C1" s="2394"/>
      <c r="D1" s="384"/>
      <c r="E1" s="384"/>
      <c r="F1" s="384"/>
      <c r="G1" s="384"/>
      <c r="H1" s="384"/>
      <c r="I1" s="384"/>
      <c r="J1" s="384"/>
      <c r="K1" s="384"/>
      <c r="L1" s="384"/>
      <c r="M1" s="384"/>
      <c r="N1" s="384"/>
      <c r="O1" s="2393"/>
      <c r="P1" s="2394"/>
      <c r="Q1" s="2394"/>
    </row>
    <row r="2" spans="1:18" ht="15" x14ac:dyDescent="0.2">
      <c r="A2" s="2397" t="s">
        <v>577</v>
      </c>
      <c r="B2" s="2397"/>
      <c r="C2" s="2397"/>
      <c r="D2" s="2397"/>
      <c r="E2" s="2397"/>
      <c r="F2" s="2397"/>
      <c r="G2" s="2397"/>
      <c r="H2" s="2397"/>
      <c r="I2" s="2397"/>
      <c r="J2" s="2397"/>
      <c r="K2" s="2397"/>
      <c r="L2" s="2397"/>
      <c r="M2" s="2397"/>
      <c r="N2" s="2397"/>
      <c r="O2" s="2397"/>
      <c r="P2" s="2397"/>
      <c r="Q2" s="2397"/>
      <c r="R2" s="2397"/>
    </row>
    <row r="3" spans="1:18" ht="12.75" x14ac:dyDescent="0.2">
      <c r="A3" s="2398" t="s">
        <v>1480</v>
      </c>
      <c r="B3" s="2398"/>
      <c r="C3" s="2398"/>
      <c r="D3" s="2398"/>
      <c r="E3" s="2398"/>
      <c r="F3" s="2398"/>
      <c r="G3" s="2398"/>
      <c r="H3" s="2398"/>
      <c r="I3" s="2398"/>
      <c r="J3" s="2398"/>
      <c r="K3" s="2398"/>
      <c r="L3" s="2398"/>
      <c r="M3" s="2398"/>
      <c r="N3" s="2398"/>
      <c r="O3" s="2398"/>
      <c r="P3" s="2398"/>
      <c r="Q3" s="2398"/>
      <c r="R3" s="2398"/>
    </row>
    <row r="4" spans="1:18" x14ac:dyDescent="0.2">
      <c r="A4" s="2399" t="s">
        <v>1635</v>
      </c>
      <c r="B4" s="2399"/>
      <c r="C4" s="2399"/>
      <c r="D4" s="2399"/>
      <c r="E4" s="2399"/>
      <c r="F4" s="2399"/>
      <c r="G4" s="2399"/>
      <c r="H4" s="2399"/>
      <c r="I4" s="2399"/>
      <c r="J4" s="2399"/>
      <c r="K4" s="2399"/>
      <c r="L4" s="2399"/>
      <c r="M4" s="2399"/>
      <c r="N4" s="2399"/>
      <c r="O4" s="2399"/>
      <c r="P4" s="2399"/>
      <c r="Q4" s="2399"/>
      <c r="R4" s="23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Grayslake  CCSD 46</v>
      </c>
      <c r="E7" s="391"/>
      <c r="G7" s="252"/>
      <c r="H7" s="387"/>
      <c r="I7" s="387"/>
      <c r="J7" s="387"/>
      <c r="K7" s="387"/>
      <c r="L7" s="329"/>
      <c r="M7" s="329"/>
      <c r="N7" s="329"/>
      <c r="O7" s="329"/>
      <c r="P7" s="329"/>
    </row>
    <row r="8" spans="1:18" ht="12.75" x14ac:dyDescent="0.2">
      <c r="A8" s="329"/>
      <c r="B8" s="329"/>
      <c r="C8" s="389" t="s">
        <v>1187</v>
      </c>
      <c r="D8" s="392">
        <f>COVER!A13</f>
        <v>34049046004</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18111282</v>
      </c>
      <c r="I12" s="404"/>
      <c r="J12" s="404"/>
      <c r="K12" s="405">
        <f>TRUNC((H12/H13*100000),5)/100000</f>
        <v>0.40599641380000001</v>
      </c>
      <c r="L12" s="406"/>
      <c r="M12" s="360" t="s">
        <v>1206</v>
      </c>
      <c r="N12" s="360"/>
      <c r="O12" s="407">
        <v>0.35</v>
      </c>
      <c r="P12" s="218"/>
      <c r="Q12" s="218"/>
    </row>
    <row r="13" spans="1:18" s="408" customFormat="1" ht="12.75" x14ac:dyDescent="0.2">
      <c r="A13" s="218"/>
      <c r="B13" s="401"/>
      <c r="C13" s="2395" t="s">
        <v>1391</v>
      </c>
      <c r="D13" s="2396"/>
      <c r="E13" s="218"/>
      <c r="F13" s="409" t="s">
        <v>826</v>
      </c>
      <c r="G13" s="402"/>
      <c r="H13" s="403">
        <f>SUM('Acct Summary 7-8'!C8+'Acct Summary 7-8'!D8+'Acct Summary 7-8'!F8+'Acct Summary 7-8'!I8)+H14</f>
        <v>44609463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44053061</v>
      </c>
      <c r="I17" s="404"/>
      <c r="J17" s="416"/>
      <c r="K17" s="405">
        <f>TRUNC((H17/H18*100000),5)/100000</f>
        <v>0.9875272652</v>
      </c>
      <c r="L17" s="406"/>
      <c r="M17" s="417" t="s">
        <v>1233</v>
      </c>
      <c r="O17" s="418" t="str">
        <f>IF(AND(O16="2", J20 &gt; 2),"1",IF(AND(O16 = "1", J20 &gt; 2),"2",IF(AND(O16="1", J20 &gt;1),"1","0")))</f>
        <v>0</v>
      </c>
      <c r="P17" s="218"/>
    </row>
    <row r="18" spans="1:18" s="408" customFormat="1" ht="11.25" x14ac:dyDescent="0.2">
      <c r="A18" s="218"/>
      <c r="B18" s="401"/>
      <c r="C18" s="2395" t="s">
        <v>1384</v>
      </c>
      <c r="D18" s="2396"/>
      <c r="E18" s="218"/>
      <c r="F18" s="419" t="s">
        <v>827</v>
      </c>
      <c r="G18" s="402"/>
      <c r="H18" s="403">
        <f>SUM('Acct Summary 7-8'!C8+'Acct Summary 7-8'!D8+'Acct Summary 7-8'!F8+'Acct Summary 7-8'!I8)+H19</f>
        <v>44609463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392" t="s">
        <v>1479</v>
      </c>
      <c r="D24" s="2392"/>
      <c r="E24" s="218"/>
      <c r="F24" s="218" t="s">
        <v>465</v>
      </c>
      <c r="G24" s="402"/>
      <c r="H24" s="403">
        <f>SUM('Assets-Liab 5-6'!C4+'Assets-Liab 5-6'!D4+'Assets-Liab 5-6'!F4+'Assets-Liab 5-6'!I4+'Assets-Liab 5-6'!C5+'Assets-Liab 5-6'!D5+'Assets-Liab 5-6'!F5+'Assets-Liab 5-6'!I5)</f>
        <v>22517282</v>
      </c>
      <c r="I24" s="422"/>
      <c r="J24" s="422"/>
      <c r="K24" s="423">
        <f>TRUNC(((H24/H25*100000)/100000),2)</f>
        <v>184.01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122369.61388999999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22326831.89838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52043526</v>
      </c>
      <c r="I32" s="420"/>
      <c r="J32" s="420"/>
      <c r="K32" s="423">
        <f>TRUNC(100-((((H32/H33*100))*100)/100),2)</f>
        <v>-14.34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45515153.514000006</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21" sqref="A21:H21"/>
      <selection pane="bottomLeft" activeCell="A21" sqref="A21:H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40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40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402" t="s">
        <v>1030</v>
      </c>
      <c r="B3" s="2403"/>
      <c r="C3" s="1576"/>
      <c r="D3" s="1577"/>
      <c r="E3" s="1577"/>
      <c r="F3" s="1577"/>
      <c r="G3" s="1577"/>
      <c r="H3" s="1577"/>
      <c r="I3" s="1577"/>
      <c r="J3" s="1577"/>
      <c r="K3" s="1577"/>
      <c r="L3" s="1577"/>
      <c r="M3" s="1578"/>
      <c r="N3" s="1579"/>
    </row>
    <row r="4" spans="1:14" ht="13.5" customHeight="1" x14ac:dyDescent="0.2">
      <c r="A4" s="463" t="s">
        <v>1750</v>
      </c>
      <c r="B4" s="464"/>
      <c r="C4" s="465">
        <v>10972691</v>
      </c>
      <c r="D4" s="466">
        <v>2853886</v>
      </c>
      <c r="E4" s="466">
        <v>3616341</v>
      </c>
      <c r="F4" s="466">
        <v>56437</v>
      </c>
      <c r="G4" s="466">
        <v>477266</v>
      </c>
      <c r="H4" s="466">
        <v>1217742</v>
      </c>
      <c r="I4" s="466">
        <v>2346632</v>
      </c>
      <c r="J4" s="467">
        <v>120803</v>
      </c>
      <c r="K4" s="466">
        <v>0</v>
      </c>
      <c r="L4" s="466">
        <v>43490</v>
      </c>
      <c r="M4" s="468"/>
      <c r="N4" s="469"/>
    </row>
    <row r="5" spans="1:14" x14ac:dyDescent="0.2">
      <c r="A5" s="463" t="s">
        <v>1049</v>
      </c>
      <c r="B5" s="470">
        <v>120</v>
      </c>
      <c r="C5" s="465">
        <v>4251005</v>
      </c>
      <c r="D5" s="466">
        <v>1105643</v>
      </c>
      <c r="E5" s="466">
        <v>1401031</v>
      </c>
      <c r="F5" s="466">
        <v>21864</v>
      </c>
      <c r="G5" s="466">
        <v>184901</v>
      </c>
      <c r="H5" s="466">
        <v>471774</v>
      </c>
      <c r="I5" s="466">
        <v>909124</v>
      </c>
      <c r="J5" s="467">
        <v>46801</v>
      </c>
      <c r="K5" s="471">
        <v>0</v>
      </c>
      <c r="L5" s="472"/>
      <c r="M5" s="468"/>
      <c r="N5" s="469"/>
    </row>
    <row r="6" spans="1:14" ht="13.5" customHeight="1" x14ac:dyDescent="0.2">
      <c r="A6" s="473" t="s">
        <v>437</v>
      </c>
      <c r="B6" s="470">
        <v>130</v>
      </c>
      <c r="C6" s="465">
        <v>10264281</v>
      </c>
      <c r="D6" s="466">
        <v>1573590</v>
      </c>
      <c r="E6" s="466">
        <v>3643284</v>
      </c>
      <c r="F6" s="466">
        <v>534113</v>
      </c>
      <c r="G6" s="471">
        <v>671772</v>
      </c>
      <c r="H6" s="471">
        <v>0</v>
      </c>
      <c r="I6" s="466">
        <v>10697</v>
      </c>
      <c r="J6" s="474">
        <v>75980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765683</v>
      </c>
      <c r="D8" s="467">
        <v>5234</v>
      </c>
      <c r="E8" s="467">
        <v>0</v>
      </c>
      <c r="F8" s="467">
        <v>487381</v>
      </c>
      <c r="G8" s="478">
        <v>17219</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39561</v>
      </c>
      <c r="D11" s="467">
        <v>46323</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3" t="s">
        <v>665</v>
      </c>
      <c r="B13" s="1726"/>
      <c r="C13" s="1754">
        <f>SUM(C4:C12)</f>
        <v>26293221</v>
      </c>
      <c r="D13" s="1754">
        <f t="shared" ref="D13:L13" si="0">SUM(D4:D12)</f>
        <v>5584676</v>
      </c>
      <c r="E13" s="1754">
        <f t="shared" si="0"/>
        <v>8660656</v>
      </c>
      <c r="F13" s="1754">
        <f t="shared" si="0"/>
        <v>1099795</v>
      </c>
      <c r="G13" s="1754">
        <f t="shared" si="0"/>
        <v>1351158</v>
      </c>
      <c r="H13" s="1754">
        <f t="shared" si="0"/>
        <v>1689516</v>
      </c>
      <c r="I13" s="1754">
        <f t="shared" si="0"/>
        <v>3266453</v>
      </c>
      <c r="J13" s="1754">
        <f t="shared" si="0"/>
        <v>243584</v>
      </c>
      <c r="K13" s="1754">
        <f t="shared" si="0"/>
        <v>0</v>
      </c>
      <c r="L13" s="1754">
        <f t="shared" si="0"/>
        <v>43490</v>
      </c>
      <c r="M13" s="468"/>
      <c r="N13" s="469"/>
    </row>
    <row r="14" spans="1:14" ht="18" customHeight="1" thickTop="1" x14ac:dyDescent="0.2">
      <c r="A14" s="2404" t="s">
        <v>149</v>
      </c>
      <c r="B14" s="2405"/>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2265169</v>
      </c>
      <c r="N16" s="484"/>
    </row>
    <row r="17" spans="1:14" s="485" customFormat="1" ht="12.75" customHeight="1" x14ac:dyDescent="0.2">
      <c r="A17" s="482" t="s">
        <v>1470</v>
      </c>
      <c r="B17" s="483">
        <v>230</v>
      </c>
      <c r="C17" s="477"/>
      <c r="D17" s="477"/>
      <c r="E17" s="477"/>
      <c r="F17" s="477"/>
      <c r="G17" s="477"/>
      <c r="H17" s="477"/>
      <c r="I17" s="477"/>
      <c r="J17" s="477"/>
      <c r="K17" s="477"/>
      <c r="L17" s="477"/>
      <c r="M17" s="467">
        <v>92345720</v>
      </c>
      <c r="N17" s="484"/>
    </row>
    <row r="18" spans="1:14" s="485" customFormat="1" ht="12.75" customHeight="1" x14ac:dyDescent="0.2">
      <c r="A18" s="482" t="s">
        <v>1471</v>
      </c>
      <c r="B18" s="483">
        <v>240</v>
      </c>
      <c r="C18" s="477"/>
      <c r="D18" s="477"/>
      <c r="E18" s="477"/>
      <c r="F18" s="477"/>
      <c r="G18" s="477"/>
      <c r="H18" s="477"/>
      <c r="I18" s="477"/>
      <c r="J18" s="477"/>
      <c r="K18" s="477"/>
      <c r="L18" s="477"/>
      <c r="M18" s="467">
        <v>3828354</v>
      </c>
      <c r="N18" s="484"/>
    </row>
    <row r="19" spans="1:14" s="485" customFormat="1" ht="12.75" customHeight="1" x14ac:dyDescent="0.2">
      <c r="A19" s="482" t="s">
        <v>1472</v>
      </c>
      <c r="B19" s="483">
        <v>250</v>
      </c>
      <c r="C19" s="477"/>
      <c r="D19" s="477"/>
      <c r="E19" s="477"/>
      <c r="F19" s="477"/>
      <c r="G19" s="477"/>
      <c r="H19" s="477"/>
      <c r="I19" s="477"/>
      <c r="J19" s="477"/>
      <c r="K19" s="477"/>
      <c r="L19" s="477"/>
      <c r="M19" s="467">
        <v>5493707</v>
      </c>
      <c r="N19" s="484"/>
    </row>
    <row r="20" spans="1:14" s="485" customFormat="1" ht="12.75" customHeight="1" x14ac:dyDescent="0.2">
      <c r="A20" s="482" t="s">
        <v>1473</v>
      </c>
      <c r="B20" s="483">
        <v>260</v>
      </c>
      <c r="C20" s="477"/>
      <c r="D20" s="477"/>
      <c r="E20" s="477"/>
      <c r="F20" s="477"/>
      <c r="G20" s="477"/>
      <c r="H20" s="477"/>
      <c r="I20" s="477"/>
      <c r="J20" s="477"/>
      <c r="K20" s="477"/>
      <c r="L20" s="477"/>
      <c r="M20" s="467">
        <v>2175133</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4792910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47250616</v>
      </c>
    </row>
    <row r="23" spans="1:14" ht="13.5" customHeight="1" thickBot="1" x14ac:dyDescent="0.25">
      <c r="A23" s="1753" t="s">
        <v>664</v>
      </c>
      <c r="B23" s="1758"/>
      <c r="C23" s="468"/>
      <c r="D23" s="468"/>
      <c r="E23" s="468"/>
      <c r="F23" s="468"/>
      <c r="G23" s="468"/>
      <c r="H23" s="468"/>
      <c r="I23" s="468"/>
      <c r="J23" s="468"/>
      <c r="K23" s="468"/>
      <c r="L23" s="468"/>
      <c r="M23" s="1705">
        <f>SUM(M15:M22)</f>
        <v>106108083</v>
      </c>
      <c r="N23" s="1705">
        <f>SUM(N21:N22)</f>
        <v>52043526</v>
      </c>
    </row>
    <row r="24" spans="1:14" ht="18" customHeight="1" thickTop="1" x14ac:dyDescent="0.2">
      <c r="A24" s="2406" t="s">
        <v>619</v>
      </c>
      <c r="B24" s="2407"/>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1534973</v>
      </c>
      <c r="D27" s="467">
        <v>20739</v>
      </c>
      <c r="E27" s="467">
        <v>0</v>
      </c>
      <c r="F27" s="467">
        <v>31158</v>
      </c>
      <c r="G27" s="467">
        <v>22969</v>
      </c>
      <c r="H27" s="467">
        <v>806787</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2730064</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670354</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10896661</v>
      </c>
      <c r="D32" s="492">
        <v>1670538</v>
      </c>
      <c r="E32" s="474">
        <v>3867746</v>
      </c>
      <c r="F32" s="474">
        <v>567020</v>
      </c>
      <c r="G32" s="474">
        <v>713160</v>
      </c>
      <c r="H32" s="474">
        <v>0</v>
      </c>
      <c r="I32" s="474">
        <v>11356</v>
      </c>
      <c r="J32" s="474">
        <v>80661</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43490</v>
      </c>
      <c r="M33" s="468"/>
      <c r="N33" s="469"/>
    </row>
    <row r="34" spans="1:14" ht="13.5" customHeight="1" thickBot="1" x14ac:dyDescent="0.25">
      <c r="A34" s="1755" t="s">
        <v>675</v>
      </c>
      <c r="B34" s="1756"/>
      <c r="C34" s="1757">
        <f>SUM(C25:C33)</f>
        <v>15832052</v>
      </c>
      <c r="D34" s="1757">
        <f t="shared" ref="D34:K34" si="1">SUM(D25:D33)</f>
        <v>1691277</v>
      </c>
      <c r="E34" s="1757">
        <f t="shared" si="1"/>
        <v>3867746</v>
      </c>
      <c r="F34" s="1757">
        <f t="shared" si="1"/>
        <v>598178</v>
      </c>
      <c r="G34" s="1757">
        <f t="shared" si="1"/>
        <v>736129</v>
      </c>
      <c r="H34" s="1757">
        <f t="shared" si="1"/>
        <v>806787</v>
      </c>
      <c r="I34" s="1757">
        <f t="shared" si="1"/>
        <v>11356</v>
      </c>
      <c r="J34" s="1757">
        <f t="shared" si="1"/>
        <v>80661</v>
      </c>
      <c r="K34" s="1757">
        <f t="shared" si="1"/>
        <v>0</v>
      </c>
      <c r="L34" s="1738">
        <f>SUM(L33)</f>
        <v>43490</v>
      </c>
      <c r="M34" s="468"/>
      <c r="N34" s="480"/>
    </row>
    <row r="35" spans="1:14" ht="18" customHeight="1" thickTop="1" x14ac:dyDescent="0.2">
      <c r="A35" s="2408" t="s">
        <v>550</v>
      </c>
      <c r="B35" s="2409"/>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52043526</v>
      </c>
    </row>
    <row r="37" spans="1:14" ht="13.5" thickBot="1" x14ac:dyDescent="0.25">
      <c r="A37" s="1753" t="s">
        <v>674</v>
      </c>
      <c r="B37" s="1758"/>
      <c r="C37" s="477"/>
      <c r="D37" s="477"/>
      <c r="E37" s="477"/>
      <c r="F37" s="477"/>
      <c r="G37" s="477"/>
      <c r="H37" s="477"/>
      <c r="I37" s="477"/>
      <c r="J37" s="477"/>
      <c r="K37" s="477"/>
      <c r="L37" s="480"/>
      <c r="M37" s="468"/>
      <c r="N37" s="1705">
        <f>SUM(N36:N36)</f>
        <v>52043526</v>
      </c>
    </row>
    <row r="38" spans="1:14" s="329" customFormat="1" ht="13.5" customHeight="1" thickTop="1" x14ac:dyDescent="0.2">
      <c r="A38" s="496" t="s">
        <v>440</v>
      </c>
      <c r="B38" s="483">
        <v>714</v>
      </c>
      <c r="C38" s="466"/>
      <c r="D38" s="466"/>
      <c r="E38" s="466"/>
      <c r="F38" s="466"/>
      <c r="G38" s="466">
        <v>515378</v>
      </c>
      <c r="H38" s="466"/>
      <c r="I38" s="466"/>
      <c r="J38" s="467"/>
      <c r="K38" s="466"/>
      <c r="L38" s="481"/>
      <c r="M38" s="497"/>
      <c r="N38" s="497"/>
    </row>
    <row r="39" spans="1:14" s="329" customFormat="1" ht="13.5" customHeight="1" x14ac:dyDescent="0.2">
      <c r="A39" s="496" t="s">
        <v>360</v>
      </c>
      <c r="B39" s="483">
        <v>730</v>
      </c>
      <c r="C39" s="466">
        <v>10461169</v>
      </c>
      <c r="D39" s="466">
        <v>3893399</v>
      </c>
      <c r="E39" s="466">
        <v>4792910</v>
      </c>
      <c r="F39" s="466">
        <v>501617</v>
      </c>
      <c r="G39" s="466">
        <v>99651</v>
      </c>
      <c r="H39" s="466">
        <v>882729</v>
      </c>
      <c r="I39" s="466">
        <v>3255097</v>
      </c>
      <c r="J39" s="467">
        <v>162923</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106108083</v>
      </c>
      <c r="N40" s="497"/>
    </row>
    <row r="41" spans="1:14" ht="13.5" customHeight="1" thickBot="1" x14ac:dyDescent="0.25">
      <c r="A41" s="1753" t="s">
        <v>676</v>
      </c>
      <c r="B41" s="1723"/>
      <c r="C41" s="1705">
        <f>(SUM(C34,C37,C38,C39))</f>
        <v>26293221</v>
      </c>
      <c r="D41" s="1705">
        <f t="shared" ref="D41:L41" si="2">SUM(D34,D37,D38:D39)</f>
        <v>5584676</v>
      </c>
      <c r="E41" s="1705">
        <f t="shared" si="2"/>
        <v>8660656</v>
      </c>
      <c r="F41" s="1705">
        <f t="shared" si="2"/>
        <v>1099795</v>
      </c>
      <c r="G41" s="1705">
        <f t="shared" si="2"/>
        <v>1351158</v>
      </c>
      <c r="H41" s="1705">
        <f t="shared" si="2"/>
        <v>1689516</v>
      </c>
      <c r="I41" s="1705">
        <f t="shared" si="2"/>
        <v>3266453</v>
      </c>
      <c r="J41" s="1705">
        <f t="shared" si="2"/>
        <v>243584</v>
      </c>
      <c r="K41" s="1705">
        <f t="shared" si="2"/>
        <v>0</v>
      </c>
      <c r="L41" s="1705">
        <f t="shared" si="2"/>
        <v>43490</v>
      </c>
      <c r="M41" s="1705">
        <f>SUM(M40)</f>
        <v>106108083</v>
      </c>
      <c r="N41" s="1705">
        <f>SUM(N37)</f>
        <v>52043526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4" activePane="bottomLeft" state="frozenSplit"/>
      <selection activeCell="A21" sqref="A21:H21"/>
      <selection pane="bottomLeft" activeCell="A21" sqref="A21:H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41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41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430" t="s">
        <v>1237</v>
      </c>
      <c r="B3" s="2431"/>
      <c r="C3" s="1590"/>
      <c r="D3" s="1591"/>
      <c r="E3" s="1591"/>
      <c r="F3" s="1591"/>
      <c r="G3" s="1591"/>
      <c r="H3" s="1591"/>
      <c r="I3" s="1591"/>
      <c r="J3" s="1591"/>
      <c r="K3" s="1592"/>
      <c r="L3" s="506"/>
    </row>
    <row r="4" spans="1:13" ht="15.75" customHeight="1" x14ac:dyDescent="0.2">
      <c r="A4" s="1949" t="s">
        <v>1579</v>
      </c>
      <c r="B4" s="1950">
        <v>1000</v>
      </c>
      <c r="C4" s="1759">
        <f>'Revenues 9-14'!C109</f>
        <v>23130608</v>
      </c>
      <c r="D4" s="1759">
        <f>'Revenues 9-14'!D109</f>
        <v>3547347</v>
      </c>
      <c r="E4" s="1759">
        <f>'Revenues 9-14'!E109</f>
        <v>7742137</v>
      </c>
      <c r="F4" s="1759">
        <f>'Revenues 9-14'!F109</f>
        <v>1257640</v>
      </c>
      <c r="G4" s="1759">
        <f>'Revenues 9-14'!G109</f>
        <v>1483393</v>
      </c>
      <c r="H4" s="1759">
        <f>'Revenues 9-14'!H109</f>
        <v>101433</v>
      </c>
      <c r="I4" s="1759">
        <f>'Revenues 9-14'!I109</f>
        <v>64693</v>
      </c>
      <c r="J4" s="1759">
        <f>'Revenues 9-14'!J109</f>
        <v>159299</v>
      </c>
      <c r="K4" s="1759">
        <f>'Revenues 9-14'!K109</f>
        <v>0</v>
      </c>
      <c r="L4" s="347"/>
    </row>
    <row r="5" spans="1:13" ht="15.75" customHeight="1" x14ac:dyDescent="0.2">
      <c r="A5" s="1593" t="s">
        <v>1580</v>
      </c>
      <c r="B5" s="1594">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3" t="s">
        <v>1581</v>
      </c>
      <c r="B6" s="1595">
        <v>3000</v>
      </c>
      <c r="C6" s="1760">
        <f>'Revenues 9-14'!C173</f>
        <v>12799185</v>
      </c>
      <c r="D6" s="1760">
        <f>'Revenues 9-14'!D173</f>
        <v>0</v>
      </c>
      <c r="E6" s="1760">
        <f>'Revenues 9-14'!E173</f>
        <v>0</v>
      </c>
      <c r="F6" s="1760">
        <f>'Revenues 9-14'!F173</f>
        <v>1980470</v>
      </c>
      <c r="G6" s="1760">
        <f>'Revenues 9-14'!G173</f>
        <v>0</v>
      </c>
      <c r="H6" s="1760">
        <f>'Revenues 9-14'!H173</f>
        <v>0</v>
      </c>
      <c r="I6" s="1760">
        <f>'Revenues 9-14'!I173</f>
        <v>0</v>
      </c>
      <c r="J6" s="1760">
        <f>'Revenues 9-14'!J173</f>
        <v>0</v>
      </c>
      <c r="K6" s="1760">
        <f>'Revenues 9-14'!K173</f>
        <v>0</v>
      </c>
      <c r="L6" s="347"/>
      <c r="M6" s="513"/>
    </row>
    <row r="7" spans="1:13" ht="15.75" customHeight="1" x14ac:dyDescent="0.2">
      <c r="A7" s="1593" t="s">
        <v>1582</v>
      </c>
      <c r="B7" s="1595">
        <v>4000</v>
      </c>
      <c r="C7" s="1760">
        <f>'Revenues 9-14'!C274</f>
        <v>1812909</v>
      </c>
      <c r="D7" s="1760">
        <f>'Revenues 9-14'!D274</f>
        <v>0</v>
      </c>
      <c r="E7" s="1760">
        <f>'Revenues 9-14'!E274</f>
        <v>0</v>
      </c>
      <c r="F7" s="1760">
        <f>'Revenues 9-14'!F274</f>
        <v>16611</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37742702</v>
      </c>
      <c r="D8" s="1705">
        <f t="shared" ref="D8:K8" si="0">SUM(D4:D7)</f>
        <v>3547347</v>
      </c>
      <c r="E8" s="1705">
        <f t="shared" si="0"/>
        <v>7742137</v>
      </c>
      <c r="F8" s="1705">
        <f t="shared" si="0"/>
        <v>3254721</v>
      </c>
      <c r="G8" s="1705">
        <f t="shared" si="0"/>
        <v>1483393</v>
      </c>
      <c r="H8" s="1705">
        <f t="shared" si="0"/>
        <v>101433</v>
      </c>
      <c r="I8" s="1705">
        <f t="shared" si="0"/>
        <v>64693</v>
      </c>
      <c r="J8" s="1705">
        <f t="shared" si="0"/>
        <v>159299</v>
      </c>
      <c r="K8" s="1705">
        <f t="shared" si="0"/>
        <v>0</v>
      </c>
      <c r="L8" s="347"/>
    </row>
    <row r="9" spans="1:13" ht="15.75" thickTop="1" x14ac:dyDescent="0.2">
      <c r="A9" s="514" t="s">
        <v>1752</v>
      </c>
      <c r="B9" s="515">
        <v>3998</v>
      </c>
      <c r="C9" s="481">
        <v>15649218</v>
      </c>
      <c r="D9" s="516">
        <v>0</v>
      </c>
      <c r="E9" s="481">
        <v>0</v>
      </c>
      <c r="F9" s="481">
        <v>0</v>
      </c>
      <c r="G9" s="517">
        <v>0</v>
      </c>
      <c r="H9" s="481">
        <v>0</v>
      </c>
      <c r="I9" s="509" t="s">
        <v>1231</v>
      </c>
      <c r="J9" s="478">
        <v>0</v>
      </c>
      <c r="K9" s="481">
        <v>0</v>
      </c>
      <c r="L9" s="347"/>
    </row>
    <row r="10" spans="1:13" s="519" customFormat="1" ht="13.5" thickBot="1" x14ac:dyDescent="0.25">
      <c r="A10" s="1753" t="s">
        <v>1235</v>
      </c>
      <c r="B10" s="1726"/>
      <c r="C10" s="1705">
        <f>SUM(C8:C9)</f>
        <v>53391920</v>
      </c>
      <c r="D10" s="1705">
        <f t="shared" ref="D10:K10" si="1">SUM(D8:D9)</f>
        <v>3547347</v>
      </c>
      <c r="E10" s="1705">
        <f t="shared" si="1"/>
        <v>7742137</v>
      </c>
      <c r="F10" s="1705">
        <f t="shared" si="1"/>
        <v>3254721</v>
      </c>
      <c r="G10" s="1705">
        <f t="shared" si="1"/>
        <v>1483393</v>
      </c>
      <c r="H10" s="1705">
        <f t="shared" si="1"/>
        <v>101433</v>
      </c>
      <c r="I10" s="1705">
        <f t="shared" si="1"/>
        <v>64693</v>
      </c>
      <c r="J10" s="1705">
        <f t="shared" si="1"/>
        <v>159299</v>
      </c>
      <c r="K10" s="1705">
        <f t="shared" si="1"/>
        <v>0</v>
      </c>
      <c r="L10" s="518"/>
    </row>
    <row r="11" spans="1:13" s="519" customFormat="1" ht="16.7" customHeight="1" thickTop="1" x14ac:dyDescent="0.2">
      <c r="A11" s="2404" t="s">
        <v>1238</v>
      </c>
      <c r="B11" s="2405"/>
      <c r="C11" s="1587"/>
      <c r="D11" s="1588"/>
      <c r="E11" s="1588"/>
      <c r="F11" s="1588"/>
      <c r="G11" s="1588"/>
      <c r="H11" s="1588"/>
      <c r="I11" s="1588"/>
      <c r="J11" s="1588"/>
      <c r="K11" s="1589"/>
      <c r="L11" s="518"/>
    </row>
    <row r="12" spans="1:13" ht="15.75" customHeight="1" x14ac:dyDescent="0.2">
      <c r="A12" s="1593" t="s">
        <v>476</v>
      </c>
      <c r="B12" s="1595">
        <v>1000</v>
      </c>
      <c r="C12" s="1759">
        <f>'Expenditures 15-22'!K33</f>
        <v>24502382</v>
      </c>
      <c r="D12" s="520" t="s">
        <v>1231</v>
      </c>
      <c r="E12" s="468" t="s">
        <v>1231</v>
      </c>
      <c r="F12" s="468" t="s">
        <v>1231</v>
      </c>
      <c r="G12" s="1759">
        <f>'Expenditures 15-22'!K229</f>
        <v>724401</v>
      </c>
      <c r="H12" s="521"/>
      <c r="I12" s="468" t="s">
        <v>1231</v>
      </c>
      <c r="J12" s="468" t="s">
        <v>1231</v>
      </c>
      <c r="K12" s="521" t="s">
        <v>1231</v>
      </c>
      <c r="L12" s="347"/>
    </row>
    <row r="13" spans="1:13" ht="15.75" customHeight="1" x14ac:dyDescent="0.2">
      <c r="A13" s="1593" t="s">
        <v>477</v>
      </c>
      <c r="B13" s="1595">
        <v>2000</v>
      </c>
      <c r="C13" s="1760">
        <f>'Expenditures 15-22'!K74</f>
        <v>10711207</v>
      </c>
      <c r="D13" s="1760">
        <f>'Expenditures 15-22'!K129</f>
        <v>3847981</v>
      </c>
      <c r="E13" s="469" t="s">
        <v>1231</v>
      </c>
      <c r="F13" s="1760">
        <f>'Expenditures 15-22'!K184</f>
        <v>3202418</v>
      </c>
      <c r="G13" s="1760">
        <f>'Expenditures 15-22'!K279</f>
        <v>670429</v>
      </c>
      <c r="H13" s="1760">
        <f>'Expenditures 15-22'!K303</f>
        <v>2175133</v>
      </c>
      <c r="I13" s="468" t="s">
        <v>1231</v>
      </c>
      <c r="J13" s="1760">
        <f>'Expenditures 15-22'!K330</f>
        <v>160621</v>
      </c>
      <c r="K13" s="1764">
        <f>'Expenditures 15-22'!K352</f>
        <v>0</v>
      </c>
      <c r="L13" s="347"/>
    </row>
    <row r="14" spans="1:13" ht="15.75" customHeight="1" x14ac:dyDescent="0.2">
      <c r="A14" s="1593" t="s">
        <v>469</v>
      </c>
      <c r="B14" s="1595">
        <v>3000</v>
      </c>
      <c r="C14" s="1760">
        <f>'Expenditures 15-22'!K75</f>
        <v>53837</v>
      </c>
      <c r="D14" s="1760">
        <f>'Expenditures 15-22'!K130</f>
        <v>0</v>
      </c>
      <c r="E14" s="520" t="s">
        <v>1231</v>
      </c>
      <c r="F14" s="1760">
        <f>'Expenditures 15-22'!K185</f>
        <v>0</v>
      </c>
      <c r="G14" s="1760">
        <f>'Expenditures 15-22'!K280</f>
        <v>12</v>
      </c>
      <c r="H14" s="512"/>
      <c r="I14" s="468" t="s">
        <v>1231</v>
      </c>
      <c r="J14" s="468" t="s">
        <v>1231</v>
      </c>
      <c r="K14" s="512" t="s">
        <v>1231</v>
      </c>
      <c r="L14" s="347"/>
    </row>
    <row r="15" spans="1:13" ht="15.75" customHeight="1" x14ac:dyDescent="0.2">
      <c r="A15" s="1593" t="s">
        <v>109</v>
      </c>
      <c r="B15" s="1595">
        <v>4000</v>
      </c>
      <c r="C15" s="1760">
        <f>'Expenditures 15-22'!K102</f>
        <v>1638709</v>
      </c>
      <c r="D15" s="1760">
        <f>'Expenditures 15-22'!K139</f>
        <v>96527</v>
      </c>
      <c r="E15" s="1760">
        <f>'Expenditures 15-22'!K160</f>
        <v>0</v>
      </c>
      <c r="F15" s="1760">
        <f>'Expenditures 15-22'!K196</f>
        <v>0</v>
      </c>
      <c r="G15" s="1760">
        <f>'Expenditures 15-22'!K285</f>
        <v>67955</v>
      </c>
      <c r="H15" s="1760">
        <f>'Expenditures 15-22'!K310</f>
        <v>0</v>
      </c>
      <c r="I15" s="468" t="s">
        <v>1231</v>
      </c>
      <c r="J15" s="1853">
        <f>'Expenditures 15-22'!K334</f>
        <v>0</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7680824</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36906135</v>
      </c>
      <c r="D17" s="1705">
        <f t="shared" si="2"/>
        <v>3944508</v>
      </c>
      <c r="E17" s="1705">
        <f t="shared" si="2"/>
        <v>7680824</v>
      </c>
      <c r="F17" s="1705">
        <f t="shared" si="2"/>
        <v>3202418</v>
      </c>
      <c r="G17" s="1705">
        <f t="shared" si="2"/>
        <v>1462797</v>
      </c>
      <c r="H17" s="1705">
        <f t="shared" si="2"/>
        <v>2175133</v>
      </c>
      <c r="I17" s="468"/>
      <c r="J17" s="1705">
        <f>SUM(J12:J16)</f>
        <v>160621</v>
      </c>
      <c r="K17" s="1705">
        <f>SUM(K12:K16)</f>
        <v>0</v>
      </c>
      <c r="L17" s="347"/>
    </row>
    <row r="18" spans="1:12" ht="15" customHeight="1" thickTop="1" x14ac:dyDescent="0.2">
      <c r="A18" s="1761" t="s">
        <v>1753</v>
      </c>
      <c r="B18" s="1762">
        <v>4180</v>
      </c>
      <c r="C18" s="1759">
        <f t="shared" ref="C18:H18" si="3">C9</f>
        <v>15649218</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52555353</v>
      </c>
      <c r="D19" s="1705">
        <f t="shared" si="4"/>
        <v>3944508</v>
      </c>
      <c r="E19" s="1705">
        <f t="shared" si="4"/>
        <v>7680824</v>
      </c>
      <c r="F19" s="1705">
        <f t="shared" si="4"/>
        <v>3202418</v>
      </c>
      <c r="G19" s="1705">
        <f t="shared" si="4"/>
        <v>1462797</v>
      </c>
      <c r="H19" s="1705">
        <f t="shared" si="4"/>
        <v>2175133</v>
      </c>
      <c r="I19" s="468"/>
      <c r="J19" s="1705">
        <f>SUM(J17:J18)</f>
        <v>160621</v>
      </c>
      <c r="K19" s="1705">
        <f>SUM(K17:K18)</f>
        <v>0</v>
      </c>
      <c r="L19" s="347"/>
    </row>
    <row r="20" spans="1:12" ht="16.5" thickTop="1" thickBot="1" x14ac:dyDescent="0.25">
      <c r="A20" s="2420" t="s">
        <v>1754</v>
      </c>
      <c r="B20" s="2421"/>
      <c r="C20" s="1763">
        <f>C8-C17</f>
        <v>836567</v>
      </c>
      <c r="D20" s="1763">
        <f t="shared" ref="D20:K20" si="5">D8-D17</f>
        <v>-397161</v>
      </c>
      <c r="E20" s="1763">
        <f t="shared" si="5"/>
        <v>61313</v>
      </c>
      <c r="F20" s="1763">
        <f t="shared" si="5"/>
        <v>52303</v>
      </c>
      <c r="G20" s="1763">
        <f t="shared" si="5"/>
        <v>20596</v>
      </c>
      <c r="H20" s="1763">
        <f t="shared" si="5"/>
        <v>-2073700</v>
      </c>
      <c r="I20" s="1763">
        <f t="shared" si="5"/>
        <v>64693</v>
      </c>
      <c r="J20" s="1763">
        <f t="shared" si="5"/>
        <v>-1322</v>
      </c>
      <c r="K20" s="1763">
        <f t="shared" si="5"/>
        <v>0</v>
      </c>
      <c r="L20" s="347"/>
    </row>
    <row r="21" spans="1:12" ht="16.7" customHeight="1" thickTop="1" x14ac:dyDescent="0.2">
      <c r="A21" s="2432" t="s">
        <v>616</v>
      </c>
      <c r="B21" s="2433"/>
      <c r="C21" s="1587"/>
      <c r="D21" s="1588"/>
      <c r="E21" s="1588"/>
      <c r="F21" s="1588"/>
      <c r="G21" s="1588"/>
      <c r="H21" s="1588"/>
      <c r="I21" s="1588"/>
      <c r="J21" s="1588"/>
      <c r="K21" s="1589"/>
      <c r="L21" s="524"/>
    </row>
    <row r="22" spans="1:12" ht="15.75" customHeight="1" collapsed="1" x14ac:dyDescent="0.2">
      <c r="A22" s="2428" t="s">
        <v>617</v>
      </c>
      <c r="B22" s="2429"/>
      <c r="C22" s="477"/>
      <c r="D22" s="477"/>
      <c r="E22" s="477"/>
      <c r="F22" s="477"/>
      <c r="G22" s="477"/>
      <c r="H22" s="477"/>
      <c r="I22" s="477"/>
      <c r="J22" s="477"/>
      <c r="K22" s="477"/>
      <c r="L22" s="347"/>
    </row>
    <row r="23" spans="1:12" s="485" customFormat="1" ht="15.75" customHeight="1" x14ac:dyDescent="0.2">
      <c r="A23" s="2424" t="s">
        <v>311</v>
      </c>
      <c r="B23" s="2425"/>
      <c r="C23" s="480"/>
      <c r="D23" s="477"/>
      <c r="E23" s="477"/>
      <c r="F23" s="477"/>
      <c r="G23" s="477"/>
      <c r="H23" s="477"/>
      <c r="I23" s="477"/>
      <c r="J23" s="477"/>
      <c r="K23" s="477"/>
      <c r="L23" s="524"/>
    </row>
    <row r="24" spans="1:12" s="485" customFormat="1" ht="13.5" customHeight="1" x14ac:dyDescent="0.2">
      <c r="A24" s="1506" t="s">
        <v>1755</v>
      </c>
      <c r="B24" s="525">
        <v>7110</v>
      </c>
      <c r="C24" s="467"/>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1894</v>
      </c>
      <c r="B30" s="527">
        <v>7160</v>
      </c>
      <c r="C30" s="477"/>
      <c r="D30" s="467">
        <v>0</v>
      </c>
      <c r="E30" s="477"/>
      <c r="F30" s="477"/>
      <c r="G30" s="477"/>
      <c r="H30" s="477"/>
      <c r="I30" s="477"/>
      <c r="J30" s="477"/>
      <c r="K30" s="477"/>
      <c r="L30" s="524"/>
    </row>
    <row r="31" spans="1:12" s="485" customFormat="1" ht="26.25" x14ac:dyDescent="0.2">
      <c r="A31" s="1506" t="s">
        <v>1898</v>
      </c>
      <c r="B31" s="527">
        <v>7170</v>
      </c>
      <c r="C31" s="477"/>
      <c r="D31" s="477"/>
      <c r="E31" s="474">
        <v>0</v>
      </c>
      <c r="F31" s="477"/>
      <c r="G31" s="477"/>
      <c r="H31" s="477"/>
      <c r="I31" s="477"/>
      <c r="J31" s="477"/>
      <c r="K31" s="477"/>
      <c r="L31" s="524"/>
    </row>
    <row r="32" spans="1:12" s="485" customFormat="1" ht="15.75" customHeight="1" x14ac:dyDescent="0.2">
      <c r="A32" s="2426" t="s">
        <v>1038</v>
      </c>
      <c r="B32" s="2427"/>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60">
        <f>SUM(C54:D57,H54:H57)</f>
        <v>17482</v>
      </c>
      <c r="F37" s="475"/>
      <c r="G37" s="475"/>
      <c r="H37" s="475"/>
      <c r="I37" s="477"/>
      <c r="J37" s="475"/>
      <c r="K37" s="475"/>
      <c r="L37" s="524"/>
    </row>
    <row r="38" spans="1:12" s="485" customFormat="1" x14ac:dyDescent="0.2">
      <c r="A38" s="1506" t="s">
        <v>462</v>
      </c>
      <c r="B38" s="525">
        <v>7500</v>
      </c>
      <c r="C38" s="477"/>
      <c r="D38" s="477"/>
      <c r="E38" s="1760">
        <f>SUM(C58:D61,H58:H61)</f>
        <v>1532</v>
      </c>
      <c r="F38" s="477"/>
      <c r="G38" s="477"/>
      <c r="H38" s="477"/>
      <c r="I38" s="477"/>
      <c r="J38" s="477"/>
      <c r="K38" s="477"/>
      <c r="L38" s="524"/>
    </row>
    <row r="39" spans="1:12" s="485" customFormat="1" x14ac:dyDescent="0.2">
      <c r="A39" s="1506" t="s">
        <v>463</v>
      </c>
      <c r="B39" s="525">
        <v>7600</v>
      </c>
      <c r="C39" s="477"/>
      <c r="D39" s="477"/>
      <c r="E39" s="1760">
        <f>SUM(C62:D65)</f>
        <v>0</v>
      </c>
      <c r="F39" s="477"/>
      <c r="G39" s="477"/>
      <c r="H39" s="477"/>
      <c r="I39" s="477"/>
      <c r="J39" s="477"/>
      <c r="K39" s="477"/>
      <c r="L39" s="524"/>
    </row>
    <row r="40" spans="1:12" s="485" customFormat="1" ht="13.5" customHeight="1" x14ac:dyDescent="0.2">
      <c r="A40" s="1506" t="s">
        <v>663</v>
      </c>
      <c r="B40" s="483">
        <v>7700</v>
      </c>
      <c r="C40" s="477"/>
      <c r="D40" s="477"/>
      <c r="E40" s="1760">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60">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43622</v>
      </c>
      <c r="D43" s="467">
        <v>0</v>
      </c>
      <c r="E43" s="467">
        <v>0</v>
      </c>
      <c r="F43" s="467">
        <v>0</v>
      </c>
      <c r="G43" s="467">
        <v>0</v>
      </c>
      <c r="H43" s="467">
        <v>0</v>
      </c>
      <c r="I43" s="467">
        <v>0</v>
      </c>
      <c r="J43" s="467">
        <v>0</v>
      </c>
      <c r="K43" s="467">
        <v>0</v>
      </c>
      <c r="L43" s="524"/>
    </row>
    <row r="44" spans="1:12" s="485" customFormat="1" ht="13.5" customHeight="1" thickBot="1" x14ac:dyDescent="0.25">
      <c r="A44" s="2434" t="s">
        <v>392</v>
      </c>
      <c r="B44" s="2435"/>
      <c r="C44" s="1720">
        <f>SUM(C24:C43)</f>
        <v>43622</v>
      </c>
      <c r="D44" s="1720">
        <f t="shared" ref="D44:K44" si="6">SUM(D24:D43)</f>
        <v>0</v>
      </c>
      <c r="E44" s="1720">
        <f t="shared" si="6"/>
        <v>19014</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428" t="s">
        <v>110</v>
      </c>
      <c r="B45" s="2429"/>
      <c r="C45" s="528"/>
      <c r="D45" s="528"/>
      <c r="E45" s="528"/>
      <c r="F45" s="528"/>
      <c r="G45" s="528"/>
      <c r="H45" s="528"/>
      <c r="I45" s="528"/>
      <c r="J45" s="528"/>
      <c r="K45" s="528"/>
      <c r="L45" s="347"/>
    </row>
    <row r="46" spans="1:12" s="485" customFormat="1" ht="15.75" customHeight="1" x14ac:dyDescent="0.2">
      <c r="A46" s="2436" t="s">
        <v>111</v>
      </c>
      <c r="B46" s="2437"/>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60">
        <f>SUM(C24,C25:H25,J25:K25)</f>
        <v>0</v>
      </c>
      <c r="J47" s="477"/>
      <c r="K47" s="477"/>
      <c r="L47" s="529"/>
    </row>
    <row r="48" spans="1:12" s="485" customFormat="1" ht="15" x14ac:dyDescent="0.2">
      <c r="A48" s="1507" t="s">
        <v>1759</v>
      </c>
      <c r="B48" s="483">
        <v>8120</v>
      </c>
      <c r="C48" s="480"/>
      <c r="D48" s="480"/>
      <c r="E48" s="477"/>
      <c r="F48" s="480"/>
      <c r="G48" s="477"/>
      <c r="H48" s="477"/>
      <c r="I48" s="1760">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60">
        <f>SUM(D29)</f>
        <v>0</v>
      </c>
      <c r="I51" s="477"/>
      <c r="J51" s="475"/>
      <c r="K51" s="480"/>
      <c r="L51" s="524"/>
    </row>
    <row r="52" spans="1:12" s="485" customFormat="1" ht="26.25" x14ac:dyDescent="0.2">
      <c r="A52" s="1507" t="s">
        <v>1897</v>
      </c>
      <c r="B52" s="483">
        <v>8160</v>
      </c>
      <c r="C52" s="477"/>
      <c r="D52" s="477"/>
      <c r="E52" s="477"/>
      <c r="F52" s="477"/>
      <c r="G52" s="477"/>
      <c r="H52" s="477"/>
      <c r="I52" s="477"/>
      <c r="J52" s="477"/>
      <c r="K52" s="1760">
        <f>D30</f>
        <v>0</v>
      </c>
      <c r="L52" s="524"/>
    </row>
    <row r="53" spans="1:12" s="485" customFormat="1" ht="26.25" x14ac:dyDescent="0.2">
      <c r="A53" s="1507" t="s">
        <v>1896</v>
      </c>
      <c r="B53" s="483">
        <v>8170</v>
      </c>
      <c r="C53" s="480"/>
      <c r="D53" s="480"/>
      <c r="E53" s="477"/>
      <c r="F53" s="477"/>
      <c r="G53" s="477"/>
      <c r="H53" s="480"/>
      <c r="I53" s="477"/>
      <c r="J53" s="477"/>
      <c r="K53" s="1760">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17482</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1532</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410" t="s">
        <v>460</v>
      </c>
      <c r="B76" s="2411"/>
      <c r="C76" s="1720">
        <f t="shared" ref="C76:K76" si="7">SUM(C47:C75)</f>
        <v>19014</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412" t="s">
        <v>1239</v>
      </c>
      <c r="B77" s="2413"/>
      <c r="C77" s="1720">
        <f t="shared" ref="C77:K77" si="8">C44-C76</f>
        <v>24608</v>
      </c>
      <c r="D77" s="1720">
        <f t="shared" si="8"/>
        <v>0</v>
      </c>
      <c r="E77" s="1720">
        <f t="shared" si="8"/>
        <v>19014</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416" t="s">
        <v>618</v>
      </c>
      <c r="B78" s="2417"/>
      <c r="C78" s="1719">
        <f t="shared" ref="C78:K78" si="9">C20+C77</f>
        <v>861175</v>
      </c>
      <c r="D78" s="1719">
        <f t="shared" si="9"/>
        <v>-397161</v>
      </c>
      <c r="E78" s="1719">
        <f t="shared" si="9"/>
        <v>80327</v>
      </c>
      <c r="F78" s="1719">
        <f t="shared" si="9"/>
        <v>52303</v>
      </c>
      <c r="G78" s="1719">
        <f t="shared" si="9"/>
        <v>20596</v>
      </c>
      <c r="H78" s="1719">
        <f t="shared" si="9"/>
        <v>-2073700</v>
      </c>
      <c r="I78" s="1719">
        <f t="shared" si="9"/>
        <v>64693</v>
      </c>
      <c r="J78" s="1719">
        <f t="shared" si="9"/>
        <v>-1322</v>
      </c>
      <c r="K78" s="1719">
        <f t="shared" si="9"/>
        <v>0</v>
      </c>
      <c r="L78" s="533"/>
    </row>
    <row r="79" spans="1:12" ht="13.5" thickTop="1" x14ac:dyDescent="0.2">
      <c r="A79" s="1511" t="s">
        <v>2070</v>
      </c>
      <c r="B79" s="534"/>
      <c r="C79" s="478">
        <v>9599994</v>
      </c>
      <c r="D79" s="535">
        <v>4290560</v>
      </c>
      <c r="E79" s="535">
        <v>4712583</v>
      </c>
      <c r="F79" s="535">
        <v>449314</v>
      </c>
      <c r="G79" s="535">
        <v>594433</v>
      </c>
      <c r="H79" s="535">
        <v>2956429</v>
      </c>
      <c r="I79" s="535">
        <v>3190404</v>
      </c>
      <c r="J79" s="535">
        <v>164245</v>
      </c>
      <c r="K79" s="535">
        <v>0</v>
      </c>
      <c r="L79" s="347"/>
    </row>
    <row r="80" spans="1:12" x14ac:dyDescent="0.2">
      <c r="A80" s="2422" t="s">
        <v>1895</v>
      </c>
      <c r="B80" s="2423"/>
      <c r="C80" s="467"/>
      <c r="D80" s="467"/>
      <c r="E80" s="467"/>
      <c r="F80" s="467"/>
      <c r="G80" s="467"/>
      <c r="H80" s="467"/>
      <c r="I80" s="467"/>
      <c r="J80" s="467"/>
      <c r="K80" s="467"/>
      <c r="L80" s="347"/>
    </row>
    <row r="81" spans="1:12" ht="13.5" thickBot="1" x14ac:dyDescent="0.25">
      <c r="A81" s="2414" t="s">
        <v>2071</v>
      </c>
      <c r="B81" s="2415"/>
      <c r="C81" s="1705">
        <f>(SUM(C78:C80))</f>
        <v>10461169</v>
      </c>
      <c r="D81" s="1705">
        <f>SUM(D78:D80)</f>
        <v>3893399</v>
      </c>
      <c r="E81" s="1705">
        <f t="shared" ref="E81:K81" si="10">SUM(E78:E80)</f>
        <v>4792910</v>
      </c>
      <c r="F81" s="1705">
        <f t="shared" si="10"/>
        <v>501617</v>
      </c>
      <c r="G81" s="1705">
        <f t="shared" si="10"/>
        <v>615029</v>
      </c>
      <c r="H81" s="1705">
        <f t="shared" si="10"/>
        <v>882729</v>
      </c>
      <c r="I81" s="1705">
        <f t="shared" si="10"/>
        <v>3255097</v>
      </c>
      <c r="J81" s="1705">
        <f t="shared" si="10"/>
        <v>162923</v>
      </c>
      <c r="K81" s="1705">
        <f t="shared" si="10"/>
        <v>0</v>
      </c>
      <c r="L81" s="347"/>
    </row>
    <row r="82" spans="1:12" ht="0.75" customHeight="1" thickTop="1" thickBot="1" x14ac:dyDescent="0.25">
      <c r="A82" s="536" t="s">
        <v>361</v>
      </c>
      <c r="B82" s="537"/>
      <c r="C82" s="538">
        <f>(C81-C79)</f>
        <v>861175</v>
      </c>
      <c r="D82" s="538">
        <f t="shared" ref="D82:K82" si="11">(D81-D79)</f>
        <v>-397161</v>
      </c>
      <c r="E82" s="538">
        <f t="shared" si="11"/>
        <v>80327</v>
      </c>
      <c r="F82" s="538">
        <f t="shared" si="11"/>
        <v>52303</v>
      </c>
      <c r="G82" s="538">
        <f t="shared" si="11"/>
        <v>20596</v>
      </c>
      <c r="H82" s="538">
        <f t="shared" si="11"/>
        <v>-2073700</v>
      </c>
      <c r="I82" s="538">
        <f t="shared" si="11"/>
        <v>64693</v>
      </c>
      <c r="J82" s="538">
        <f t="shared" si="11"/>
        <v>-1322</v>
      </c>
      <c r="K82" s="538">
        <f t="shared" si="11"/>
        <v>0</v>
      </c>
    </row>
    <row r="83" spans="1:12" ht="14.25" hidden="1" thickTop="1" thickBot="1" x14ac:dyDescent="0.25">
      <c r="A83" s="539" t="s">
        <v>362</v>
      </c>
      <c r="B83" s="464"/>
      <c r="C83" s="540">
        <f>C82/C81</f>
        <v>8.2321105796111307E-2</v>
      </c>
      <c r="D83" s="540">
        <f t="shared" ref="D83:K83" si="12">D82/D81</f>
        <v>-0.10200881029660716</v>
      </c>
      <c r="E83" s="540">
        <f t="shared" si="12"/>
        <v>1.6759546914087684E-2</v>
      </c>
      <c r="F83" s="540">
        <f t="shared" si="12"/>
        <v>0.10426879471788236</v>
      </c>
      <c r="G83" s="540">
        <f t="shared" si="12"/>
        <v>3.3487851792354507E-2</v>
      </c>
      <c r="H83" s="540">
        <f t="shared" si="12"/>
        <v>-2.3491921076570499</v>
      </c>
      <c r="I83" s="540">
        <f t="shared" si="12"/>
        <v>1.9874369335230256E-2</v>
      </c>
      <c r="J83" s="540">
        <f t="shared" si="12"/>
        <v>-8.1142625657519198E-3</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21" sqref="A21:H2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418" t="s">
        <v>1902</v>
      </c>
      <c r="B1" s="452"/>
      <c r="C1" s="453" t="s">
        <v>445</v>
      </c>
      <c r="D1" s="453" t="s">
        <v>446</v>
      </c>
      <c r="E1" s="453" t="s">
        <v>447</v>
      </c>
      <c r="F1" s="453" t="s">
        <v>448</v>
      </c>
      <c r="G1" s="453" t="s">
        <v>449</v>
      </c>
      <c r="H1" s="453" t="s">
        <v>450</v>
      </c>
      <c r="I1" s="453" t="s">
        <v>451</v>
      </c>
      <c r="J1" s="453" t="s">
        <v>452</v>
      </c>
      <c r="K1" s="453" t="s">
        <v>780</v>
      </c>
    </row>
    <row r="2" spans="1:12" ht="36" x14ac:dyDescent="0.2">
      <c r="A2" s="241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21100317</v>
      </c>
      <c r="D5" s="481">
        <v>3344554</v>
      </c>
      <c r="E5" s="466">
        <v>7706572</v>
      </c>
      <c r="F5" s="548">
        <v>1219741</v>
      </c>
      <c r="G5" s="466">
        <v>603552</v>
      </c>
      <c r="H5" s="466">
        <v>0</v>
      </c>
      <c r="I5" s="466">
        <v>23765</v>
      </c>
      <c r="J5" s="467">
        <v>158144</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247228</v>
      </c>
      <c r="D7" s="466">
        <v>0</v>
      </c>
      <c r="E7" s="468"/>
      <c r="F7" s="467">
        <v>0</v>
      </c>
      <c r="G7" s="467">
        <v>0</v>
      </c>
      <c r="H7" s="467">
        <v>0</v>
      </c>
      <c r="I7" s="468"/>
      <c r="J7" s="468"/>
      <c r="K7" s="468"/>
    </row>
    <row r="8" spans="1:12" x14ac:dyDescent="0.2">
      <c r="A8" s="463" t="s">
        <v>433</v>
      </c>
      <c r="B8" s="470">
        <v>1150</v>
      </c>
      <c r="C8" s="475"/>
      <c r="D8" s="475"/>
      <c r="E8" s="477"/>
      <c r="F8" s="477"/>
      <c r="G8" s="481">
        <v>726968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45145</v>
      </c>
      <c r="H11" s="466">
        <v>0</v>
      </c>
      <c r="I11" s="466">
        <v>0</v>
      </c>
      <c r="J11" s="467">
        <v>0</v>
      </c>
      <c r="K11" s="466">
        <v>0</v>
      </c>
      <c r="L11" s="552"/>
    </row>
    <row r="12" spans="1:12" ht="12.75" customHeight="1" thickBot="1" x14ac:dyDescent="0.25">
      <c r="A12" s="1722" t="s">
        <v>29</v>
      </c>
      <c r="B12" s="1723"/>
      <c r="C12" s="1724">
        <f t="shared" ref="C12:K12" si="0">SUM(C5:C11)</f>
        <v>21347545</v>
      </c>
      <c r="D12" s="1724">
        <f t="shared" si="0"/>
        <v>3344554</v>
      </c>
      <c r="E12" s="1724">
        <f t="shared" si="0"/>
        <v>7706572</v>
      </c>
      <c r="F12" s="1724">
        <f t="shared" si="0"/>
        <v>1219741</v>
      </c>
      <c r="G12" s="1724">
        <f t="shared" si="0"/>
        <v>1375665</v>
      </c>
      <c r="H12" s="1724">
        <f t="shared" si="0"/>
        <v>0</v>
      </c>
      <c r="I12" s="1724">
        <f t="shared" si="0"/>
        <v>23765</v>
      </c>
      <c r="J12" s="1724">
        <f t="shared" si="0"/>
        <v>158144</v>
      </c>
      <c r="K12" s="1705">
        <f t="shared" si="0"/>
        <v>0</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23705</v>
      </c>
      <c r="D16" s="466">
        <v>0</v>
      </c>
      <c r="E16" s="466">
        <v>0</v>
      </c>
      <c r="F16" s="466">
        <v>0</v>
      </c>
      <c r="G16" s="466">
        <v>101058</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23705</v>
      </c>
      <c r="D18" s="1727">
        <f t="shared" ref="D18:K18" si="1">SUM(D14:D17)</f>
        <v>0</v>
      </c>
      <c r="E18" s="1727">
        <f t="shared" si="1"/>
        <v>0</v>
      </c>
      <c r="F18" s="1727">
        <f t="shared" si="1"/>
        <v>0</v>
      </c>
      <c r="G18" s="1727">
        <f t="shared" si="1"/>
        <v>101058</v>
      </c>
      <c r="H18" s="1727">
        <f t="shared" si="1"/>
        <v>0</v>
      </c>
      <c r="I18" s="1727">
        <f t="shared" si="1"/>
        <v>0</v>
      </c>
      <c r="J18" s="1727">
        <f t="shared" si="1"/>
        <v>0</v>
      </c>
      <c r="K18" s="1728">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367768</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28538</v>
      </c>
      <c r="D24" s="468"/>
      <c r="E24" s="468"/>
      <c r="F24" s="468"/>
      <c r="G24" s="468"/>
      <c r="H24" s="468"/>
      <c r="I24" s="468"/>
      <c r="J24" s="468"/>
      <c r="K24" s="468"/>
    </row>
    <row r="25" spans="1:11" ht="12.75" customHeight="1" x14ac:dyDescent="0.2">
      <c r="A25" s="463" t="s">
        <v>888</v>
      </c>
      <c r="B25" s="470">
        <v>1322</v>
      </c>
      <c r="C25" s="551">
        <v>1250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22844</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5" t="s">
        <v>559</v>
      </c>
      <c r="B40" s="1726"/>
      <c r="C40" s="1705">
        <f>SUM(C20:C39)</f>
        <v>420400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33211</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33211</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125922</v>
      </c>
      <c r="D65" s="466">
        <v>47902</v>
      </c>
      <c r="E65" s="466">
        <v>35565</v>
      </c>
      <c r="F65" s="467">
        <v>3450</v>
      </c>
      <c r="G65" s="466">
        <v>6670</v>
      </c>
      <c r="H65" s="466">
        <v>43032</v>
      </c>
      <c r="I65" s="466">
        <v>40928</v>
      </c>
      <c r="J65" s="467">
        <v>1155</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125922</v>
      </c>
      <c r="D67" s="1705">
        <f t="shared" ref="D67:K67" si="2">SUM(D65:D66)</f>
        <v>47902</v>
      </c>
      <c r="E67" s="1705">
        <f t="shared" si="2"/>
        <v>35565</v>
      </c>
      <c r="F67" s="1705">
        <f t="shared" si="2"/>
        <v>3450</v>
      </c>
      <c r="G67" s="1705">
        <f t="shared" si="2"/>
        <v>6670</v>
      </c>
      <c r="H67" s="1705">
        <f t="shared" si="2"/>
        <v>43032</v>
      </c>
      <c r="I67" s="1705">
        <f t="shared" si="2"/>
        <v>40928</v>
      </c>
      <c r="J67" s="1705">
        <f t="shared" si="2"/>
        <v>1155</v>
      </c>
      <c r="K67" s="1705">
        <f t="shared" si="2"/>
        <v>0</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324766</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902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5" t="s">
        <v>569</v>
      </c>
      <c r="B75" s="1726"/>
      <c r="C75" s="1705">
        <f>SUM(C69:C74)</f>
        <v>325668</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314110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5" t="s">
        <v>259</v>
      </c>
      <c r="B82" s="1726"/>
      <c r="C82" s="1724">
        <f>SUM(C77:C81)</f>
        <v>314110</v>
      </c>
      <c r="D82" s="1705">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190241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39981</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5" t="s">
        <v>261</v>
      </c>
      <c r="B93" s="1726"/>
      <c r="C93" s="1705">
        <f>SUM(C84:C92)</f>
        <v>230222</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69850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2" t="s">
        <v>262</v>
      </c>
      <c r="B97" s="559">
        <v>1930</v>
      </c>
      <c r="C97" s="489">
        <v>0</v>
      </c>
      <c r="D97" s="467">
        <v>0</v>
      </c>
      <c r="E97" s="474">
        <v>0</v>
      </c>
      <c r="F97" s="467">
        <v>0</v>
      </c>
      <c r="G97" s="467">
        <v>0</v>
      </c>
      <c r="H97" s="467">
        <v>58401</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113664</v>
      </c>
      <c r="D99" s="466">
        <v>8109</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190986</v>
      </c>
      <c r="D106" s="489">
        <v>0</v>
      </c>
      <c r="E106" s="467">
        <v>0</v>
      </c>
      <c r="F106" s="467">
        <v>0</v>
      </c>
      <c r="G106" s="467">
        <v>0</v>
      </c>
      <c r="H106" s="467">
        <v>0</v>
      </c>
      <c r="I106" s="521"/>
      <c r="J106" s="467">
        <v>0</v>
      </c>
      <c r="K106" s="467">
        <v>0</v>
      </c>
    </row>
    <row r="107" spans="1:12" ht="12.75" customHeight="1" x14ac:dyDescent="0.2">
      <c r="A107" s="463" t="s">
        <v>80</v>
      </c>
      <c r="B107" s="470">
        <v>1999</v>
      </c>
      <c r="C107" s="551">
        <v>38386</v>
      </c>
      <c r="D107" s="466">
        <v>76932</v>
      </c>
      <c r="E107" s="466">
        <v>0</v>
      </c>
      <c r="F107" s="466">
        <v>1238</v>
      </c>
      <c r="G107" s="466">
        <v>0</v>
      </c>
      <c r="H107" s="466">
        <v>0</v>
      </c>
      <c r="I107" s="466">
        <v>0</v>
      </c>
      <c r="J107" s="467">
        <v>0</v>
      </c>
      <c r="K107" s="466">
        <v>0</v>
      </c>
    </row>
    <row r="108" spans="1:12" ht="12.75" customHeight="1" thickBot="1" x14ac:dyDescent="0.25">
      <c r="A108" s="1725" t="s">
        <v>508</v>
      </c>
      <c r="B108" s="1729"/>
      <c r="C108" s="1724">
        <f>SUM(C95:C107)</f>
        <v>343036</v>
      </c>
      <c r="D108" s="1724">
        <f t="shared" ref="D108:K108" si="3">SUM(D95:D107)</f>
        <v>154891</v>
      </c>
      <c r="E108" s="1724">
        <f t="shared" si="3"/>
        <v>0</v>
      </c>
      <c r="F108" s="1724">
        <f t="shared" si="3"/>
        <v>1238</v>
      </c>
      <c r="G108" s="1724">
        <f t="shared" si="3"/>
        <v>0</v>
      </c>
      <c r="H108" s="1724">
        <f t="shared" si="3"/>
        <v>58401</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23130608</v>
      </c>
      <c r="D109" s="1732">
        <f t="shared" si="4"/>
        <v>3547347</v>
      </c>
      <c r="E109" s="1732">
        <f t="shared" si="4"/>
        <v>7742137</v>
      </c>
      <c r="F109" s="1732">
        <f t="shared" si="4"/>
        <v>1257640</v>
      </c>
      <c r="G109" s="1732">
        <f t="shared" si="4"/>
        <v>1483393</v>
      </c>
      <c r="H109" s="1732">
        <f t="shared" si="4"/>
        <v>101433</v>
      </c>
      <c r="I109" s="1732">
        <f t="shared" si="4"/>
        <v>64693</v>
      </c>
      <c r="J109" s="1732">
        <f t="shared" si="4"/>
        <v>159299</v>
      </c>
      <c r="K109" s="1719">
        <f t="shared" si="4"/>
        <v>0</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11637308</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3"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11637308</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784377</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5203</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21053</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5" t="s">
        <v>1092</v>
      </c>
      <c r="B131" s="1737"/>
      <c r="C131" s="1724">
        <f>SUM(C124:C130)</f>
        <v>810633</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219094</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5" t="s">
        <v>414</v>
      </c>
      <c r="B144" s="1737"/>
      <c r="C144" s="1705">
        <f>SUM(C142:C143)</f>
        <v>219094</v>
      </c>
      <c r="D144" s="468"/>
      <c r="E144" s="509"/>
      <c r="F144" s="468"/>
      <c r="G144" s="1738">
        <f>SUM(G142:G143)</f>
        <v>0</v>
      </c>
      <c r="H144" s="468"/>
      <c r="I144" s="468"/>
      <c r="J144" s="468"/>
      <c r="K144" s="468"/>
    </row>
    <row r="145" spans="1:11" s="202" customFormat="1" ht="12.75" customHeight="1" thickTop="1" x14ac:dyDescent="0.2">
      <c r="A145" s="1515" t="s">
        <v>1116</v>
      </c>
      <c r="B145" s="568">
        <v>3360</v>
      </c>
      <c r="C145" s="569">
        <v>7175</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0</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780444</v>
      </c>
      <c r="G151" s="467">
        <v>0</v>
      </c>
      <c r="H151" s="468"/>
      <c r="I151" s="468"/>
      <c r="J151" s="468"/>
      <c r="K151" s="468"/>
    </row>
    <row r="152" spans="1:11" ht="12.75" customHeight="1" x14ac:dyDescent="0.2">
      <c r="A152" s="463" t="s">
        <v>1117</v>
      </c>
      <c r="B152" s="562">
        <v>3510</v>
      </c>
      <c r="C152" s="551">
        <v>0</v>
      </c>
      <c r="D152" s="466">
        <v>0</v>
      </c>
      <c r="E152" s="561"/>
      <c r="F152" s="466">
        <v>1160366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5" t="s">
        <v>96</v>
      </c>
      <c r="B154" s="1737"/>
      <c r="C154" s="1724">
        <f>SUM(C151:C153)</f>
        <v>0</v>
      </c>
      <c r="D154" s="1724">
        <f>SUM(D151:D153)</f>
        <v>0</v>
      </c>
      <c r="E154" s="561"/>
      <c r="F154" s="1724">
        <f>SUM(F151:F153)</f>
        <v>1940810</v>
      </c>
      <c r="G154" s="1724">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119844</v>
      </c>
      <c r="D158" s="578">
        <v>0</v>
      </c>
      <c r="E158" s="561"/>
      <c r="F158" s="576">
        <v>39660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5131</v>
      </c>
      <c r="D171" s="580">
        <v>0</v>
      </c>
      <c r="E171" s="580">
        <v>0</v>
      </c>
      <c r="F171" s="580">
        <v>0</v>
      </c>
      <c r="G171" s="581">
        <v>0</v>
      </c>
      <c r="H171" s="582">
        <v>0</v>
      </c>
      <c r="I171" s="581">
        <v>0</v>
      </c>
      <c r="J171" s="581">
        <v>0</v>
      </c>
      <c r="K171" s="582">
        <v>0</v>
      </c>
    </row>
    <row r="172" spans="1:11" ht="12.75" customHeight="1" thickTop="1" thickBot="1" x14ac:dyDescent="0.25">
      <c r="A172" s="2438" t="s">
        <v>418</v>
      </c>
      <c r="B172" s="2439"/>
      <c r="C172" s="1739">
        <f t="shared" ref="C172:K172" si="6">SUM(C131,C140,C144,C145:C149,C154,C155:C170,C171)</f>
        <v>1161877</v>
      </c>
      <c r="D172" s="1739">
        <f t="shared" si="6"/>
        <v>0</v>
      </c>
      <c r="E172" s="1739">
        <f t="shared" si="6"/>
        <v>0</v>
      </c>
      <c r="F172" s="1739">
        <f t="shared" si="6"/>
        <v>1980470</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12799185</v>
      </c>
      <c r="D173" s="1732">
        <f>SUM(D121,D172)</f>
        <v>0</v>
      </c>
      <c r="E173" s="1732">
        <f>SUM(E121,E172)</f>
        <v>0</v>
      </c>
      <c r="F173" s="1732">
        <f t="shared" ref="F173:K173" si="7">SUM(F121,F172)</f>
        <v>1980470</v>
      </c>
      <c r="G173" s="1732">
        <f t="shared" si="7"/>
        <v>0</v>
      </c>
      <c r="H173" s="1732">
        <f t="shared" si="7"/>
        <v>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440" t="s">
        <v>1572</v>
      </c>
      <c r="B175" s="244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444" t="s">
        <v>1764</v>
      </c>
      <c r="B178" s="2445"/>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448" t="s">
        <v>1763</v>
      </c>
      <c r="B179" s="244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446" t="s">
        <v>818</v>
      </c>
      <c r="B184" s="2447"/>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442" t="s">
        <v>1903</v>
      </c>
      <c r="B185" s="2443"/>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395698</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90127</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5" t="s">
        <v>569</v>
      </c>
      <c r="B201" s="1726"/>
      <c r="C201" s="1705">
        <f>SUM(C193:C200)</f>
        <v>485825</v>
      </c>
      <c r="D201" s="468"/>
      <c r="E201" s="468"/>
      <c r="F201" s="468"/>
      <c r="G201" s="1705">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266237</v>
      </c>
      <c r="D203" s="466">
        <v>0</v>
      </c>
      <c r="E203" s="468"/>
      <c r="F203" s="466">
        <v>5318</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5" t="s">
        <v>420</v>
      </c>
      <c r="B211" s="1726"/>
      <c r="C211" s="1724">
        <f>SUM(C203:C210)</f>
        <v>266237</v>
      </c>
      <c r="D211" s="1724">
        <f>SUM(D203:D210)</f>
        <v>0</v>
      </c>
      <c r="E211" s="468"/>
      <c r="F211" s="1724">
        <f>SUM(F203:F210)</f>
        <v>5318</v>
      </c>
      <c r="G211" s="1724">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11626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379695</v>
      </c>
      <c r="D220" s="466">
        <v>0</v>
      </c>
      <c r="E220" s="468"/>
      <c r="F220" s="466">
        <v>0</v>
      </c>
      <c r="G220" s="466">
        <v>0</v>
      </c>
      <c r="H220" s="468"/>
      <c r="I220" s="468"/>
      <c r="J220" s="468"/>
      <c r="K220" s="468"/>
    </row>
    <row r="221" spans="1:11" ht="12.75" customHeight="1" x14ac:dyDescent="0.2">
      <c r="A221" s="463" t="s">
        <v>1114</v>
      </c>
      <c r="B221" s="470">
        <v>4625</v>
      </c>
      <c r="C221" s="551">
        <v>39971</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5" t="s">
        <v>467</v>
      </c>
      <c r="B224" s="1726"/>
      <c r="C224" s="1724">
        <f>SUM(C218:C223)</f>
        <v>431292</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19" t="s">
        <v>1493</v>
      </c>
      <c r="B260" s="588">
        <v>4901</v>
      </c>
      <c r="C260" s="589">
        <v>0</v>
      </c>
      <c r="D260" s="469"/>
      <c r="E260" s="468"/>
      <c r="F260" s="468"/>
      <c r="G260" s="468"/>
      <c r="H260" s="468"/>
      <c r="I260" s="468"/>
      <c r="J260" s="468"/>
      <c r="K260" s="468"/>
    </row>
    <row r="261" spans="1:11" ht="12.75" customHeight="1" thickTop="1" thickBot="1" x14ac:dyDescent="0.25">
      <c r="A261" s="1520"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377</v>
      </c>
      <c r="D263" s="468"/>
      <c r="E263" s="468"/>
      <c r="F263" s="578">
        <v>0</v>
      </c>
      <c r="G263" s="573">
        <v>0</v>
      </c>
      <c r="H263" s="468"/>
      <c r="I263" s="468"/>
      <c r="J263" s="468"/>
      <c r="K263" s="468"/>
    </row>
    <row r="264" spans="1:11" ht="12.75" customHeight="1" thickTop="1" thickBot="1" x14ac:dyDescent="0.25">
      <c r="A264" s="463" t="s">
        <v>1532</v>
      </c>
      <c r="B264" s="470">
        <v>4909</v>
      </c>
      <c r="C264" s="576">
        <v>48088</v>
      </c>
      <c r="D264" s="468"/>
      <c r="E264" s="468"/>
      <c r="F264" s="576">
        <v>11293</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97875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56897</v>
      </c>
      <c r="D270" s="576">
        <v>0</v>
      </c>
      <c r="E270" s="468"/>
      <c r="F270" s="576">
        <v>0</v>
      </c>
      <c r="G270" s="576">
        <v>0</v>
      </c>
      <c r="H270" s="468"/>
      <c r="I270" s="468"/>
      <c r="J270" s="468"/>
      <c r="K270" s="468"/>
    </row>
    <row r="271" spans="1:11" ht="12.75" customHeight="1" thickTop="1" thickBot="1" x14ac:dyDescent="0.25">
      <c r="A271" s="463" t="s">
        <v>395</v>
      </c>
      <c r="B271" s="470">
        <v>4992</v>
      </c>
      <c r="C271" s="575">
        <v>426318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5" t="s">
        <v>1765</v>
      </c>
      <c r="B273" s="1744"/>
      <c r="C273" s="1732">
        <f t="shared" ref="C273:H273" si="10">SUM(C191,C201,C211,C216,C224,C228,C229,C259:C272)</f>
        <v>1812909</v>
      </c>
      <c r="D273" s="1732">
        <f t="shared" si="10"/>
        <v>0</v>
      </c>
      <c r="E273" s="1732">
        <f t="shared" si="10"/>
        <v>0</v>
      </c>
      <c r="F273" s="1732">
        <f t="shared" si="10"/>
        <v>16611</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1812909</v>
      </c>
      <c r="D274" s="1732">
        <f>SUM(D178,D184,D273)</f>
        <v>0</v>
      </c>
      <c r="E274" s="1732">
        <f>SUM(E178,E273)</f>
        <v>0</v>
      </c>
      <c r="F274" s="1732">
        <f t="shared" ref="F274:K274" si="11">SUM(F178,F184,F273)</f>
        <v>16611</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37742702</v>
      </c>
      <c r="D275" s="1732">
        <f t="shared" si="12"/>
        <v>3547347</v>
      </c>
      <c r="E275" s="1732">
        <f t="shared" si="12"/>
        <v>7742137</v>
      </c>
      <c r="F275" s="1732">
        <f t="shared" si="12"/>
        <v>3254721</v>
      </c>
      <c r="G275" s="1732">
        <f t="shared" si="12"/>
        <v>1483393</v>
      </c>
      <c r="H275" s="1732">
        <f t="shared" si="12"/>
        <v>101433</v>
      </c>
      <c r="I275" s="1732">
        <f t="shared" si="12"/>
        <v>64693</v>
      </c>
      <c r="J275" s="1732">
        <f t="shared" si="12"/>
        <v>159299</v>
      </c>
      <c r="K275" s="1719">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8" activePane="bottomLeft" state="frozen"/>
      <selection activeCell="A21" sqref="A21:H21"/>
      <selection pane="bottomLeft" activeCell="A21" sqref="A21:H2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418"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45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458" t="s">
        <v>315</v>
      </c>
      <c r="B3" s="2459"/>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11184350</v>
      </c>
      <c r="D5" s="466">
        <v>1641714</v>
      </c>
      <c r="E5" s="466">
        <v>170716</v>
      </c>
      <c r="F5" s="466">
        <v>439339</v>
      </c>
      <c r="G5" s="466">
        <v>0</v>
      </c>
      <c r="H5" s="466">
        <v>1328</v>
      </c>
      <c r="I5" s="467">
        <v>4140</v>
      </c>
      <c r="J5" s="467">
        <v>0</v>
      </c>
      <c r="K5" s="1688">
        <f>SUM(C5:J5)</f>
        <v>13441587</v>
      </c>
      <c r="L5" s="466">
        <v>13283628</v>
      </c>
    </row>
    <row r="6" spans="1:14" x14ac:dyDescent="0.2">
      <c r="A6" s="1521" t="s">
        <v>1508</v>
      </c>
      <c r="B6" s="615" t="s">
        <v>1506</v>
      </c>
      <c r="C6" s="477"/>
      <c r="D6" s="477"/>
      <c r="E6" s="466">
        <v>0</v>
      </c>
      <c r="F6" s="477"/>
      <c r="G6" s="477"/>
      <c r="H6" s="477"/>
      <c r="I6" s="477"/>
      <c r="J6" s="477"/>
      <c r="K6" s="1688">
        <f>SUM(C6,E6)</f>
        <v>0</v>
      </c>
      <c r="L6" s="466">
        <v>0</v>
      </c>
    </row>
    <row r="7" spans="1:14" x14ac:dyDescent="0.2">
      <c r="A7" s="1521" t="s">
        <v>165</v>
      </c>
      <c r="B7" s="615" t="s">
        <v>1024</v>
      </c>
      <c r="C7" s="467">
        <v>80335</v>
      </c>
      <c r="D7" s="467">
        <v>17668</v>
      </c>
      <c r="E7" s="467">
        <v>0</v>
      </c>
      <c r="F7" s="467">
        <v>6558</v>
      </c>
      <c r="G7" s="467">
        <v>0</v>
      </c>
      <c r="H7" s="467">
        <v>0</v>
      </c>
      <c r="I7" s="467">
        <v>608</v>
      </c>
      <c r="J7" s="467">
        <v>0</v>
      </c>
      <c r="K7" s="1688">
        <f t="shared" ref="K7:K32" si="0">SUM(C7:J7)</f>
        <v>105169</v>
      </c>
      <c r="L7" s="466">
        <v>102190</v>
      </c>
    </row>
    <row r="8" spans="1:14" x14ac:dyDescent="0.2">
      <c r="A8" s="1521" t="s">
        <v>166</v>
      </c>
      <c r="B8" s="615">
        <v>1200</v>
      </c>
      <c r="C8" s="466">
        <v>3611199</v>
      </c>
      <c r="D8" s="466">
        <v>880441</v>
      </c>
      <c r="E8" s="466">
        <v>54951</v>
      </c>
      <c r="F8" s="466">
        <v>101333</v>
      </c>
      <c r="G8" s="466">
        <v>2778</v>
      </c>
      <c r="H8" s="466">
        <v>0</v>
      </c>
      <c r="I8" s="467">
        <v>42200</v>
      </c>
      <c r="J8" s="467">
        <v>0</v>
      </c>
      <c r="K8" s="1688">
        <f t="shared" si="0"/>
        <v>4692902</v>
      </c>
      <c r="L8" s="466">
        <v>4818550</v>
      </c>
    </row>
    <row r="9" spans="1:14" x14ac:dyDescent="0.2">
      <c r="A9" s="1521" t="s">
        <v>745</v>
      </c>
      <c r="B9" s="615" t="s">
        <v>1025</v>
      </c>
      <c r="C9" s="467">
        <v>789306</v>
      </c>
      <c r="D9" s="467">
        <v>112242</v>
      </c>
      <c r="E9" s="467">
        <v>0</v>
      </c>
      <c r="F9" s="467">
        <v>0</v>
      </c>
      <c r="G9" s="467">
        <v>0</v>
      </c>
      <c r="H9" s="467">
        <v>0</v>
      </c>
      <c r="I9" s="467">
        <v>0</v>
      </c>
      <c r="J9" s="467">
        <v>0</v>
      </c>
      <c r="K9" s="1688">
        <f t="shared" si="0"/>
        <v>901548</v>
      </c>
      <c r="L9" s="466">
        <v>904410</v>
      </c>
    </row>
    <row r="10" spans="1:14" x14ac:dyDescent="0.2">
      <c r="A10" s="1521" t="s">
        <v>746</v>
      </c>
      <c r="B10" s="615">
        <v>1250</v>
      </c>
      <c r="C10" s="466">
        <v>1730703</v>
      </c>
      <c r="D10" s="466">
        <v>275575</v>
      </c>
      <c r="E10" s="466">
        <v>0</v>
      </c>
      <c r="F10" s="466">
        <v>0</v>
      </c>
      <c r="G10" s="466">
        <v>0</v>
      </c>
      <c r="H10" s="466">
        <v>0</v>
      </c>
      <c r="I10" s="467">
        <v>0</v>
      </c>
      <c r="J10" s="467">
        <v>0</v>
      </c>
      <c r="K10" s="1688">
        <f t="shared" si="0"/>
        <v>2006278</v>
      </c>
      <c r="L10" s="466">
        <v>1846899</v>
      </c>
    </row>
    <row r="11" spans="1:14" x14ac:dyDescent="0.2">
      <c r="A11" s="1521" t="s">
        <v>1192</v>
      </c>
      <c r="B11" s="615" t="s">
        <v>163</v>
      </c>
      <c r="C11" s="467">
        <v>0</v>
      </c>
      <c r="D11" s="467">
        <v>0</v>
      </c>
      <c r="E11" s="467">
        <v>0</v>
      </c>
      <c r="F11" s="467">
        <v>0</v>
      </c>
      <c r="G11" s="467">
        <v>0</v>
      </c>
      <c r="H11" s="467">
        <v>0</v>
      </c>
      <c r="I11" s="467">
        <v>0</v>
      </c>
      <c r="J11" s="467">
        <v>0</v>
      </c>
      <c r="K11" s="1688">
        <f t="shared" si="0"/>
        <v>0</v>
      </c>
      <c r="L11" s="466">
        <v>0</v>
      </c>
    </row>
    <row r="12" spans="1:14" x14ac:dyDescent="0.2">
      <c r="A12" s="1521" t="s">
        <v>1019</v>
      </c>
      <c r="B12" s="615">
        <v>1300</v>
      </c>
      <c r="C12" s="466">
        <v>0</v>
      </c>
      <c r="D12" s="466">
        <v>0</v>
      </c>
      <c r="E12" s="466">
        <v>0</v>
      </c>
      <c r="F12" s="466">
        <v>0</v>
      </c>
      <c r="G12" s="466">
        <v>0</v>
      </c>
      <c r="H12" s="466">
        <v>0</v>
      </c>
      <c r="I12" s="467">
        <v>0</v>
      </c>
      <c r="J12" s="467">
        <v>0</v>
      </c>
      <c r="K12" s="1688">
        <f t="shared" si="0"/>
        <v>0</v>
      </c>
      <c r="L12" s="466">
        <v>0</v>
      </c>
    </row>
    <row r="13" spans="1:14" x14ac:dyDescent="0.2">
      <c r="A13" s="1521" t="s">
        <v>747</v>
      </c>
      <c r="B13" s="615">
        <v>1400</v>
      </c>
      <c r="C13" s="466">
        <v>0</v>
      </c>
      <c r="D13" s="466">
        <v>0</v>
      </c>
      <c r="E13" s="466">
        <v>0</v>
      </c>
      <c r="F13" s="466">
        <v>0</v>
      </c>
      <c r="G13" s="466">
        <v>0</v>
      </c>
      <c r="H13" s="466">
        <v>0</v>
      </c>
      <c r="I13" s="467">
        <v>0</v>
      </c>
      <c r="J13" s="467">
        <v>0</v>
      </c>
      <c r="K13" s="1688">
        <f t="shared" si="0"/>
        <v>0</v>
      </c>
      <c r="L13" s="466">
        <v>0</v>
      </c>
    </row>
    <row r="14" spans="1:14" x14ac:dyDescent="0.2">
      <c r="A14" s="1521" t="s">
        <v>1020</v>
      </c>
      <c r="B14" s="615">
        <v>1500</v>
      </c>
      <c r="C14" s="466">
        <v>418000</v>
      </c>
      <c r="D14" s="466">
        <v>8075</v>
      </c>
      <c r="E14" s="466">
        <v>15420</v>
      </c>
      <c r="F14" s="466">
        <v>6408</v>
      </c>
      <c r="G14" s="466">
        <v>0</v>
      </c>
      <c r="H14" s="466">
        <v>5915</v>
      </c>
      <c r="I14" s="467">
        <v>0</v>
      </c>
      <c r="J14" s="467">
        <v>0</v>
      </c>
      <c r="K14" s="1688">
        <f t="shared" si="0"/>
        <v>453818</v>
      </c>
      <c r="L14" s="466">
        <v>374243</v>
      </c>
    </row>
    <row r="15" spans="1:14" x14ac:dyDescent="0.2">
      <c r="A15" s="1521" t="s">
        <v>1021</v>
      </c>
      <c r="B15" s="615">
        <v>1600</v>
      </c>
      <c r="C15" s="466">
        <v>110998</v>
      </c>
      <c r="D15" s="466">
        <v>1613</v>
      </c>
      <c r="E15" s="466">
        <v>1134</v>
      </c>
      <c r="F15" s="466">
        <v>595</v>
      </c>
      <c r="G15" s="466">
        <v>0</v>
      </c>
      <c r="H15" s="466">
        <v>0</v>
      </c>
      <c r="I15" s="467">
        <v>0</v>
      </c>
      <c r="J15" s="467">
        <v>0</v>
      </c>
      <c r="K15" s="1688">
        <f t="shared" si="0"/>
        <v>114340</v>
      </c>
      <c r="L15" s="466">
        <v>125569</v>
      </c>
    </row>
    <row r="16" spans="1:14" x14ac:dyDescent="0.2">
      <c r="A16" s="1521" t="s">
        <v>1044</v>
      </c>
      <c r="B16" s="615" t="s">
        <v>444</v>
      </c>
      <c r="C16" s="466">
        <v>0</v>
      </c>
      <c r="D16" s="466">
        <v>0</v>
      </c>
      <c r="E16" s="466">
        <v>0</v>
      </c>
      <c r="F16" s="466">
        <v>0</v>
      </c>
      <c r="G16" s="466">
        <v>0</v>
      </c>
      <c r="H16" s="466">
        <v>0</v>
      </c>
      <c r="I16" s="467">
        <v>0</v>
      </c>
      <c r="J16" s="467">
        <v>0</v>
      </c>
      <c r="K16" s="1688">
        <f t="shared" si="0"/>
        <v>0</v>
      </c>
      <c r="L16" s="466">
        <v>0</v>
      </c>
    </row>
    <row r="17" spans="1:12" x14ac:dyDescent="0.2">
      <c r="A17" s="1521" t="s">
        <v>748</v>
      </c>
      <c r="B17" s="615" t="s">
        <v>164</v>
      </c>
      <c r="C17" s="467">
        <v>0</v>
      </c>
      <c r="D17" s="467">
        <v>0</v>
      </c>
      <c r="E17" s="467">
        <v>0</v>
      </c>
      <c r="F17" s="467">
        <v>0</v>
      </c>
      <c r="G17" s="467">
        <v>0</v>
      </c>
      <c r="H17" s="467">
        <v>0</v>
      </c>
      <c r="I17" s="467">
        <v>0</v>
      </c>
      <c r="J17" s="467">
        <v>0</v>
      </c>
      <c r="K17" s="1688">
        <f t="shared" si="0"/>
        <v>0</v>
      </c>
      <c r="L17" s="466">
        <v>0</v>
      </c>
    </row>
    <row r="18" spans="1:12" x14ac:dyDescent="0.2">
      <c r="A18" s="1521" t="s">
        <v>1148</v>
      </c>
      <c r="B18" s="615">
        <v>1800</v>
      </c>
      <c r="C18" s="466">
        <v>1449603</v>
      </c>
      <c r="D18" s="466">
        <v>233688</v>
      </c>
      <c r="E18" s="466">
        <v>16233</v>
      </c>
      <c r="F18" s="466">
        <v>46660</v>
      </c>
      <c r="G18" s="466">
        <v>0</v>
      </c>
      <c r="H18" s="466">
        <v>0</v>
      </c>
      <c r="I18" s="467">
        <v>0</v>
      </c>
      <c r="J18" s="467">
        <v>0</v>
      </c>
      <c r="K18" s="1688">
        <f t="shared" si="0"/>
        <v>1746184</v>
      </c>
      <c r="L18" s="466">
        <v>1739622</v>
      </c>
    </row>
    <row r="19" spans="1:12" x14ac:dyDescent="0.2">
      <c r="A19" s="1521" t="s">
        <v>136</v>
      </c>
      <c r="B19" s="615">
        <v>1900</v>
      </c>
      <c r="C19" s="466">
        <v>0</v>
      </c>
      <c r="D19" s="466">
        <v>0</v>
      </c>
      <c r="E19" s="466">
        <v>0</v>
      </c>
      <c r="F19" s="466">
        <v>0</v>
      </c>
      <c r="G19" s="466">
        <v>0</v>
      </c>
      <c r="H19" s="466">
        <v>0</v>
      </c>
      <c r="I19" s="467">
        <v>0</v>
      </c>
      <c r="J19" s="467">
        <v>0</v>
      </c>
      <c r="K19" s="1688">
        <f t="shared" si="0"/>
        <v>0</v>
      </c>
      <c r="L19" s="466">
        <v>0</v>
      </c>
    </row>
    <row r="20" spans="1:12" x14ac:dyDescent="0.2">
      <c r="A20" s="1522" t="s">
        <v>762</v>
      </c>
      <c r="B20" s="603" t="s">
        <v>749</v>
      </c>
      <c r="C20" s="477"/>
      <c r="D20" s="477"/>
      <c r="E20" s="477"/>
      <c r="F20" s="477"/>
      <c r="G20" s="477"/>
      <c r="H20" s="474">
        <v>0</v>
      </c>
      <c r="I20" s="617"/>
      <c r="J20" s="475"/>
      <c r="K20" s="1688">
        <f t="shared" si="0"/>
        <v>0</v>
      </c>
      <c r="L20" s="471">
        <v>0</v>
      </c>
    </row>
    <row r="21" spans="1:12" x14ac:dyDescent="0.2">
      <c r="A21" s="1522" t="s">
        <v>763</v>
      </c>
      <c r="B21" s="603" t="s">
        <v>750</v>
      </c>
      <c r="C21" s="477"/>
      <c r="D21" s="477"/>
      <c r="E21" s="477"/>
      <c r="F21" s="477"/>
      <c r="G21" s="477"/>
      <c r="H21" s="474">
        <v>0</v>
      </c>
      <c r="I21" s="617"/>
      <c r="J21" s="477"/>
      <c r="K21" s="1688">
        <f t="shared" si="0"/>
        <v>0</v>
      </c>
      <c r="L21" s="471">
        <v>0</v>
      </c>
    </row>
    <row r="22" spans="1:12" x14ac:dyDescent="0.2">
      <c r="A22" s="1522" t="s">
        <v>764</v>
      </c>
      <c r="B22" s="603" t="s">
        <v>751</v>
      </c>
      <c r="C22" s="477"/>
      <c r="D22" s="477"/>
      <c r="E22" s="477"/>
      <c r="F22" s="477"/>
      <c r="G22" s="477"/>
      <c r="H22" s="474">
        <v>1040556</v>
      </c>
      <c r="I22" s="617"/>
      <c r="J22" s="477"/>
      <c r="K22" s="1688">
        <f t="shared" si="0"/>
        <v>1040556</v>
      </c>
      <c r="L22" s="471">
        <v>1000000</v>
      </c>
    </row>
    <row r="23" spans="1:12" x14ac:dyDescent="0.2">
      <c r="A23" s="1522" t="s">
        <v>765</v>
      </c>
      <c r="B23" s="603" t="s">
        <v>752</v>
      </c>
      <c r="C23" s="477"/>
      <c r="D23" s="477"/>
      <c r="E23" s="477"/>
      <c r="F23" s="477"/>
      <c r="G23" s="477"/>
      <c r="H23" s="474">
        <v>0</v>
      </c>
      <c r="I23" s="617"/>
      <c r="J23" s="477"/>
      <c r="K23" s="1688">
        <f t="shared" si="0"/>
        <v>0</v>
      </c>
      <c r="L23" s="471">
        <v>0</v>
      </c>
    </row>
    <row r="24" spans="1:12" ht="12.75" customHeight="1" x14ac:dyDescent="0.2">
      <c r="A24" s="1522" t="s">
        <v>766</v>
      </c>
      <c r="B24" s="603" t="s">
        <v>753</v>
      </c>
      <c r="C24" s="477"/>
      <c r="D24" s="477"/>
      <c r="E24" s="477"/>
      <c r="F24" s="477"/>
      <c r="G24" s="477"/>
      <c r="H24" s="474">
        <v>0</v>
      </c>
      <c r="I24" s="617"/>
      <c r="J24" s="477"/>
      <c r="K24" s="1688">
        <f t="shared" si="0"/>
        <v>0</v>
      </c>
      <c r="L24" s="471">
        <v>0</v>
      </c>
    </row>
    <row r="25" spans="1:12" ht="12.75" customHeight="1" x14ac:dyDescent="0.2">
      <c r="A25" s="1522" t="s">
        <v>835</v>
      </c>
      <c r="B25" s="603" t="s">
        <v>754</v>
      </c>
      <c r="C25" s="477"/>
      <c r="D25" s="477"/>
      <c r="E25" s="477"/>
      <c r="F25" s="477"/>
      <c r="G25" s="477"/>
      <c r="H25" s="474">
        <v>0</v>
      </c>
      <c r="I25" s="617"/>
      <c r="J25" s="477"/>
      <c r="K25" s="1688">
        <f t="shared" si="0"/>
        <v>0</v>
      </c>
      <c r="L25" s="471">
        <v>0</v>
      </c>
    </row>
    <row r="26" spans="1:12" x14ac:dyDescent="0.2">
      <c r="A26" s="1522" t="s">
        <v>643</v>
      </c>
      <c r="B26" s="603" t="s">
        <v>755</v>
      </c>
      <c r="C26" s="477"/>
      <c r="D26" s="477"/>
      <c r="E26" s="477"/>
      <c r="F26" s="477"/>
      <c r="G26" s="477"/>
      <c r="H26" s="474">
        <v>0</v>
      </c>
      <c r="I26" s="617"/>
      <c r="J26" s="477"/>
      <c r="K26" s="1688">
        <f t="shared" si="0"/>
        <v>0</v>
      </c>
      <c r="L26" s="471">
        <v>0</v>
      </c>
    </row>
    <row r="27" spans="1:12" x14ac:dyDescent="0.2">
      <c r="A27" s="1522" t="s">
        <v>644</v>
      </c>
      <c r="B27" s="603" t="s">
        <v>756</v>
      </c>
      <c r="C27" s="477"/>
      <c r="D27" s="477"/>
      <c r="E27" s="477"/>
      <c r="F27" s="477"/>
      <c r="G27" s="477"/>
      <c r="H27" s="474">
        <v>0</v>
      </c>
      <c r="I27" s="617"/>
      <c r="J27" s="477"/>
      <c r="K27" s="1688">
        <f t="shared" si="0"/>
        <v>0</v>
      </c>
      <c r="L27" s="471">
        <v>0</v>
      </c>
    </row>
    <row r="28" spans="1:12" x14ac:dyDescent="0.2">
      <c r="A28" s="1522" t="s">
        <v>152</v>
      </c>
      <c r="B28" s="603" t="s">
        <v>757</v>
      </c>
      <c r="C28" s="477"/>
      <c r="D28" s="477"/>
      <c r="E28" s="477"/>
      <c r="F28" s="477"/>
      <c r="G28" s="477"/>
      <c r="H28" s="474">
        <v>0</v>
      </c>
      <c r="I28" s="617"/>
      <c r="J28" s="477"/>
      <c r="K28" s="1688">
        <f t="shared" si="0"/>
        <v>0</v>
      </c>
      <c r="L28" s="471">
        <v>0</v>
      </c>
    </row>
    <row r="29" spans="1:12" x14ac:dyDescent="0.2">
      <c r="A29" s="1522" t="s">
        <v>153</v>
      </c>
      <c r="B29" s="603" t="s">
        <v>758</v>
      </c>
      <c r="C29" s="477"/>
      <c r="D29" s="477"/>
      <c r="E29" s="477"/>
      <c r="F29" s="477"/>
      <c r="G29" s="477"/>
      <c r="H29" s="474">
        <v>0</v>
      </c>
      <c r="I29" s="617"/>
      <c r="J29" s="477"/>
      <c r="K29" s="1688">
        <f t="shared" si="0"/>
        <v>0</v>
      </c>
      <c r="L29" s="471">
        <v>0</v>
      </c>
    </row>
    <row r="30" spans="1:12" x14ac:dyDescent="0.2">
      <c r="A30" s="1522" t="s">
        <v>154</v>
      </c>
      <c r="B30" s="603" t="s">
        <v>759</v>
      </c>
      <c r="C30" s="477"/>
      <c r="D30" s="477"/>
      <c r="E30" s="477"/>
      <c r="F30" s="477"/>
      <c r="G30" s="477"/>
      <c r="H30" s="474">
        <v>0</v>
      </c>
      <c r="I30" s="617"/>
      <c r="J30" s="477"/>
      <c r="K30" s="1688">
        <f t="shared" si="0"/>
        <v>0</v>
      </c>
      <c r="L30" s="471">
        <v>0</v>
      </c>
    </row>
    <row r="31" spans="1:12" x14ac:dyDescent="0.2">
      <c r="A31" s="1522" t="s">
        <v>155</v>
      </c>
      <c r="B31" s="603" t="s">
        <v>760</v>
      </c>
      <c r="C31" s="477"/>
      <c r="D31" s="477"/>
      <c r="E31" s="477"/>
      <c r="F31" s="477"/>
      <c r="G31" s="477"/>
      <c r="H31" s="474">
        <v>0</v>
      </c>
      <c r="I31" s="617"/>
      <c r="J31" s="477"/>
      <c r="K31" s="1688">
        <f t="shared" si="0"/>
        <v>0</v>
      </c>
      <c r="L31" s="471">
        <v>0</v>
      </c>
    </row>
    <row r="32" spans="1:12" x14ac:dyDescent="0.2">
      <c r="A32" s="1523" t="s">
        <v>1191</v>
      </c>
      <c r="B32" s="615" t="s">
        <v>761</v>
      </c>
      <c r="C32" s="477"/>
      <c r="D32" s="477"/>
      <c r="E32" s="477"/>
      <c r="F32" s="477"/>
      <c r="G32" s="477"/>
      <c r="H32" s="474">
        <v>0</v>
      </c>
      <c r="I32" s="617"/>
      <c r="J32" s="480"/>
      <c r="K32" s="1688">
        <f t="shared" si="0"/>
        <v>0</v>
      </c>
      <c r="L32" s="471">
        <v>0</v>
      </c>
    </row>
    <row r="33" spans="1:14" ht="12.75" customHeight="1" thickBot="1" x14ac:dyDescent="0.25">
      <c r="A33" s="1685" t="s">
        <v>1767</v>
      </c>
      <c r="B33" s="1686" t="s">
        <v>591</v>
      </c>
      <c r="C33" s="1687">
        <f>SUM(C5:C32)</f>
        <v>19374494</v>
      </c>
      <c r="D33" s="1687">
        <f t="shared" ref="D33:L33" si="1">SUM(D5:D32)</f>
        <v>3171016</v>
      </c>
      <c r="E33" s="1687">
        <f t="shared" si="1"/>
        <v>258454</v>
      </c>
      <c r="F33" s="1687">
        <f t="shared" si="1"/>
        <v>600893</v>
      </c>
      <c r="G33" s="1687">
        <f t="shared" si="1"/>
        <v>2778</v>
      </c>
      <c r="H33" s="1687">
        <f t="shared" si="1"/>
        <v>1047799</v>
      </c>
      <c r="I33" s="1687">
        <f t="shared" si="1"/>
        <v>46948</v>
      </c>
      <c r="J33" s="1687">
        <f t="shared" si="1"/>
        <v>0</v>
      </c>
      <c r="K33" s="1687">
        <f t="shared" si="1"/>
        <v>24502382</v>
      </c>
      <c r="L33" s="1687">
        <f t="shared" si="1"/>
        <v>24195111</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980594</v>
      </c>
      <c r="D36" s="481">
        <v>104681</v>
      </c>
      <c r="E36" s="481">
        <v>69</v>
      </c>
      <c r="F36" s="481">
        <v>0</v>
      </c>
      <c r="G36" s="481">
        <v>0</v>
      </c>
      <c r="H36" s="481">
        <v>0</v>
      </c>
      <c r="I36" s="467">
        <v>0</v>
      </c>
      <c r="J36" s="467">
        <v>0</v>
      </c>
      <c r="K36" s="1688">
        <f t="shared" ref="K36:K41" si="2">SUM(C36:J36)</f>
        <v>1085344</v>
      </c>
      <c r="L36" s="466">
        <v>1090681</v>
      </c>
    </row>
    <row r="37" spans="1:14" x14ac:dyDescent="0.2">
      <c r="A37" s="1521" t="s">
        <v>1151</v>
      </c>
      <c r="B37" s="615">
        <v>2120</v>
      </c>
      <c r="C37" s="466">
        <v>0</v>
      </c>
      <c r="D37" s="466">
        <v>0</v>
      </c>
      <c r="E37" s="466">
        <v>0</v>
      </c>
      <c r="F37" s="466">
        <v>0</v>
      </c>
      <c r="G37" s="466">
        <v>0</v>
      </c>
      <c r="H37" s="466">
        <v>0</v>
      </c>
      <c r="I37" s="467">
        <v>0</v>
      </c>
      <c r="J37" s="467">
        <v>0</v>
      </c>
      <c r="K37" s="1688">
        <f t="shared" si="2"/>
        <v>0</v>
      </c>
      <c r="L37" s="466">
        <v>0</v>
      </c>
    </row>
    <row r="38" spans="1:14" x14ac:dyDescent="0.2">
      <c r="A38" s="1521" t="s">
        <v>207</v>
      </c>
      <c r="B38" s="615">
        <v>2130</v>
      </c>
      <c r="C38" s="466">
        <v>305112</v>
      </c>
      <c r="D38" s="466">
        <v>69015</v>
      </c>
      <c r="E38" s="466">
        <v>139760</v>
      </c>
      <c r="F38" s="466">
        <v>3178</v>
      </c>
      <c r="G38" s="466">
        <v>0</v>
      </c>
      <c r="H38" s="466">
        <v>0</v>
      </c>
      <c r="I38" s="467">
        <v>0</v>
      </c>
      <c r="J38" s="467">
        <v>0</v>
      </c>
      <c r="K38" s="1688">
        <f t="shared" si="2"/>
        <v>517065</v>
      </c>
      <c r="L38" s="466">
        <v>558728</v>
      </c>
    </row>
    <row r="39" spans="1:14" x14ac:dyDescent="0.2">
      <c r="A39" s="1521" t="s">
        <v>208</v>
      </c>
      <c r="B39" s="615">
        <v>2140</v>
      </c>
      <c r="C39" s="466">
        <v>310565</v>
      </c>
      <c r="D39" s="466">
        <v>49314</v>
      </c>
      <c r="E39" s="466">
        <v>12805</v>
      </c>
      <c r="F39" s="466">
        <v>20</v>
      </c>
      <c r="G39" s="466">
        <v>0</v>
      </c>
      <c r="H39" s="466">
        <v>0</v>
      </c>
      <c r="I39" s="467">
        <v>0</v>
      </c>
      <c r="J39" s="467">
        <v>0</v>
      </c>
      <c r="K39" s="1688">
        <f t="shared" si="2"/>
        <v>372704</v>
      </c>
      <c r="L39" s="466">
        <v>391060</v>
      </c>
    </row>
    <row r="40" spans="1:14" x14ac:dyDescent="0.2">
      <c r="A40" s="1521" t="s">
        <v>209</v>
      </c>
      <c r="B40" s="615">
        <v>2150</v>
      </c>
      <c r="C40" s="466">
        <v>764420</v>
      </c>
      <c r="D40" s="466">
        <v>92466</v>
      </c>
      <c r="E40" s="466">
        <v>71391</v>
      </c>
      <c r="F40" s="466">
        <v>381</v>
      </c>
      <c r="G40" s="466">
        <v>0</v>
      </c>
      <c r="H40" s="466">
        <v>0</v>
      </c>
      <c r="I40" s="467">
        <v>705</v>
      </c>
      <c r="J40" s="467">
        <v>0</v>
      </c>
      <c r="K40" s="1688">
        <f t="shared" si="2"/>
        <v>929363</v>
      </c>
      <c r="L40" s="466">
        <v>952622</v>
      </c>
    </row>
    <row r="41" spans="1:14" x14ac:dyDescent="0.2">
      <c r="A41" s="1521" t="s">
        <v>1768</v>
      </c>
      <c r="B41" s="615">
        <v>2190</v>
      </c>
      <c r="C41" s="466">
        <v>442329</v>
      </c>
      <c r="D41" s="466">
        <v>41010</v>
      </c>
      <c r="E41" s="466">
        <v>0</v>
      </c>
      <c r="F41" s="466">
        <v>264</v>
      </c>
      <c r="G41" s="466">
        <v>0</v>
      </c>
      <c r="H41" s="466">
        <v>0</v>
      </c>
      <c r="I41" s="467">
        <v>0</v>
      </c>
      <c r="J41" s="467">
        <v>0</v>
      </c>
      <c r="K41" s="1688">
        <f t="shared" si="2"/>
        <v>483603</v>
      </c>
      <c r="L41" s="466">
        <v>477121</v>
      </c>
    </row>
    <row r="42" spans="1:14" ht="12.75" customHeight="1" thickBot="1" x14ac:dyDescent="0.25">
      <c r="A42" s="1685" t="s">
        <v>581</v>
      </c>
      <c r="B42" s="1686" t="s">
        <v>740</v>
      </c>
      <c r="C42" s="1687">
        <f>SUM(C36:C41)</f>
        <v>2803020</v>
      </c>
      <c r="D42" s="1687">
        <f t="shared" ref="D42:L42" si="3">SUM(D36:D41)</f>
        <v>356486</v>
      </c>
      <c r="E42" s="1687">
        <f t="shared" si="3"/>
        <v>224025</v>
      </c>
      <c r="F42" s="1687">
        <f t="shared" si="3"/>
        <v>3843</v>
      </c>
      <c r="G42" s="1687">
        <f t="shared" si="3"/>
        <v>0</v>
      </c>
      <c r="H42" s="1687">
        <f t="shared" si="3"/>
        <v>0</v>
      </c>
      <c r="I42" s="1687">
        <f t="shared" si="3"/>
        <v>705</v>
      </c>
      <c r="J42" s="1687">
        <f t="shared" si="3"/>
        <v>0</v>
      </c>
      <c r="K42" s="1687">
        <f t="shared" si="3"/>
        <v>3388079</v>
      </c>
      <c r="L42" s="1687">
        <f t="shared" si="3"/>
        <v>3470212</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729598</v>
      </c>
      <c r="D44" s="481">
        <v>136515</v>
      </c>
      <c r="E44" s="481">
        <v>45312</v>
      </c>
      <c r="F44" s="481">
        <v>38556</v>
      </c>
      <c r="G44" s="481">
        <v>0</v>
      </c>
      <c r="H44" s="481">
        <v>0</v>
      </c>
      <c r="I44" s="467">
        <v>0</v>
      </c>
      <c r="J44" s="467">
        <v>0</v>
      </c>
      <c r="K44" s="1689">
        <f>SUM(C44:J44)</f>
        <v>949981</v>
      </c>
      <c r="L44" s="481">
        <v>938173</v>
      </c>
    </row>
    <row r="45" spans="1:14" x14ac:dyDescent="0.2">
      <c r="A45" s="1521" t="s">
        <v>869</v>
      </c>
      <c r="B45" s="615">
        <v>2220</v>
      </c>
      <c r="C45" s="466">
        <v>754899</v>
      </c>
      <c r="D45" s="466">
        <v>119368</v>
      </c>
      <c r="E45" s="466">
        <v>199</v>
      </c>
      <c r="F45" s="466">
        <v>22116</v>
      </c>
      <c r="G45" s="466">
        <v>0</v>
      </c>
      <c r="H45" s="466">
        <v>0</v>
      </c>
      <c r="I45" s="467">
        <v>2771</v>
      </c>
      <c r="J45" s="467">
        <v>0</v>
      </c>
      <c r="K45" s="1689">
        <f>SUM(C45:J45)</f>
        <v>899353</v>
      </c>
      <c r="L45" s="466">
        <v>927227</v>
      </c>
    </row>
    <row r="46" spans="1:14" x14ac:dyDescent="0.2">
      <c r="A46" s="1521" t="s">
        <v>870</v>
      </c>
      <c r="B46" s="615">
        <v>2230</v>
      </c>
      <c r="C46" s="466">
        <v>601</v>
      </c>
      <c r="D46" s="466">
        <v>14</v>
      </c>
      <c r="E46" s="466">
        <v>101896</v>
      </c>
      <c r="F46" s="466">
        <v>746</v>
      </c>
      <c r="G46" s="466">
        <v>0</v>
      </c>
      <c r="H46" s="466">
        <v>0</v>
      </c>
      <c r="I46" s="467">
        <v>0</v>
      </c>
      <c r="J46" s="467">
        <v>0</v>
      </c>
      <c r="K46" s="1689">
        <f>SUM(C46:J46)</f>
        <v>103257</v>
      </c>
      <c r="L46" s="466">
        <v>126500</v>
      </c>
    </row>
    <row r="47" spans="1:14" ht="12.75" customHeight="1" thickBot="1" x14ac:dyDescent="0.25">
      <c r="A47" s="1685" t="s">
        <v>582</v>
      </c>
      <c r="B47" s="1686" t="s">
        <v>32</v>
      </c>
      <c r="C47" s="1687">
        <f>SUM(C44:C46)</f>
        <v>1485098</v>
      </c>
      <c r="D47" s="1687">
        <f t="shared" ref="D47:K47" si="4">SUM(D44:D46)</f>
        <v>255897</v>
      </c>
      <c r="E47" s="1687">
        <f t="shared" si="4"/>
        <v>147407</v>
      </c>
      <c r="F47" s="1687">
        <f t="shared" si="4"/>
        <v>61418</v>
      </c>
      <c r="G47" s="1687">
        <f t="shared" si="4"/>
        <v>0</v>
      </c>
      <c r="H47" s="1687">
        <f t="shared" si="4"/>
        <v>0</v>
      </c>
      <c r="I47" s="1687">
        <f t="shared" si="4"/>
        <v>2771</v>
      </c>
      <c r="J47" s="1687">
        <f t="shared" si="4"/>
        <v>0</v>
      </c>
      <c r="K47" s="1687">
        <f t="shared" si="4"/>
        <v>1952591</v>
      </c>
      <c r="L47" s="1687">
        <f>SUM(L44:L46)</f>
        <v>1991900</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10331</v>
      </c>
      <c r="D49" s="481">
        <v>64000</v>
      </c>
      <c r="E49" s="481">
        <v>119695</v>
      </c>
      <c r="F49" s="481">
        <v>1311</v>
      </c>
      <c r="G49" s="481">
        <v>0</v>
      </c>
      <c r="H49" s="481">
        <v>9177</v>
      </c>
      <c r="I49" s="467">
        <v>0</v>
      </c>
      <c r="J49" s="467">
        <v>0</v>
      </c>
      <c r="K49" s="1689">
        <f>SUM(C49:J49)</f>
        <v>204514</v>
      </c>
      <c r="L49" s="481">
        <v>233350</v>
      </c>
    </row>
    <row r="50" spans="1:14" x14ac:dyDescent="0.2">
      <c r="A50" s="1521" t="s">
        <v>872</v>
      </c>
      <c r="B50" s="615">
        <v>2320</v>
      </c>
      <c r="C50" s="466">
        <v>203543</v>
      </c>
      <c r="D50" s="466">
        <v>39825</v>
      </c>
      <c r="E50" s="466">
        <v>8779</v>
      </c>
      <c r="F50" s="466">
        <v>2054</v>
      </c>
      <c r="G50" s="466">
        <v>0</v>
      </c>
      <c r="H50" s="466">
        <v>4780</v>
      </c>
      <c r="I50" s="467">
        <v>0</v>
      </c>
      <c r="J50" s="467">
        <v>0</v>
      </c>
      <c r="K50" s="1689">
        <f>SUM(C50:J50)</f>
        <v>258981</v>
      </c>
      <c r="L50" s="466">
        <v>299513</v>
      </c>
    </row>
    <row r="51" spans="1:14" x14ac:dyDescent="0.2">
      <c r="A51" s="1521" t="s">
        <v>44</v>
      </c>
      <c r="B51" s="615">
        <v>2330</v>
      </c>
      <c r="C51" s="466">
        <v>356804</v>
      </c>
      <c r="D51" s="466">
        <v>70703</v>
      </c>
      <c r="E51" s="466">
        <v>43291</v>
      </c>
      <c r="F51" s="466">
        <v>1884</v>
      </c>
      <c r="G51" s="466">
        <v>0</v>
      </c>
      <c r="H51" s="466">
        <v>1257</v>
      </c>
      <c r="I51" s="467">
        <v>1449</v>
      </c>
      <c r="J51" s="467">
        <v>0</v>
      </c>
      <c r="K51" s="1689">
        <f>SUM(C51:J51)</f>
        <v>475388</v>
      </c>
      <c r="L51" s="466">
        <v>462369</v>
      </c>
    </row>
    <row r="52" spans="1:14" ht="22.5" x14ac:dyDescent="0.2">
      <c r="A52" s="1522" t="s">
        <v>316</v>
      </c>
      <c r="B52" s="628" t="s">
        <v>384</v>
      </c>
      <c r="C52" s="474">
        <v>0</v>
      </c>
      <c r="D52" s="474">
        <v>0</v>
      </c>
      <c r="E52" s="474">
        <v>191762</v>
      </c>
      <c r="F52" s="474">
        <v>0</v>
      </c>
      <c r="G52" s="474">
        <v>0</v>
      </c>
      <c r="H52" s="474">
        <v>0</v>
      </c>
      <c r="I52" s="474">
        <v>0</v>
      </c>
      <c r="J52" s="474">
        <v>0</v>
      </c>
      <c r="K52" s="1689">
        <f>SUM(C52:J52)</f>
        <v>191762</v>
      </c>
      <c r="L52" s="474">
        <v>189047</v>
      </c>
    </row>
    <row r="53" spans="1:14" ht="12.75" customHeight="1" thickBot="1" x14ac:dyDescent="0.25">
      <c r="A53" s="1685" t="s">
        <v>741</v>
      </c>
      <c r="B53" s="1686" t="s">
        <v>33</v>
      </c>
      <c r="C53" s="1687">
        <f>SUM(C49:C52)</f>
        <v>570678</v>
      </c>
      <c r="D53" s="1687">
        <f t="shared" ref="D53:L53" si="5">SUM(D49:D52)</f>
        <v>174528</v>
      </c>
      <c r="E53" s="1687">
        <f t="shared" si="5"/>
        <v>363527</v>
      </c>
      <c r="F53" s="1687">
        <f t="shared" si="5"/>
        <v>5249</v>
      </c>
      <c r="G53" s="1687">
        <f t="shared" si="5"/>
        <v>0</v>
      </c>
      <c r="H53" s="1687">
        <f t="shared" si="5"/>
        <v>15214</v>
      </c>
      <c r="I53" s="1687">
        <f t="shared" si="5"/>
        <v>1449</v>
      </c>
      <c r="J53" s="1687">
        <f t="shared" si="5"/>
        <v>0</v>
      </c>
      <c r="K53" s="1687">
        <f t="shared" si="5"/>
        <v>1130645</v>
      </c>
      <c r="L53" s="1687">
        <f t="shared" si="5"/>
        <v>1184279</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1439082</v>
      </c>
      <c r="D55" s="481">
        <v>296307</v>
      </c>
      <c r="E55" s="481">
        <v>3583</v>
      </c>
      <c r="F55" s="481">
        <v>8076</v>
      </c>
      <c r="G55" s="481">
        <v>2429</v>
      </c>
      <c r="H55" s="481">
        <v>5755</v>
      </c>
      <c r="I55" s="467">
        <v>2537</v>
      </c>
      <c r="J55" s="467">
        <v>0</v>
      </c>
      <c r="K55" s="1689">
        <f>SUM(C55:J55)</f>
        <v>1757769</v>
      </c>
      <c r="L55" s="481">
        <v>1749394</v>
      </c>
    </row>
    <row r="56" spans="1:14" ht="12.75" customHeight="1" x14ac:dyDescent="0.2">
      <c r="A56" s="1525" t="s">
        <v>394</v>
      </c>
      <c r="B56" s="629">
        <v>2490</v>
      </c>
      <c r="C56" s="466">
        <v>0</v>
      </c>
      <c r="D56" s="466">
        <v>0</v>
      </c>
      <c r="E56" s="466">
        <v>0</v>
      </c>
      <c r="F56" s="466">
        <v>0</v>
      </c>
      <c r="G56" s="466">
        <v>0</v>
      </c>
      <c r="H56" s="466">
        <v>0</v>
      </c>
      <c r="I56" s="467">
        <v>0</v>
      </c>
      <c r="J56" s="467">
        <v>0</v>
      </c>
      <c r="K56" s="1689">
        <f>SUM(C56:J56)</f>
        <v>0</v>
      </c>
      <c r="L56" s="466">
        <v>0</v>
      </c>
    </row>
    <row r="57" spans="1:14" s="343" customFormat="1" ht="12.75" customHeight="1" thickBot="1" x14ac:dyDescent="0.25">
      <c r="A57" s="1685" t="s">
        <v>281</v>
      </c>
      <c r="B57" s="1690" t="s">
        <v>34</v>
      </c>
      <c r="C57" s="1691">
        <f>SUM(C55:C56)</f>
        <v>1439082</v>
      </c>
      <c r="D57" s="1691">
        <f t="shared" ref="D57:K57" si="6">SUM(D55:D56)</f>
        <v>296307</v>
      </c>
      <c r="E57" s="1691">
        <f t="shared" si="6"/>
        <v>3583</v>
      </c>
      <c r="F57" s="1691">
        <f t="shared" si="6"/>
        <v>8076</v>
      </c>
      <c r="G57" s="1691">
        <f t="shared" si="6"/>
        <v>2429</v>
      </c>
      <c r="H57" s="1691">
        <f t="shared" si="6"/>
        <v>5755</v>
      </c>
      <c r="I57" s="1691">
        <f t="shared" si="6"/>
        <v>2537</v>
      </c>
      <c r="J57" s="1691">
        <f t="shared" si="6"/>
        <v>0</v>
      </c>
      <c r="K57" s="1691">
        <f t="shared" si="6"/>
        <v>1757769</v>
      </c>
      <c r="L57" s="1687">
        <f>SUM(L55:L56)</f>
        <v>1749394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139515</v>
      </c>
      <c r="D59" s="481">
        <v>27521</v>
      </c>
      <c r="E59" s="481">
        <v>0</v>
      </c>
      <c r="F59" s="481">
        <v>0</v>
      </c>
      <c r="G59" s="481">
        <v>0</v>
      </c>
      <c r="H59" s="481">
        <v>0</v>
      </c>
      <c r="I59" s="467">
        <v>0</v>
      </c>
      <c r="J59" s="467">
        <v>0</v>
      </c>
      <c r="K59" s="1689">
        <f t="shared" ref="K59:K64" si="7">SUM(C59:J59)</f>
        <v>167036</v>
      </c>
      <c r="L59" s="481">
        <v>167819</v>
      </c>
      <c r="M59" s="610"/>
      <c r="N59" s="610"/>
    </row>
    <row r="60" spans="1:14" s="343" customFormat="1" x14ac:dyDescent="0.2">
      <c r="A60" s="1521" t="s">
        <v>483</v>
      </c>
      <c r="B60" s="615">
        <v>2520</v>
      </c>
      <c r="C60" s="466">
        <v>313576</v>
      </c>
      <c r="D60" s="466">
        <v>46492</v>
      </c>
      <c r="E60" s="466">
        <v>105768</v>
      </c>
      <c r="F60" s="466">
        <v>2347</v>
      </c>
      <c r="G60" s="466">
        <v>0</v>
      </c>
      <c r="H60" s="466">
        <v>2074</v>
      </c>
      <c r="I60" s="467">
        <v>0</v>
      </c>
      <c r="J60" s="467">
        <v>0</v>
      </c>
      <c r="K60" s="1689">
        <f t="shared" si="7"/>
        <v>470257</v>
      </c>
      <c r="L60" s="466">
        <v>454057</v>
      </c>
      <c r="M60" s="610"/>
      <c r="N60" s="610"/>
    </row>
    <row r="61" spans="1:14" s="343" customFormat="1" x14ac:dyDescent="0.2">
      <c r="A61" s="1521" t="s">
        <v>206</v>
      </c>
      <c r="B61" s="615">
        <v>2540</v>
      </c>
      <c r="C61" s="466">
        <v>0</v>
      </c>
      <c r="D61" s="466">
        <v>0</v>
      </c>
      <c r="E61" s="466">
        <v>0</v>
      </c>
      <c r="F61" s="466">
        <v>0</v>
      </c>
      <c r="G61" s="466">
        <v>0</v>
      </c>
      <c r="H61" s="466">
        <v>0</v>
      </c>
      <c r="I61" s="467">
        <v>0</v>
      </c>
      <c r="J61" s="467">
        <v>0</v>
      </c>
      <c r="K61" s="1689">
        <f t="shared" si="7"/>
        <v>0</v>
      </c>
      <c r="L61" s="466">
        <v>0</v>
      </c>
      <c r="M61" s="610"/>
      <c r="N61" s="610"/>
    </row>
    <row r="62" spans="1:14" s="343" customFormat="1" x14ac:dyDescent="0.2">
      <c r="A62" s="1521" t="s">
        <v>1010</v>
      </c>
      <c r="B62" s="615">
        <v>2550</v>
      </c>
      <c r="C62" s="466">
        <v>0</v>
      </c>
      <c r="D62" s="466">
        <v>0</v>
      </c>
      <c r="E62" s="466">
        <v>7</v>
      </c>
      <c r="F62" s="466">
        <v>0</v>
      </c>
      <c r="G62" s="466">
        <v>0</v>
      </c>
      <c r="H62" s="466">
        <v>0</v>
      </c>
      <c r="I62" s="467">
        <v>0</v>
      </c>
      <c r="J62" s="467">
        <v>0</v>
      </c>
      <c r="K62" s="1689">
        <f t="shared" si="7"/>
        <v>7</v>
      </c>
      <c r="L62" s="466">
        <v>0</v>
      </c>
      <c r="M62" s="610"/>
      <c r="N62" s="610"/>
    </row>
    <row r="63" spans="1:14" s="610" customFormat="1" x14ac:dyDescent="0.2">
      <c r="A63" s="1521" t="s">
        <v>102</v>
      </c>
      <c r="B63" s="615">
        <v>2560</v>
      </c>
      <c r="C63" s="466">
        <v>29085</v>
      </c>
      <c r="D63" s="466">
        <v>7501</v>
      </c>
      <c r="E63" s="466">
        <v>624786</v>
      </c>
      <c r="F63" s="466">
        <v>8300</v>
      </c>
      <c r="G63" s="466">
        <v>43622</v>
      </c>
      <c r="H63" s="466">
        <v>0</v>
      </c>
      <c r="I63" s="467">
        <v>0</v>
      </c>
      <c r="J63" s="467">
        <v>0</v>
      </c>
      <c r="K63" s="1689">
        <f t="shared" si="7"/>
        <v>713294</v>
      </c>
      <c r="L63" s="466">
        <v>707606</v>
      </c>
    </row>
    <row r="64" spans="1:14" s="610" customFormat="1" x14ac:dyDescent="0.2">
      <c r="A64" s="1526" t="s">
        <v>103</v>
      </c>
      <c r="B64" s="631">
        <v>2570</v>
      </c>
      <c r="C64" s="481">
        <v>0</v>
      </c>
      <c r="D64" s="481">
        <v>0</v>
      </c>
      <c r="E64" s="481">
        <v>201785</v>
      </c>
      <c r="F64" s="481">
        <v>59970</v>
      </c>
      <c r="G64" s="481">
        <v>0</v>
      </c>
      <c r="H64" s="481">
        <v>0</v>
      </c>
      <c r="I64" s="467">
        <v>0</v>
      </c>
      <c r="J64" s="467">
        <v>0</v>
      </c>
      <c r="K64" s="1689">
        <f t="shared" si="7"/>
        <v>261755</v>
      </c>
      <c r="L64" s="481">
        <v>251250</v>
      </c>
    </row>
    <row r="65" spans="1:14" s="343" customFormat="1" ht="12.75" customHeight="1" thickBot="1" x14ac:dyDescent="0.25">
      <c r="A65" s="1685" t="s">
        <v>743</v>
      </c>
      <c r="B65" s="1686" t="s">
        <v>35</v>
      </c>
      <c r="C65" s="1687">
        <f>SUM(C59:C64)</f>
        <v>482176</v>
      </c>
      <c r="D65" s="1687">
        <f t="shared" ref="D65:L65" si="8">SUM(D59:D64)</f>
        <v>81514</v>
      </c>
      <c r="E65" s="1687">
        <f t="shared" si="8"/>
        <v>932346</v>
      </c>
      <c r="F65" s="1687">
        <f t="shared" si="8"/>
        <v>70617</v>
      </c>
      <c r="G65" s="1687">
        <f t="shared" si="8"/>
        <v>43622</v>
      </c>
      <c r="H65" s="1687">
        <f t="shared" si="8"/>
        <v>2074</v>
      </c>
      <c r="I65" s="1687">
        <f t="shared" si="8"/>
        <v>0</v>
      </c>
      <c r="J65" s="1687">
        <f t="shared" si="8"/>
        <v>0</v>
      </c>
      <c r="K65" s="1687">
        <f t="shared" si="8"/>
        <v>1612349</v>
      </c>
      <c r="L65" s="1687">
        <f t="shared" si="8"/>
        <v>1580732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66">
        <v>0</v>
      </c>
      <c r="D67" s="466">
        <v>0</v>
      </c>
      <c r="E67" s="466">
        <v>0</v>
      </c>
      <c r="F67" s="466">
        <v>0</v>
      </c>
      <c r="G67" s="466">
        <v>0</v>
      </c>
      <c r="H67" s="466">
        <v>0</v>
      </c>
      <c r="I67" s="467">
        <v>0</v>
      </c>
      <c r="J67" s="467">
        <v>0</v>
      </c>
      <c r="K67" s="1689">
        <f>SUM(C67:J67)</f>
        <v>0</v>
      </c>
      <c r="L67" s="481">
        <v>0</v>
      </c>
      <c r="M67" s="610"/>
      <c r="N67" s="610"/>
    </row>
    <row r="68" spans="1:14" s="343" customFormat="1" x14ac:dyDescent="0.2">
      <c r="A68" s="1521" t="s">
        <v>628</v>
      </c>
      <c r="B68" s="615">
        <v>2620</v>
      </c>
      <c r="C68" s="466">
        <v>0</v>
      </c>
      <c r="D68" s="466">
        <v>0</v>
      </c>
      <c r="E68" s="466">
        <v>0</v>
      </c>
      <c r="F68" s="466">
        <v>0</v>
      </c>
      <c r="G68" s="466">
        <v>0</v>
      </c>
      <c r="H68" s="466">
        <v>0</v>
      </c>
      <c r="I68" s="467">
        <v>0</v>
      </c>
      <c r="J68" s="467">
        <v>0</v>
      </c>
      <c r="K68" s="1689">
        <f>SUM(C68:J68)</f>
        <v>0</v>
      </c>
      <c r="L68" s="466">
        <v>0</v>
      </c>
      <c r="M68" s="610"/>
      <c r="N68" s="610"/>
    </row>
    <row r="69" spans="1:14" s="343" customFormat="1" x14ac:dyDescent="0.2">
      <c r="A69" s="1521" t="s">
        <v>1121</v>
      </c>
      <c r="B69" s="615">
        <v>2630</v>
      </c>
      <c r="C69" s="466">
        <v>0</v>
      </c>
      <c r="D69" s="466">
        <v>0</v>
      </c>
      <c r="E69" s="466">
        <v>0</v>
      </c>
      <c r="F69" s="466">
        <v>0</v>
      </c>
      <c r="G69" s="466">
        <v>0</v>
      </c>
      <c r="H69" s="466">
        <v>0</v>
      </c>
      <c r="I69" s="467">
        <v>0</v>
      </c>
      <c r="J69" s="467">
        <v>0</v>
      </c>
      <c r="K69" s="1689">
        <f>SUM(C69:J69)</f>
        <v>0</v>
      </c>
      <c r="L69" s="466">
        <v>0</v>
      </c>
      <c r="M69" s="610"/>
      <c r="N69" s="610"/>
    </row>
    <row r="70" spans="1:14" s="343" customFormat="1" x14ac:dyDescent="0.2">
      <c r="A70" s="1521" t="s">
        <v>423</v>
      </c>
      <c r="B70" s="615">
        <v>2640</v>
      </c>
      <c r="C70" s="466">
        <v>10000</v>
      </c>
      <c r="D70" s="466">
        <v>90682</v>
      </c>
      <c r="E70" s="466">
        <v>5712</v>
      </c>
      <c r="F70" s="466">
        <v>0</v>
      </c>
      <c r="G70" s="466">
        <v>0</v>
      </c>
      <c r="H70" s="466">
        <v>0</v>
      </c>
      <c r="I70" s="467">
        <v>0</v>
      </c>
      <c r="J70" s="467">
        <v>0</v>
      </c>
      <c r="K70" s="1689">
        <f>SUM(C70:J70)</f>
        <v>106394</v>
      </c>
      <c r="L70" s="466">
        <v>170266</v>
      </c>
      <c r="M70" s="610"/>
      <c r="N70" s="610"/>
    </row>
    <row r="71" spans="1:14" s="343" customFormat="1" x14ac:dyDescent="0.2">
      <c r="A71" s="1521" t="s">
        <v>424</v>
      </c>
      <c r="B71" s="615">
        <v>2660</v>
      </c>
      <c r="C71" s="466">
        <v>506661</v>
      </c>
      <c r="D71" s="466">
        <v>80517</v>
      </c>
      <c r="E71" s="466">
        <v>72687</v>
      </c>
      <c r="F71" s="466">
        <v>76136</v>
      </c>
      <c r="G71" s="466">
        <v>0</v>
      </c>
      <c r="H71" s="466">
        <v>0</v>
      </c>
      <c r="I71" s="467">
        <v>27379</v>
      </c>
      <c r="J71" s="467">
        <v>0</v>
      </c>
      <c r="K71" s="1689">
        <f>SUM(C71:J71)</f>
        <v>763380</v>
      </c>
      <c r="L71" s="466">
        <v>822242</v>
      </c>
      <c r="M71" s="610"/>
      <c r="N71" s="610"/>
    </row>
    <row r="72" spans="1:14" s="343" customFormat="1" ht="12.75" customHeight="1" thickBot="1" x14ac:dyDescent="0.25">
      <c r="A72" s="1685" t="s">
        <v>37</v>
      </c>
      <c r="B72" s="1692" t="s">
        <v>36</v>
      </c>
      <c r="C72" s="1687">
        <f>SUM(C67:C71)</f>
        <v>516661</v>
      </c>
      <c r="D72" s="1687">
        <f t="shared" ref="D72:K72" si="9">SUM(D67:D71)</f>
        <v>171199</v>
      </c>
      <c r="E72" s="1687">
        <f t="shared" si="9"/>
        <v>78399</v>
      </c>
      <c r="F72" s="1687">
        <f t="shared" si="9"/>
        <v>76136</v>
      </c>
      <c r="G72" s="1687">
        <f t="shared" si="9"/>
        <v>0</v>
      </c>
      <c r="H72" s="1687">
        <f t="shared" si="9"/>
        <v>0</v>
      </c>
      <c r="I72" s="1687">
        <f t="shared" si="9"/>
        <v>27379</v>
      </c>
      <c r="J72" s="1687">
        <f t="shared" si="9"/>
        <v>0</v>
      </c>
      <c r="K72" s="1687">
        <f t="shared" si="9"/>
        <v>869774</v>
      </c>
      <c r="L72" s="1687">
        <f>SUM(L67:L71)</f>
        <v>992508</v>
      </c>
      <c r="M72" s="610"/>
      <c r="N72" s="610"/>
    </row>
    <row r="73" spans="1:14" s="343" customFormat="1" ht="14.25" thickTop="1" thickBot="1" x14ac:dyDescent="0.25">
      <c r="A73" s="1527" t="s">
        <v>1037</v>
      </c>
      <c r="B73" s="633" t="s">
        <v>595</v>
      </c>
      <c r="C73" s="573">
        <v>0</v>
      </c>
      <c r="D73" s="573">
        <v>0</v>
      </c>
      <c r="E73" s="573">
        <v>0</v>
      </c>
      <c r="F73" s="573">
        <v>0</v>
      </c>
      <c r="G73" s="573">
        <v>0</v>
      </c>
      <c r="H73" s="573">
        <v>0</v>
      </c>
      <c r="I73" s="531">
        <v>0</v>
      </c>
      <c r="J73" s="531">
        <v>0</v>
      </c>
      <c r="K73" s="1687">
        <f>SUM(C73:J73)</f>
        <v>0</v>
      </c>
      <c r="L73" s="576">
        <v>0</v>
      </c>
      <c r="M73" s="610"/>
      <c r="N73" s="610"/>
    </row>
    <row r="74" spans="1:14" ht="12.75" customHeight="1" thickTop="1" thickBot="1" x14ac:dyDescent="0.25">
      <c r="A74" s="1685" t="s">
        <v>865</v>
      </c>
      <c r="B74" s="1693">
        <v>2000</v>
      </c>
      <c r="C74" s="1694">
        <f>SUM(C42,C47,C53,C57,C65,C72,C73)</f>
        <v>7296715</v>
      </c>
      <c r="D74" s="1694">
        <f t="shared" ref="D74:K74" si="10">SUM(D42,D47,D53,D57,D65,D72,D73)</f>
        <v>1335931</v>
      </c>
      <c r="E74" s="1694">
        <f t="shared" si="10"/>
        <v>1749287</v>
      </c>
      <c r="F74" s="1694">
        <f t="shared" si="10"/>
        <v>225339</v>
      </c>
      <c r="G74" s="1694">
        <f t="shared" si="10"/>
        <v>46051</v>
      </c>
      <c r="H74" s="1694">
        <f t="shared" si="10"/>
        <v>23043</v>
      </c>
      <c r="I74" s="1694">
        <f t="shared" si="10"/>
        <v>34841</v>
      </c>
      <c r="J74" s="1694">
        <f t="shared" si="10"/>
        <v>0</v>
      </c>
      <c r="K74" s="1694">
        <f t="shared" si="10"/>
        <v>10711207</v>
      </c>
      <c r="L74" s="1694">
        <f>SUM(L42,L47,L53,L57,L65,L72,L73)</f>
        <v>10969025</v>
      </c>
    </row>
    <row r="75" spans="1:14" s="259" customFormat="1" ht="15.75" customHeight="1" thickTop="1" thickBot="1" x14ac:dyDescent="0.25">
      <c r="A75" s="1627" t="s">
        <v>49</v>
      </c>
      <c r="B75" s="1628" t="s">
        <v>596</v>
      </c>
      <c r="C75" s="573">
        <v>854</v>
      </c>
      <c r="D75" s="573">
        <v>20</v>
      </c>
      <c r="E75" s="573">
        <v>48815</v>
      </c>
      <c r="F75" s="573">
        <v>4148</v>
      </c>
      <c r="G75" s="573">
        <v>0</v>
      </c>
      <c r="H75" s="573">
        <v>0</v>
      </c>
      <c r="I75" s="531">
        <v>0</v>
      </c>
      <c r="J75" s="531">
        <v>0</v>
      </c>
      <c r="K75" s="1687">
        <f>SUM(C75:J75)</f>
        <v>53837</v>
      </c>
      <c r="L75" s="576">
        <v>48365</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635">
        <v>0</v>
      </c>
      <c r="I78" s="477"/>
      <c r="J78" s="477"/>
      <c r="K78" s="1688">
        <f t="shared" ref="K78:K83" si="11">SUM(C78:J78)</f>
        <v>0</v>
      </c>
      <c r="L78" s="481">
        <v>0</v>
      </c>
    </row>
    <row r="79" spans="1:14" x14ac:dyDescent="0.2">
      <c r="A79" s="1521" t="s">
        <v>322</v>
      </c>
      <c r="B79" s="615">
        <v>4120</v>
      </c>
      <c r="C79" s="617"/>
      <c r="D79" s="617"/>
      <c r="E79" s="466">
        <v>0</v>
      </c>
      <c r="F79" s="617"/>
      <c r="G79" s="617"/>
      <c r="H79" s="466">
        <v>0</v>
      </c>
      <c r="I79" s="477"/>
      <c r="J79" s="477"/>
      <c r="K79" s="1688">
        <f t="shared" si="11"/>
        <v>0</v>
      </c>
      <c r="L79" s="466">
        <v>0</v>
      </c>
    </row>
    <row r="80" spans="1:14" x14ac:dyDescent="0.2">
      <c r="A80" s="1521" t="s">
        <v>323</v>
      </c>
      <c r="B80" s="615">
        <v>4130</v>
      </c>
      <c r="C80" s="617"/>
      <c r="D80" s="617"/>
      <c r="E80" s="466">
        <v>0</v>
      </c>
      <c r="F80" s="617"/>
      <c r="G80" s="617"/>
      <c r="H80" s="466">
        <v>0</v>
      </c>
      <c r="I80" s="477"/>
      <c r="J80" s="477"/>
      <c r="K80" s="1688">
        <f t="shared" si="11"/>
        <v>0</v>
      </c>
      <c r="L80" s="466">
        <v>0</v>
      </c>
    </row>
    <row r="81" spans="1:12" x14ac:dyDescent="0.2">
      <c r="A81" s="1521" t="s">
        <v>721</v>
      </c>
      <c r="B81" s="615">
        <v>4140</v>
      </c>
      <c r="C81" s="617"/>
      <c r="D81" s="617"/>
      <c r="E81" s="466">
        <v>0</v>
      </c>
      <c r="F81" s="617"/>
      <c r="G81" s="617"/>
      <c r="H81" s="466">
        <v>0</v>
      </c>
      <c r="I81" s="477"/>
      <c r="J81" s="477"/>
      <c r="K81" s="1688">
        <f t="shared" si="11"/>
        <v>0</v>
      </c>
      <c r="L81" s="466">
        <v>0</v>
      </c>
    </row>
    <row r="82" spans="1:12" x14ac:dyDescent="0.2">
      <c r="A82" s="1521" t="s">
        <v>88</v>
      </c>
      <c r="B82" s="615">
        <v>4170</v>
      </c>
      <c r="C82" s="617"/>
      <c r="D82" s="617"/>
      <c r="E82" s="466">
        <v>0</v>
      </c>
      <c r="F82" s="617"/>
      <c r="G82" s="617"/>
      <c r="H82" s="466">
        <v>0</v>
      </c>
      <c r="I82" s="477"/>
      <c r="J82" s="477"/>
      <c r="K82" s="1688">
        <f t="shared" si="11"/>
        <v>0</v>
      </c>
      <c r="L82" s="466">
        <v>0</v>
      </c>
    </row>
    <row r="83" spans="1:12" x14ac:dyDescent="0.2">
      <c r="A83" s="1525" t="s">
        <v>722</v>
      </c>
      <c r="B83" s="629">
        <v>4190</v>
      </c>
      <c r="C83" s="617"/>
      <c r="D83" s="617"/>
      <c r="E83" s="466">
        <v>0</v>
      </c>
      <c r="F83" s="617"/>
      <c r="G83" s="617"/>
      <c r="H83" s="466">
        <v>0</v>
      </c>
      <c r="I83" s="477"/>
      <c r="J83" s="477"/>
      <c r="K83" s="1688">
        <f t="shared" si="11"/>
        <v>0</v>
      </c>
      <c r="L83" s="466">
        <v>0</v>
      </c>
    </row>
    <row r="84" spans="1:12" ht="13.5" thickBot="1" x14ac:dyDescent="0.25">
      <c r="A84" s="1685" t="s">
        <v>1565</v>
      </c>
      <c r="B84" s="1695">
        <v>4100</v>
      </c>
      <c r="C84" s="617"/>
      <c r="D84" s="617"/>
      <c r="E84" s="1687">
        <f>SUM(E78:E83)</f>
        <v>0</v>
      </c>
      <c r="F84" s="617"/>
      <c r="G84" s="617"/>
      <c r="H84" s="1687">
        <f>SUM(H78:H83)</f>
        <v>0</v>
      </c>
      <c r="I84" s="477"/>
      <c r="J84" s="477"/>
      <c r="K84" s="1687">
        <f>SUM(K78:K83)</f>
        <v>0</v>
      </c>
      <c r="L84" s="1687">
        <f>SUM(L78:L83)</f>
        <v>0</v>
      </c>
    </row>
    <row r="85" spans="1:12" ht="12.75" customHeight="1" thickTop="1" thickBot="1" x14ac:dyDescent="0.25">
      <c r="A85" s="1528" t="s">
        <v>273</v>
      </c>
      <c r="B85" s="636">
        <v>4210</v>
      </c>
      <c r="C85" s="617"/>
      <c r="D85" s="617"/>
      <c r="E85" s="637"/>
      <c r="F85" s="617"/>
      <c r="G85" s="617"/>
      <c r="H85" s="535">
        <v>1405</v>
      </c>
      <c r="I85" s="477"/>
      <c r="J85" s="477"/>
      <c r="K85" s="1694">
        <f>H85</f>
        <v>1405</v>
      </c>
      <c r="L85" s="530">
        <v>10500</v>
      </c>
    </row>
    <row r="86" spans="1:12" ht="12.75" customHeight="1" thickTop="1" thickBot="1" x14ac:dyDescent="0.25">
      <c r="A86" s="1529" t="s">
        <v>723</v>
      </c>
      <c r="B86" s="638">
        <v>4220</v>
      </c>
      <c r="C86" s="617"/>
      <c r="D86" s="617"/>
      <c r="E86" s="639"/>
      <c r="F86" s="617"/>
      <c r="G86" s="617"/>
      <c r="H86" s="467">
        <v>1637304</v>
      </c>
      <c r="I86" s="477"/>
      <c r="J86" s="477"/>
      <c r="K86" s="1694">
        <f t="shared" ref="K86:K98" si="12">H86</f>
        <v>1637304</v>
      </c>
      <c r="L86" s="530">
        <v>1571376</v>
      </c>
    </row>
    <row r="87" spans="1:12" ht="14.25" thickTop="1" thickBot="1" x14ac:dyDescent="0.25">
      <c r="A87" s="1530" t="s">
        <v>724</v>
      </c>
      <c r="B87" s="640">
        <v>4230</v>
      </c>
      <c r="C87" s="617"/>
      <c r="D87" s="617"/>
      <c r="E87" s="639"/>
      <c r="F87" s="617"/>
      <c r="G87" s="617"/>
      <c r="H87" s="467">
        <v>0</v>
      </c>
      <c r="I87" s="477"/>
      <c r="J87" s="477"/>
      <c r="K87" s="1694">
        <f t="shared" si="12"/>
        <v>0</v>
      </c>
      <c r="L87" s="530">
        <v>0</v>
      </c>
    </row>
    <row r="88" spans="1:12" ht="12.75" customHeight="1" thickTop="1" thickBot="1" x14ac:dyDescent="0.25">
      <c r="A88" s="1530" t="s">
        <v>789</v>
      </c>
      <c r="B88" s="640">
        <v>4240</v>
      </c>
      <c r="C88" s="617"/>
      <c r="D88" s="617"/>
      <c r="E88" s="639"/>
      <c r="F88" s="617"/>
      <c r="G88" s="617"/>
      <c r="H88" s="467">
        <v>0</v>
      </c>
      <c r="I88" s="477"/>
      <c r="J88" s="477"/>
      <c r="K88" s="1694">
        <f t="shared" si="12"/>
        <v>0</v>
      </c>
      <c r="L88" s="530">
        <v>0</v>
      </c>
    </row>
    <row r="89" spans="1:12" ht="12.75" customHeight="1" thickTop="1" thickBot="1" x14ac:dyDescent="0.25">
      <c r="A89" s="1530" t="s">
        <v>725</v>
      </c>
      <c r="B89" s="640">
        <v>4270</v>
      </c>
      <c r="C89" s="617"/>
      <c r="D89" s="617"/>
      <c r="E89" s="639"/>
      <c r="F89" s="617"/>
      <c r="G89" s="617"/>
      <c r="H89" s="467">
        <v>0</v>
      </c>
      <c r="I89" s="477"/>
      <c r="J89" s="477"/>
      <c r="K89" s="1694">
        <f t="shared" si="12"/>
        <v>0</v>
      </c>
      <c r="L89" s="530">
        <v>0</v>
      </c>
    </row>
    <row r="90" spans="1:12" ht="12.75" customHeight="1" thickTop="1" thickBot="1" x14ac:dyDescent="0.25">
      <c r="A90" s="1530" t="s">
        <v>710</v>
      </c>
      <c r="B90" s="640">
        <v>4280</v>
      </c>
      <c r="C90" s="617"/>
      <c r="D90" s="617"/>
      <c r="E90" s="639"/>
      <c r="F90" s="617"/>
      <c r="G90" s="617"/>
      <c r="H90" s="467">
        <v>0</v>
      </c>
      <c r="I90" s="477"/>
      <c r="J90" s="477"/>
      <c r="K90" s="1694">
        <f t="shared" si="12"/>
        <v>0</v>
      </c>
      <c r="L90" s="530">
        <v>0</v>
      </c>
    </row>
    <row r="91" spans="1:12" ht="12.75" customHeight="1" thickTop="1" thickBot="1" x14ac:dyDescent="0.25">
      <c r="A91" s="1530" t="s">
        <v>711</v>
      </c>
      <c r="B91" s="640">
        <v>4290</v>
      </c>
      <c r="C91" s="617"/>
      <c r="D91" s="617"/>
      <c r="E91" s="639"/>
      <c r="F91" s="617"/>
      <c r="G91" s="617"/>
      <c r="H91" s="467">
        <v>0</v>
      </c>
      <c r="I91" s="477"/>
      <c r="J91" s="477"/>
      <c r="K91" s="1694">
        <f t="shared" si="12"/>
        <v>0</v>
      </c>
      <c r="L91" s="530">
        <v>0</v>
      </c>
    </row>
    <row r="92" spans="1:12" ht="14.25" thickTop="1" thickBot="1" x14ac:dyDescent="0.25">
      <c r="A92" s="1697" t="s">
        <v>1641</v>
      </c>
      <c r="B92" s="1695">
        <v>4200</v>
      </c>
      <c r="C92" s="617"/>
      <c r="D92" s="617"/>
      <c r="E92" s="639"/>
      <c r="F92" s="617"/>
      <c r="G92" s="617"/>
      <c r="H92" s="1687">
        <f>SUM(H85:H91)</f>
        <v>1638709</v>
      </c>
      <c r="I92" s="477"/>
      <c r="J92" s="477"/>
      <c r="K92" s="1694">
        <f t="shared" si="12"/>
        <v>1638709</v>
      </c>
      <c r="L92" s="1687">
        <f>SUM(L85:L91)</f>
        <v>1581876</v>
      </c>
    </row>
    <row r="93" spans="1:12" ht="14.25" thickTop="1" thickBot="1" x14ac:dyDescent="0.25">
      <c r="A93" s="1529" t="s">
        <v>712</v>
      </c>
      <c r="B93" s="641">
        <v>4310</v>
      </c>
      <c r="C93" s="617"/>
      <c r="D93" s="617"/>
      <c r="E93" s="639"/>
      <c r="F93" s="617"/>
      <c r="G93" s="617"/>
      <c r="H93" s="642">
        <v>0</v>
      </c>
      <c r="I93" s="477"/>
      <c r="J93" s="477"/>
      <c r="K93" s="1694">
        <f t="shared" si="12"/>
        <v>0</v>
      </c>
      <c r="L93" s="532">
        <v>0</v>
      </c>
    </row>
    <row r="94" spans="1:12" ht="12.75" customHeight="1" thickTop="1" thickBot="1" x14ac:dyDescent="0.25">
      <c r="A94" s="1530" t="s">
        <v>713</v>
      </c>
      <c r="B94" s="640">
        <v>4320</v>
      </c>
      <c r="C94" s="617"/>
      <c r="D94" s="617"/>
      <c r="E94" s="639"/>
      <c r="F94" s="617"/>
      <c r="G94" s="617"/>
      <c r="H94" s="467">
        <v>0</v>
      </c>
      <c r="I94" s="477"/>
      <c r="J94" s="477"/>
      <c r="K94" s="1694">
        <f t="shared" si="12"/>
        <v>0</v>
      </c>
      <c r="L94" s="530">
        <v>0</v>
      </c>
    </row>
    <row r="95" spans="1:12" ht="15" customHeight="1" thickTop="1" thickBot="1" x14ac:dyDescent="0.25">
      <c r="A95" s="1530" t="s">
        <v>1568</v>
      </c>
      <c r="B95" s="640">
        <v>4330</v>
      </c>
      <c r="C95" s="617"/>
      <c r="D95" s="617"/>
      <c r="E95" s="639"/>
      <c r="F95" s="617"/>
      <c r="G95" s="617"/>
      <c r="H95" s="467">
        <v>0</v>
      </c>
      <c r="I95" s="477"/>
      <c r="J95" s="477"/>
      <c r="K95" s="1694">
        <f t="shared" si="12"/>
        <v>0</v>
      </c>
      <c r="L95" s="530">
        <v>0</v>
      </c>
    </row>
    <row r="96" spans="1:12" ht="14.25" thickTop="1" thickBot="1" x14ac:dyDescent="0.25">
      <c r="A96" s="1530" t="s">
        <v>714</v>
      </c>
      <c r="B96" s="640">
        <v>4340</v>
      </c>
      <c r="C96" s="617"/>
      <c r="D96" s="617"/>
      <c r="E96" s="639"/>
      <c r="F96" s="617"/>
      <c r="G96" s="617"/>
      <c r="H96" s="467">
        <v>0</v>
      </c>
      <c r="I96" s="477"/>
      <c r="J96" s="477"/>
      <c r="K96" s="1694">
        <f t="shared" si="12"/>
        <v>0</v>
      </c>
      <c r="L96" s="530">
        <v>0</v>
      </c>
    </row>
    <row r="97" spans="1:14" ht="12.75" customHeight="1" thickTop="1" thickBot="1" x14ac:dyDescent="0.25">
      <c r="A97" s="1530" t="s">
        <v>787</v>
      </c>
      <c r="B97" s="640">
        <v>4370</v>
      </c>
      <c r="C97" s="617"/>
      <c r="D97" s="617"/>
      <c r="E97" s="639"/>
      <c r="F97" s="617"/>
      <c r="G97" s="617"/>
      <c r="H97" s="467">
        <v>0</v>
      </c>
      <c r="I97" s="477"/>
      <c r="J97" s="477"/>
      <c r="K97" s="1694">
        <f t="shared" si="12"/>
        <v>0</v>
      </c>
      <c r="L97" s="530">
        <v>0</v>
      </c>
    </row>
    <row r="98" spans="1:14" ht="14.25" thickTop="1" thickBot="1" x14ac:dyDescent="0.25">
      <c r="A98" s="1530" t="s">
        <v>788</v>
      </c>
      <c r="B98" s="640">
        <v>4380</v>
      </c>
      <c r="C98" s="617"/>
      <c r="D98" s="617"/>
      <c r="E98" s="643"/>
      <c r="F98" s="617"/>
      <c r="G98" s="617"/>
      <c r="H98" s="467">
        <v>0</v>
      </c>
      <c r="I98" s="477"/>
      <c r="J98" s="477"/>
      <c r="K98" s="1694">
        <f t="shared" si="12"/>
        <v>0</v>
      </c>
      <c r="L98" s="530">
        <v>0</v>
      </c>
    </row>
    <row r="99" spans="1:14" ht="14.25" thickTop="1" thickBot="1" x14ac:dyDescent="0.25">
      <c r="A99" s="1530" t="s">
        <v>385</v>
      </c>
      <c r="B99" s="640">
        <v>4390</v>
      </c>
      <c r="C99" s="617"/>
      <c r="D99" s="617"/>
      <c r="E99" s="532">
        <v>0</v>
      </c>
      <c r="F99" s="617"/>
      <c r="G99" s="617"/>
      <c r="H99" s="467">
        <v>0</v>
      </c>
      <c r="I99" s="477"/>
      <c r="J99" s="477"/>
      <c r="K99" s="1694">
        <f>SUM(E99,H99)</f>
        <v>0</v>
      </c>
      <c r="L99" s="530">
        <v>0</v>
      </c>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7" t="s">
        <v>1569</v>
      </c>
      <c r="B101" s="644" t="s">
        <v>988</v>
      </c>
      <c r="C101" s="617"/>
      <c r="D101" s="617"/>
      <c r="E101" s="531">
        <v>0</v>
      </c>
      <c r="F101" s="617"/>
      <c r="G101" s="617"/>
      <c r="H101" s="531">
        <v>0</v>
      </c>
      <c r="I101" s="477"/>
      <c r="J101" s="477"/>
      <c r="K101" s="1696">
        <f>SUM(C101:J101)</f>
        <v>0</v>
      </c>
      <c r="L101" s="530">
        <v>0</v>
      </c>
    </row>
    <row r="102" spans="1:14" ht="12.75" customHeight="1" thickTop="1" thickBot="1" x14ac:dyDescent="0.25">
      <c r="A102" s="1685" t="s">
        <v>1567</v>
      </c>
      <c r="B102" s="1695">
        <v>4000</v>
      </c>
      <c r="C102" s="617"/>
      <c r="D102" s="617"/>
      <c r="E102" s="1694">
        <f>SUM(E84,E92,E100,E101)</f>
        <v>0</v>
      </c>
      <c r="F102" s="617"/>
      <c r="G102" s="617"/>
      <c r="H102" s="1694">
        <f>SUM(H84,H92,H100,H101)</f>
        <v>1638709</v>
      </c>
      <c r="I102" s="477"/>
      <c r="J102" s="477"/>
      <c r="K102" s="1694">
        <f>SUM(K84,K92,K100,K101)</f>
        <v>1638709</v>
      </c>
      <c r="L102" s="1694">
        <f>SUM(L84,L92,L100,L101)</f>
        <v>1581876</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8">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8">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8">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8">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8">
        <f>H109</f>
        <v>0</v>
      </c>
      <c r="L109" s="466">
        <v>0</v>
      </c>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1" t="s">
        <v>386</v>
      </c>
      <c r="B111" s="648" t="s">
        <v>38</v>
      </c>
      <c r="C111" s="617"/>
      <c r="D111" s="617"/>
      <c r="E111" s="617"/>
      <c r="F111" s="617"/>
      <c r="G111" s="617"/>
      <c r="H111" s="535">
        <v>0</v>
      </c>
      <c r="I111" s="468"/>
      <c r="J111" s="468"/>
      <c r="K111" s="1700">
        <f>H111</f>
        <v>0</v>
      </c>
      <c r="L111" s="532">
        <v>0</v>
      </c>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v>0</v>
      </c>
      <c r="M113" s="614"/>
      <c r="N113" s="614"/>
    </row>
    <row r="114" spans="1:14" ht="12.75" customHeight="1" thickTop="1" thickBot="1" x14ac:dyDescent="0.25">
      <c r="A114" s="1685" t="s">
        <v>50</v>
      </c>
      <c r="B114" s="1699"/>
      <c r="C114" s="1687">
        <f>SUM(C33,C74,C75,C102,C112,C113)</f>
        <v>26672063</v>
      </c>
      <c r="D114" s="1687">
        <f t="shared" ref="D114:K114" si="13">SUM(D33,D74,D75,D102,D112,D113)</f>
        <v>4506967</v>
      </c>
      <c r="E114" s="1687">
        <f t="shared" si="13"/>
        <v>2056556</v>
      </c>
      <c r="F114" s="1687">
        <f t="shared" si="13"/>
        <v>830380</v>
      </c>
      <c r="G114" s="1687">
        <f t="shared" si="13"/>
        <v>48829</v>
      </c>
      <c r="H114" s="1687">
        <f>SUM(H33,H74,H75,H102,H112,H113)</f>
        <v>2709551</v>
      </c>
      <c r="I114" s="1687">
        <f t="shared" si="13"/>
        <v>81789</v>
      </c>
      <c r="J114" s="1687">
        <f t="shared" si="13"/>
        <v>0</v>
      </c>
      <c r="K114" s="1687">
        <f t="shared" si="13"/>
        <v>36906135</v>
      </c>
      <c r="L114" s="1687">
        <f>SUM(L33,L74,L75,L102,L112,L113)</f>
        <v>36794377</v>
      </c>
    </row>
    <row r="115" spans="1:14" ht="13.5" thickTop="1" x14ac:dyDescent="0.2">
      <c r="A115" s="2450" t="s">
        <v>1053</v>
      </c>
      <c r="B115" s="2451"/>
      <c r="C115" s="619"/>
      <c r="D115" s="619"/>
      <c r="E115" s="619"/>
      <c r="F115" s="619"/>
      <c r="G115" s="619"/>
      <c r="H115" s="619"/>
      <c r="I115" s="619"/>
      <c r="J115" s="619"/>
      <c r="K115" s="1701">
        <f>'Revenues 9-14'!C275-'Expenditures 15-22'!K114</f>
        <v>836567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455" t="s">
        <v>314</v>
      </c>
      <c r="B117" s="2456"/>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7">
        <v>0</v>
      </c>
      <c r="J120" s="467">
        <v>0</v>
      </c>
      <c r="K120" s="1688">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7">
        <v>0</v>
      </c>
      <c r="J122" s="467">
        <v>0</v>
      </c>
      <c r="K122" s="1687">
        <f>SUM(C122:J122)</f>
        <v>0</v>
      </c>
      <c r="L122" s="466">
        <v>0</v>
      </c>
    </row>
    <row r="123" spans="1:14" ht="14.25" thickTop="1" thickBot="1" x14ac:dyDescent="0.25">
      <c r="A123" s="1521" t="s">
        <v>4</v>
      </c>
      <c r="B123" s="615">
        <v>2530</v>
      </c>
      <c r="C123" s="466">
        <v>0</v>
      </c>
      <c r="D123" s="466">
        <v>0</v>
      </c>
      <c r="E123" s="466">
        <v>0</v>
      </c>
      <c r="F123" s="466">
        <v>0</v>
      </c>
      <c r="G123" s="466">
        <v>0</v>
      </c>
      <c r="H123" s="466">
        <v>0</v>
      </c>
      <c r="I123" s="467">
        <v>0</v>
      </c>
      <c r="J123" s="467">
        <v>0</v>
      </c>
      <c r="K123" s="1687">
        <f>SUM(C123:J123)</f>
        <v>0</v>
      </c>
      <c r="L123" s="466">
        <v>0</v>
      </c>
    </row>
    <row r="124" spans="1:14" ht="14.25" thickTop="1" thickBot="1" x14ac:dyDescent="0.25">
      <c r="A124" s="1521" t="s">
        <v>206</v>
      </c>
      <c r="B124" s="615">
        <v>2540</v>
      </c>
      <c r="C124" s="466">
        <v>919597</v>
      </c>
      <c r="D124" s="466">
        <v>225683</v>
      </c>
      <c r="E124" s="466">
        <v>944805</v>
      </c>
      <c r="F124" s="466">
        <v>1040791</v>
      </c>
      <c r="G124" s="466">
        <v>696638</v>
      </c>
      <c r="H124" s="466">
        <v>955</v>
      </c>
      <c r="I124" s="467">
        <v>19512</v>
      </c>
      <c r="J124" s="467">
        <v>0</v>
      </c>
      <c r="K124" s="1687">
        <f>SUM(C124:J124)</f>
        <v>3847981</v>
      </c>
      <c r="L124" s="466">
        <v>3852430</v>
      </c>
    </row>
    <row r="125" spans="1:14" ht="14.25" thickTop="1" thickBot="1" x14ac:dyDescent="0.25">
      <c r="A125" s="1521" t="s">
        <v>1010</v>
      </c>
      <c r="B125" s="615">
        <v>2550</v>
      </c>
      <c r="C125" s="466">
        <v>0</v>
      </c>
      <c r="D125" s="466">
        <v>0</v>
      </c>
      <c r="E125" s="466">
        <v>0</v>
      </c>
      <c r="F125" s="466">
        <v>0</v>
      </c>
      <c r="G125" s="466">
        <v>0</v>
      </c>
      <c r="H125" s="466">
        <v>0</v>
      </c>
      <c r="I125" s="467">
        <v>0</v>
      </c>
      <c r="J125" s="467">
        <v>0</v>
      </c>
      <c r="K125" s="1687">
        <f>SUM(C125:J125)</f>
        <v>0</v>
      </c>
      <c r="L125" s="466">
        <v>0</v>
      </c>
    </row>
    <row r="126" spans="1:14" ht="14.25" thickTop="1" thickBot="1" x14ac:dyDescent="0.25">
      <c r="A126" s="1521" t="s">
        <v>102</v>
      </c>
      <c r="B126" s="615">
        <v>2560</v>
      </c>
      <c r="C126" s="655"/>
      <c r="D126" s="655"/>
      <c r="E126" s="655"/>
      <c r="F126" s="655"/>
      <c r="G126" s="466">
        <v>0</v>
      </c>
      <c r="H126" s="655"/>
      <c r="I126" s="474">
        <v>0</v>
      </c>
      <c r="J126" s="617"/>
      <c r="K126" s="1687">
        <f>SUM(C126:J126)</f>
        <v>0</v>
      </c>
      <c r="L126" s="466">
        <v>0</v>
      </c>
    </row>
    <row r="127" spans="1:14" ht="12.75" customHeight="1" thickTop="1" thickBot="1" x14ac:dyDescent="0.25">
      <c r="A127" s="1685" t="s">
        <v>743</v>
      </c>
      <c r="B127" s="1686" t="s">
        <v>35</v>
      </c>
      <c r="C127" s="1687">
        <f>SUM(C122:C126)</f>
        <v>919597</v>
      </c>
      <c r="D127" s="1687">
        <f t="shared" ref="D127:L127" si="14">SUM(D122:D126)</f>
        <v>225683</v>
      </c>
      <c r="E127" s="1687">
        <f t="shared" si="14"/>
        <v>944805</v>
      </c>
      <c r="F127" s="1687">
        <f t="shared" si="14"/>
        <v>1040791</v>
      </c>
      <c r="G127" s="1687">
        <f t="shared" si="14"/>
        <v>696638</v>
      </c>
      <c r="H127" s="1687">
        <f t="shared" si="14"/>
        <v>955</v>
      </c>
      <c r="I127" s="1687">
        <f t="shared" si="14"/>
        <v>19512</v>
      </c>
      <c r="J127" s="1687">
        <f t="shared" si="14"/>
        <v>0</v>
      </c>
      <c r="K127" s="1687">
        <f t="shared" si="14"/>
        <v>3847981</v>
      </c>
      <c r="L127" s="1687">
        <f t="shared" si="14"/>
        <v>3852430</v>
      </c>
    </row>
    <row r="128" spans="1:14" ht="12.75" customHeight="1" thickTop="1" x14ac:dyDescent="0.2">
      <c r="A128" s="1528" t="s">
        <v>1037</v>
      </c>
      <c r="B128" s="656" t="s">
        <v>595</v>
      </c>
      <c r="C128" s="657">
        <v>0</v>
      </c>
      <c r="D128" s="657">
        <v>0</v>
      </c>
      <c r="E128" s="657">
        <v>0</v>
      </c>
      <c r="F128" s="657">
        <v>0</v>
      </c>
      <c r="G128" s="657">
        <v>0</v>
      </c>
      <c r="H128" s="657">
        <v>0</v>
      </c>
      <c r="I128" s="535">
        <v>0</v>
      </c>
      <c r="J128" s="535">
        <v>0</v>
      </c>
      <c r="K128" s="1702">
        <f>SUM(C128:J128)</f>
        <v>0</v>
      </c>
      <c r="L128" s="657">
        <v>0</v>
      </c>
    </row>
    <row r="129" spans="1:14" ht="12.75" customHeight="1" thickBot="1" x14ac:dyDescent="0.25">
      <c r="A129" s="1703" t="s">
        <v>865</v>
      </c>
      <c r="B129" s="1704" t="s">
        <v>590</v>
      </c>
      <c r="C129" s="1694">
        <f>SUM(C120,C127,C128)</f>
        <v>919597</v>
      </c>
      <c r="D129" s="1694">
        <f t="shared" ref="D129:L129" si="15">SUM(D120,D127,D128)</f>
        <v>225683</v>
      </c>
      <c r="E129" s="1694">
        <f t="shared" si="15"/>
        <v>944805</v>
      </c>
      <c r="F129" s="1694">
        <f t="shared" si="15"/>
        <v>1040791</v>
      </c>
      <c r="G129" s="1694">
        <f t="shared" si="15"/>
        <v>696638</v>
      </c>
      <c r="H129" s="1694">
        <f t="shared" si="15"/>
        <v>955</v>
      </c>
      <c r="I129" s="1694">
        <f t="shared" si="15"/>
        <v>19512</v>
      </c>
      <c r="J129" s="1694">
        <f t="shared" si="15"/>
        <v>0</v>
      </c>
      <c r="K129" s="1694">
        <f t="shared" si="15"/>
        <v>3847981</v>
      </c>
      <c r="L129" s="1694">
        <f t="shared" si="15"/>
        <v>3852430</v>
      </c>
    </row>
    <row r="130" spans="1:14" ht="15.75" customHeight="1" thickTop="1" thickBot="1" x14ac:dyDescent="0.25">
      <c r="A130" s="1627" t="s">
        <v>1096</v>
      </c>
      <c r="B130" s="1628" t="s">
        <v>596</v>
      </c>
      <c r="C130" s="576">
        <v>0</v>
      </c>
      <c r="D130" s="576">
        <v>0</v>
      </c>
      <c r="E130" s="576">
        <v>0</v>
      </c>
      <c r="F130" s="576">
        <v>0</v>
      </c>
      <c r="G130" s="576">
        <v>0</v>
      </c>
      <c r="H130" s="576">
        <v>0</v>
      </c>
      <c r="I130" s="531">
        <v>0</v>
      </c>
      <c r="J130" s="531">
        <v>0</v>
      </c>
      <c r="K130" s="1687">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7" t="s">
        <v>517</v>
      </c>
      <c r="B133" s="1859" t="s">
        <v>1954</v>
      </c>
      <c r="C133" s="468"/>
      <c r="D133" s="468"/>
      <c r="E133" s="642">
        <v>0</v>
      </c>
      <c r="F133" s="468"/>
      <c r="G133" s="468"/>
      <c r="H133" s="642">
        <v>0</v>
      </c>
      <c r="I133" s="468"/>
      <c r="J133" s="468"/>
      <c r="K133" s="1839">
        <f>SUM(E133,H133)</f>
        <v>0</v>
      </c>
      <c r="L133" s="642">
        <v>0</v>
      </c>
      <c r="M133" s="206"/>
      <c r="N133" s="206"/>
    </row>
    <row r="134" spans="1:14" x14ac:dyDescent="0.2">
      <c r="A134" s="1521" t="s">
        <v>322</v>
      </c>
      <c r="B134" s="615">
        <v>4120</v>
      </c>
      <c r="C134" s="617"/>
      <c r="D134" s="617"/>
      <c r="E134" s="478">
        <v>96527</v>
      </c>
      <c r="F134" s="617"/>
      <c r="G134" s="617"/>
      <c r="H134" s="481">
        <v>0</v>
      </c>
      <c r="I134" s="477"/>
      <c r="J134" s="617"/>
      <c r="K134" s="1689">
        <f>SUM(E134,H134)</f>
        <v>96527</v>
      </c>
      <c r="L134" s="481">
        <v>115527</v>
      </c>
    </row>
    <row r="135" spans="1:14" x14ac:dyDescent="0.2">
      <c r="A135" s="1521" t="s">
        <v>721</v>
      </c>
      <c r="B135" s="615">
        <v>4140</v>
      </c>
      <c r="C135" s="617"/>
      <c r="D135" s="617"/>
      <c r="E135" s="467">
        <v>0</v>
      </c>
      <c r="F135" s="617"/>
      <c r="G135" s="617"/>
      <c r="H135" s="466">
        <v>0</v>
      </c>
      <c r="I135" s="477"/>
      <c r="J135" s="617"/>
      <c r="K135" s="1689">
        <f>SUM(E135,H135)</f>
        <v>0</v>
      </c>
      <c r="L135" s="466">
        <v>0</v>
      </c>
    </row>
    <row r="136" spans="1:14" x14ac:dyDescent="0.2">
      <c r="A136" s="1525" t="s">
        <v>722</v>
      </c>
      <c r="B136" s="629">
        <v>4190</v>
      </c>
      <c r="C136" s="617"/>
      <c r="D136" s="617"/>
      <c r="E136" s="467">
        <v>0</v>
      </c>
      <c r="F136" s="617"/>
      <c r="G136" s="617"/>
      <c r="H136" s="466">
        <v>0</v>
      </c>
      <c r="I136" s="477"/>
      <c r="J136" s="617"/>
      <c r="K136" s="1689">
        <f>SUM(E136,H136)</f>
        <v>0</v>
      </c>
      <c r="L136" s="466">
        <v>0</v>
      </c>
    </row>
    <row r="137" spans="1:14" ht="12.75" customHeight="1" thickBot="1" x14ac:dyDescent="0.25">
      <c r="A137" s="1685" t="s">
        <v>501</v>
      </c>
      <c r="B137" s="1695">
        <v>4100</v>
      </c>
      <c r="C137" s="617"/>
      <c r="D137" s="617"/>
      <c r="E137" s="1687">
        <f>SUM(E133:E136)</f>
        <v>96527</v>
      </c>
      <c r="F137" s="617"/>
      <c r="G137" s="617"/>
      <c r="H137" s="1687">
        <f>SUM(H133:H136)</f>
        <v>0</v>
      </c>
      <c r="I137" s="477"/>
      <c r="J137" s="617"/>
      <c r="K137" s="1687">
        <f>SUM(K133:K136)</f>
        <v>96527</v>
      </c>
      <c r="L137" s="1687">
        <f>SUM(L133:L136)</f>
        <v>115527</v>
      </c>
    </row>
    <row r="138" spans="1:14" ht="12.75" customHeight="1" thickTop="1" thickBot="1" x14ac:dyDescent="0.25">
      <c r="A138" s="1527" t="s">
        <v>98</v>
      </c>
      <c r="B138" s="644" t="s">
        <v>988</v>
      </c>
      <c r="C138" s="617"/>
      <c r="D138" s="617"/>
      <c r="E138" s="479"/>
      <c r="F138" s="617"/>
      <c r="G138" s="617"/>
      <c r="H138" s="576">
        <v>0</v>
      </c>
      <c r="I138" s="477"/>
      <c r="J138" s="617"/>
      <c r="K138" s="1689">
        <f>SUM(E138,H138)</f>
        <v>0</v>
      </c>
      <c r="L138" s="576">
        <v>0</v>
      </c>
    </row>
    <row r="139" spans="1:14" ht="12.75" customHeight="1" thickTop="1" thickBot="1" x14ac:dyDescent="0.25">
      <c r="A139" s="1685" t="s">
        <v>1567</v>
      </c>
      <c r="B139" s="1695">
        <v>4000</v>
      </c>
      <c r="C139" s="617"/>
      <c r="D139" s="617"/>
      <c r="E139" s="1687">
        <f>SUM(E137,E138)</f>
        <v>96527</v>
      </c>
      <c r="F139" s="617"/>
      <c r="G139" s="617"/>
      <c r="H139" s="1696">
        <f>SUM(H137:H138)</f>
        <v>0</v>
      </c>
      <c r="I139" s="477"/>
      <c r="J139" s="617"/>
      <c r="K139" s="1689">
        <f>SUM(K137,K138)</f>
        <v>96527</v>
      </c>
      <c r="L139" s="1696">
        <f>SUM(L137,L138)</f>
        <v>115527</v>
      </c>
    </row>
    <row r="140" spans="1:14" ht="15.75" customHeight="1" thickTop="1" x14ac:dyDescent="0.2">
      <c r="A140" s="1629" t="s">
        <v>1097</v>
      </c>
      <c r="B140" s="1630"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9">
        <f>SUM(H142)</f>
        <v>0</v>
      </c>
      <c r="L142" s="481">
        <v>0</v>
      </c>
    </row>
    <row r="143" spans="1:14" x14ac:dyDescent="0.2">
      <c r="A143" s="1521" t="s">
        <v>90</v>
      </c>
      <c r="B143" s="615">
        <v>5120</v>
      </c>
      <c r="C143" s="617"/>
      <c r="D143" s="617"/>
      <c r="E143" s="617"/>
      <c r="F143" s="617"/>
      <c r="G143" s="617"/>
      <c r="H143" s="466">
        <v>0</v>
      </c>
      <c r="I143" s="468"/>
      <c r="J143" s="617"/>
      <c r="K143" s="1689">
        <f>SUM(H143)</f>
        <v>0</v>
      </c>
      <c r="L143" s="466">
        <v>0</v>
      </c>
    </row>
    <row r="144" spans="1:14" ht="12.75" customHeight="1" x14ac:dyDescent="0.2">
      <c r="A144" s="1521" t="s">
        <v>1232</v>
      </c>
      <c r="B144" s="629" t="s">
        <v>638</v>
      </c>
      <c r="C144" s="617"/>
      <c r="D144" s="617"/>
      <c r="E144" s="617"/>
      <c r="F144" s="617"/>
      <c r="G144" s="617"/>
      <c r="H144" s="466">
        <v>0</v>
      </c>
      <c r="I144" s="468"/>
      <c r="J144" s="617"/>
      <c r="K144" s="1689">
        <f>SUM(H144)</f>
        <v>0</v>
      </c>
      <c r="L144" s="466">
        <v>0</v>
      </c>
    </row>
    <row r="145" spans="1:14" x14ac:dyDescent="0.2">
      <c r="A145" s="1521" t="s">
        <v>91</v>
      </c>
      <c r="B145" s="615" t="s">
        <v>610</v>
      </c>
      <c r="C145" s="617"/>
      <c r="D145" s="617"/>
      <c r="E145" s="617"/>
      <c r="F145" s="617"/>
      <c r="G145" s="617"/>
      <c r="H145" s="466">
        <v>0</v>
      </c>
      <c r="I145" s="468"/>
      <c r="J145" s="617"/>
      <c r="K145" s="1689">
        <f>SUM(H145)</f>
        <v>0</v>
      </c>
      <c r="L145" s="466">
        <v>0</v>
      </c>
    </row>
    <row r="146" spans="1:14" ht="12.75" customHeight="1" x14ac:dyDescent="0.2">
      <c r="A146" s="1521" t="s">
        <v>640</v>
      </c>
      <c r="B146" s="615" t="s">
        <v>639</v>
      </c>
      <c r="C146" s="617"/>
      <c r="D146" s="617"/>
      <c r="E146" s="617"/>
      <c r="F146" s="617"/>
      <c r="G146" s="617"/>
      <c r="H146" s="466">
        <v>0</v>
      </c>
      <c r="I146" s="468"/>
      <c r="J146" s="617"/>
      <c r="K146" s="1689">
        <f>SUM(H146)</f>
        <v>0</v>
      </c>
      <c r="L146" s="466">
        <v>0</v>
      </c>
    </row>
    <row r="147" spans="1:14" ht="12.75" customHeight="1" thickBot="1" x14ac:dyDescent="0.25">
      <c r="A147" s="1532"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v>0</v>
      </c>
      <c r="I148" s="468"/>
      <c r="J148" s="617"/>
      <c r="K148" s="1689">
        <f>SUM(H148)</f>
        <v>0</v>
      </c>
      <c r="L148" s="492">
        <v>0</v>
      </c>
    </row>
    <row r="149" spans="1:14" ht="12.75" customHeight="1" thickBot="1" x14ac:dyDescent="0.25">
      <c r="A149" s="1524"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3" t="s">
        <v>1098</v>
      </c>
      <c r="B150" s="1630" t="s">
        <v>916</v>
      </c>
      <c r="C150" s="617"/>
      <c r="D150" s="617"/>
      <c r="E150" s="617"/>
      <c r="F150" s="617"/>
      <c r="G150" s="617"/>
      <c r="H150" s="663"/>
      <c r="I150" s="521"/>
      <c r="J150" s="617"/>
      <c r="K150" s="624"/>
      <c r="L150" s="573">
        <v>0</v>
      </c>
    </row>
    <row r="151" spans="1:14" ht="12.75" customHeight="1" thickTop="1" thickBot="1" x14ac:dyDescent="0.25">
      <c r="A151" s="2467" t="s">
        <v>641</v>
      </c>
      <c r="B151" s="2447"/>
      <c r="C151" s="1687">
        <f>SUM(C129,C130,C139,C149,C150)</f>
        <v>919597</v>
      </c>
      <c r="D151" s="1687">
        <f t="shared" ref="D151:K151" si="16">SUM(D129,D130,D139,D149,D150)</f>
        <v>225683</v>
      </c>
      <c r="E151" s="1687">
        <f t="shared" si="16"/>
        <v>1041332</v>
      </c>
      <c r="F151" s="1687">
        <f t="shared" si="16"/>
        <v>1040791</v>
      </c>
      <c r="G151" s="1687">
        <f t="shared" si="16"/>
        <v>696638</v>
      </c>
      <c r="H151" s="1687">
        <f t="shared" si="16"/>
        <v>955</v>
      </c>
      <c r="I151" s="1687">
        <f t="shared" si="16"/>
        <v>19512</v>
      </c>
      <c r="J151" s="1687">
        <f t="shared" si="16"/>
        <v>0</v>
      </c>
      <c r="K151" s="1687">
        <f t="shared" si="16"/>
        <v>3944508</v>
      </c>
      <c r="L151" s="1687">
        <f>SUM(L129,L130,L139,L149,L150)</f>
        <v>3967957</v>
      </c>
    </row>
    <row r="152" spans="1:14" ht="12.75" customHeight="1" thickTop="1" x14ac:dyDescent="0.2">
      <c r="A152" s="2470" t="s">
        <v>1240</v>
      </c>
      <c r="B152" s="2471"/>
      <c r="C152" s="619"/>
      <c r="D152" s="619"/>
      <c r="E152" s="619"/>
      <c r="F152" s="619"/>
      <c r="G152" s="619"/>
      <c r="H152" s="619"/>
      <c r="I152" s="619"/>
      <c r="J152" s="617"/>
      <c r="K152" s="1701">
        <f>'Revenues 9-14'!D275-'Expenditures 15-22'!K151</f>
        <v>-397161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455" t="s">
        <v>642</v>
      </c>
      <c r="B154" s="2457"/>
      <c r="C154" s="1643"/>
      <c r="D154" s="1644"/>
      <c r="E154" s="1644"/>
      <c r="F154" s="1644"/>
      <c r="G154" s="1644"/>
      <c r="H154" s="1644"/>
      <c r="I154" s="1644"/>
      <c r="J154" s="1644"/>
      <c r="K154" s="1644"/>
      <c r="L154" s="1645"/>
      <c r="M154" s="668"/>
      <c r="N154" s="668"/>
    </row>
    <row r="155" spans="1:14" s="621" customFormat="1" ht="15.75" customHeight="1" thickBot="1" x14ac:dyDescent="0.25">
      <c r="A155" s="1634" t="s">
        <v>83</v>
      </c>
      <c r="B155" s="1635" t="s">
        <v>915</v>
      </c>
      <c r="C155" s="617"/>
      <c r="D155" s="617"/>
      <c r="E155" s="617"/>
      <c r="F155" s="617"/>
      <c r="G155" s="617"/>
      <c r="H155" s="1860"/>
      <c r="I155" s="617"/>
      <c r="J155" s="617"/>
      <c r="K155" s="1843"/>
      <c r="L155" s="1860"/>
      <c r="M155" s="620"/>
      <c r="N155" s="620"/>
    </row>
    <row r="156" spans="1:14" s="621" customFormat="1" ht="15.75" customHeight="1" thickTop="1" x14ac:dyDescent="0.2">
      <c r="A156" s="1840" t="s">
        <v>1955</v>
      </c>
      <c r="B156" s="1841"/>
      <c r="C156" s="617"/>
      <c r="D156" s="617"/>
      <c r="E156" s="617"/>
      <c r="F156" s="617"/>
      <c r="G156" s="617"/>
      <c r="H156" s="1861"/>
      <c r="I156" s="617"/>
      <c r="J156" s="617"/>
      <c r="K156" s="1842"/>
      <c r="L156" s="1861"/>
      <c r="M156" s="620"/>
      <c r="N156" s="620"/>
    </row>
    <row r="157" spans="1:14" s="621" customFormat="1" ht="12" x14ac:dyDescent="0.2">
      <c r="A157" s="1844" t="s">
        <v>517</v>
      </c>
      <c r="B157" s="1845" t="s">
        <v>1954</v>
      </c>
      <c r="C157" s="617"/>
      <c r="D157" s="617"/>
      <c r="E157" s="617"/>
      <c r="F157" s="617"/>
      <c r="G157" s="617"/>
      <c r="H157" s="642">
        <v>0</v>
      </c>
      <c r="I157" s="617"/>
      <c r="J157" s="617"/>
      <c r="K157" s="1688">
        <f>H157</f>
        <v>0</v>
      </c>
      <c r="L157" s="467">
        <v>0</v>
      </c>
      <c r="M157" s="620"/>
      <c r="N157" s="620"/>
    </row>
    <row r="158" spans="1:14" s="621" customFormat="1" ht="12" x14ac:dyDescent="0.2">
      <c r="A158" s="1844" t="s">
        <v>322</v>
      </c>
      <c r="B158" s="1845" t="s">
        <v>1956</v>
      </c>
      <c r="C158" s="617"/>
      <c r="D158" s="617"/>
      <c r="E158" s="617"/>
      <c r="F158" s="617"/>
      <c r="G158" s="617"/>
      <c r="H158" s="467">
        <v>0</v>
      </c>
      <c r="I158" s="617"/>
      <c r="J158" s="617"/>
      <c r="K158" s="1688">
        <f>H158</f>
        <v>0</v>
      </c>
      <c r="L158" s="467">
        <v>0</v>
      </c>
      <c r="M158" s="620"/>
      <c r="N158" s="620"/>
    </row>
    <row r="159" spans="1:14" s="621" customFormat="1" ht="12" x14ac:dyDescent="0.2">
      <c r="A159" s="1844" t="s">
        <v>1957</v>
      </c>
      <c r="B159" s="1845" t="s">
        <v>579</v>
      </c>
      <c r="C159" s="617"/>
      <c r="D159" s="617"/>
      <c r="E159" s="617"/>
      <c r="F159" s="617"/>
      <c r="G159" s="617"/>
      <c r="H159" s="467">
        <v>0</v>
      </c>
      <c r="I159" s="617"/>
      <c r="J159" s="617"/>
      <c r="K159" s="1688">
        <f>H159</f>
        <v>0</v>
      </c>
      <c r="L159" s="467">
        <v>0</v>
      </c>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8">
        <f>SUM(C163:J163)</f>
        <v>0</v>
      </c>
      <c r="L163" s="466">
        <v>0</v>
      </c>
    </row>
    <row r="164" spans="1:14" x14ac:dyDescent="0.2">
      <c r="A164" s="1521" t="s">
        <v>90</v>
      </c>
      <c r="B164" s="615">
        <v>5120</v>
      </c>
      <c r="C164" s="617"/>
      <c r="D164" s="617"/>
      <c r="E164" s="617"/>
      <c r="F164" s="617"/>
      <c r="G164" s="617"/>
      <c r="H164" s="466">
        <v>0</v>
      </c>
      <c r="I164" s="617"/>
      <c r="J164" s="617"/>
      <c r="K164" s="1688">
        <f>SUM(C164:J164)</f>
        <v>0</v>
      </c>
      <c r="L164" s="466">
        <v>0</v>
      </c>
    </row>
    <row r="165" spans="1:14" ht="12.75" customHeight="1" x14ac:dyDescent="0.2">
      <c r="A165" s="1521" t="s">
        <v>1232</v>
      </c>
      <c r="B165" s="615" t="s">
        <v>638</v>
      </c>
      <c r="C165" s="617"/>
      <c r="D165" s="617"/>
      <c r="E165" s="617"/>
      <c r="F165" s="617"/>
      <c r="G165" s="617"/>
      <c r="H165" s="466">
        <v>0</v>
      </c>
      <c r="I165" s="617"/>
      <c r="J165" s="617"/>
      <c r="K165" s="1688">
        <f>SUM(C165:J165)</f>
        <v>0</v>
      </c>
      <c r="L165" s="466">
        <v>0</v>
      </c>
    </row>
    <row r="166" spans="1:14" x14ac:dyDescent="0.2">
      <c r="A166" s="1521" t="s">
        <v>91</v>
      </c>
      <c r="B166" s="629" t="s">
        <v>610</v>
      </c>
      <c r="C166" s="617"/>
      <c r="D166" s="617"/>
      <c r="E166" s="617"/>
      <c r="F166" s="617"/>
      <c r="G166" s="617"/>
      <c r="H166" s="466">
        <v>0</v>
      </c>
      <c r="I166" s="617"/>
      <c r="J166" s="617"/>
      <c r="K166" s="1688">
        <f>SUM(C166:J166)</f>
        <v>0</v>
      </c>
      <c r="L166" s="466">
        <v>0</v>
      </c>
    </row>
    <row r="167" spans="1:14" ht="12.75" customHeight="1" x14ac:dyDescent="0.2">
      <c r="A167" s="1521" t="s">
        <v>640</v>
      </c>
      <c r="B167" s="615" t="s">
        <v>639</v>
      </c>
      <c r="C167" s="617"/>
      <c r="D167" s="617"/>
      <c r="E167" s="617"/>
      <c r="F167" s="617"/>
      <c r="G167" s="617"/>
      <c r="H167" s="466">
        <v>0</v>
      </c>
      <c r="I167" s="617"/>
      <c r="J167" s="617"/>
      <c r="K167" s="1688">
        <f>SUM(C167:J167)</f>
        <v>0</v>
      </c>
      <c r="L167" s="466">
        <v>0</v>
      </c>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5580898</v>
      </c>
      <c r="I169" s="617"/>
      <c r="J169" s="617"/>
      <c r="K169" s="1688">
        <f>SUM(C169:H169)</f>
        <v>5580898</v>
      </c>
      <c r="L169" s="657">
        <v>5579366</v>
      </c>
    </row>
    <row r="170" spans="1:14" ht="33.75" customHeight="1" x14ac:dyDescent="0.2">
      <c r="A170" s="670" t="s">
        <v>1769</v>
      </c>
      <c r="B170" s="672" t="s">
        <v>31</v>
      </c>
      <c r="C170" s="617"/>
      <c r="D170" s="617"/>
      <c r="E170" s="617"/>
      <c r="F170" s="617"/>
      <c r="G170" s="617"/>
      <c r="H170" s="569">
        <v>2095876</v>
      </c>
      <c r="I170" s="617"/>
      <c r="J170" s="617"/>
      <c r="K170" s="1688">
        <f>SUM(C170:J170)</f>
        <v>2095876</v>
      </c>
      <c r="L170" s="569">
        <v>2078394</v>
      </c>
    </row>
    <row r="171" spans="1:14" ht="15.75" customHeight="1" x14ac:dyDescent="0.2">
      <c r="A171" s="622" t="s">
        <v>790</v>
      </c>
      <c r="B171" s="673" t="s">
        <v>86</v>
      </c>
      <c r="C171" s="617"/>
      <c r="D171" s="617"/>
      <c r="E171" s="466">
        <v>0</v>
      </c>
      <c r="F171" s="617"/>
      <c r="G171" s="617"/>
      <c r="H171" s="569">
        <v>4050</v>
      </c>
      <c r="I171" s="477"/>
      <c r="J171" s="617"/>
      <c r="K171" s="1688">
        <f>SUM(C171:J171)</f>
        <v>4050</v>
      </c>
      <c r="L171" s="569">
        <v>4140</v>
      </c>
    </row>
    <row r="172" spans="1:14" ht="12.75" customHeight="1" thickBot="1" x14ac:dyDescent="0.25">
      <c r="A172" s="1685" t="s">
        <v>659</v>
      </c>
      <c r="B172" s="1686" t="s">
        <v>513</v>
      </c>
      <c r="C172" s="617"/>
      <c r="D172" s="617"/>
      <c r="E172" s="1694">
        <f>SUM(E168,E169,E170,E171)</f>
        <v>0</v>
      </c>
      <c r="F172" s="617"/>
      <c r="G172" s="617"/>
      <c r="H172" s="1694">
        <f>SUM(H168,H169,H170,H171)</f>
        <v>7680824</v>
      </c>
      <c r="I172" s="639"/>
      <c r="J172" s="617"/>
      <c r="K172" s="1694">
        <f>SUM(K168,K169,K170,K171)</f>
        <v>7680824</v>
      </c>
      <c r="L172" s="1694">
        <f>SUM(L168,L169,L170,L171)</f>
        <v>7661900</v>
      </c>
    </row>
    <row r="173" spans="1:14" ht="15.75" customHeight="1" thickTop="1" thickBot="1" x14ac:dyDescent="0.25">
      <c r="A173" s="1636" t="s">
        <v>87</v>
      </c>
      <c r="B173" s="1628" t="s">
        <v>916</v>
      </c>
      <c r="C173" s="617"/>
      <c r="D173" s="617"/>
      <c r="E173" s="624"/>
      <c r="F173" s="617"/>
      <c r="G173" s="617"/>
      <c r="H173" s="627"/>
      <c r="I173" s="639"/>
      <c r="J173" s="617"/>
      <c r="K173" s="624"/>
      <c r="L173" s="576">
        <v>0</v>
      </c>
    </row>
    <row r="174" spans="1:14" ht="12.75" customHeight="1" thickTop="1" thickBot="1" x14ac:dyDescent="0.25">
      <c r="A174" s="1706" t="s">
        <v>92</v>
      </c>
      <c r="B174" s="1707"/>
      <c r="C174" s="617"/>
      <c r="D174" s="617"/>
      <c r="E174" s="1694">
        <f>SUM(E155,E172,E173)</f>
        <v>0</v>
      </c>
      <c r="F174" s="617"/>
      <c r="G174" s="617"/>
      <c r="H174" s="1694">
        <f>SUM(H160,H172,H173)</f>
        <v>7680824</v>
      </c>
      <c r="I174" s="639"/>
      <c r="J174" s="617"/>
      <c r="K174" s="1694">
        <f>SUM(K160,K172,K173)</f>
        <v>7680824</v>
      </c>
      <c r="L174" s="1694">
        <f>SUM(L160,L172,L173)</f>
        <v>7661900</v>
      </c>
    </row>
    <row r="175" spans="1:14" ht="13.5" thickTop="1" x14ac:dyDescent="0.2">
      <c r="A175" s="2450" t="s">
        <v>1053</v>
      </c>
      <c r="B175" s="2451"/>
      <c r="C175" s="617"/>
      <c r="D175" s="617"/>
      <c r="E175" s="617"/>
      <c r="F175" s="617"/>
      <c r="G175" s="617"/>
      <c r="H175" s="619"/>
      <c r="I175" s="617"/>
      <c r="J175" s="617"/>
      <c r="K175" s="1701">
        <f>'Revenues 9-14'!E275-'Expenditures 15-22'!K174</f>
        <v>61313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5" customFormat="1" ht="15.75" customHeight="1" x14ac:dyDescent="0.2">
      <c r="A178" s="1637" t="s">
        <v>995</v>
      </c>
      <c r="B178" s="1638"/>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1" t="s">
        <v>167</v>
      </c>
      <c r="B180" s="615">
        <v>2190</v>
      </c>
      <c r="C180" s="466">
        <v>0</v>
      </c>
      <c r="D180" s="466">
        <v>0</v>
      </c>
      <c r="E180" s="466">
        <v>0</v>
      </c>
      <c r="F180" s="466">
        <v>0</v>
      </c>
      <c r="G180" s="466">
        <v>0</v>
      </c>
      <c r="H180" s="466">
        <v>0</v>
      </c>
      <c r="I180" s="467">
        <v>0</v>
      </c>
      <c r="J180" s="467">
        <v>0</v>
      </c>
      <c r="K180" s="1688">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1" t="s">
        <v>1010</v>
      </c>
      <c r="B182" s="615">
        <v>2550</v>
      </c>
      <c r="C182" s="466">
        <v>37742</v>
      </c>
      <c r="D182" s="466">
        <v>8256</v>
      </c>
      <c r="E182" s="466">
        <v>2963041</v>
      </c>
      <c r="F182" s="466">
        <v>193379</v>
      </c>
      <c r="G182" s="466">
        <v>0</v>
      </c>
      <c r="H182" s="466">
        <v>0</v>
      </c>
      <c r="I182" s="467">
        <v>0</v>
      </c>
      <c r="J182" s="467">
        <v>0</v>
      </c>
      <c r="K182" s="1688">
        <f>SUM(C182:J182)</f>
        <v>3202418</v>
      </c>
      <c r="L182" s="466">
        <v>3167443</v>
      </c>
    </row>
    <row r="183" spans="1:14" ht="12.75" customHeight="1" thickBot="1" x14ac:dyDescent="0.25">
      <c r="A183" s="1526" t="s">
        <v>1037</v>
      </c>
      <c r="B183" s="678">
        <v>2900</v>
      </c>
      <c r="C183" s="573">
        <v>0</v>
      </c>
      <c r="D183" s="573">
        <v>0</v>
      </c>
      <c r="E183" s="573">
        <v>0</v>
      </c>
      <c r="F183" s="573">
        <v>0</v>
      </c>
      <c r="G183" s="573">
        <v>0</v>
      </c>
      <c r="H183" s="573">
        <v>0</v>
      </c>
      <c r="I183" s="532">
        <v>0</v>
      </c>
      <c r="J183" s="532">
        <v>0</v>
      </c>
      <c r="K183" s="1694">
        <f>SUM(C183:J183)</f>
        <v>0</v>
      </c>
      <c r="L183" s="573">
        <v>0</v>
      </c>
    </row>
    <row r="184" spans="1:14" ht="12.75" customHeight="1" thickTop="1" thickBot="1" x14ac:dyDescent="0.25">
      <c r="A184" s="1708" t="s">
        <v>865</v>
      </c>
      <c r="B184" s="1686" t="s">
        <v>590</v>
      </c>
      <c r="C184" s="1694">
        <f>SUM(C180,C182,C183)</f>
        <v>37742</v>
      </c>
      <c r="D184" s="1694">
        <f t="shared" ref="D184:J184" si="17">SUM(D180,D182,D183)</f>
        <v>8256</v>
      </c>
      <c r="E184" s="1694">
        <f t="shared" si="17"/>
        <v>2963041</v>
      </c>
      <c r="F184" s="1694">
        <f t="shared" si="17"/>
        <v>193379</v>
      </c>
      <c r="G184" s="1694">
        <f t="shared" si="17"/>
        <v>0</v>
      </c>
      <c r="H184" s="1694">
        <f t="shared" si="17"/>
        <v>0</v>
      </c>
      <c r="I184" s="1694">
        <f t="shared" si="17"/>
        <v>0</v>
      </c>
      <c r="J184" s="1694">
        <f t="shared" si="17"/>
        <v>0</v>
      </c>
      <c r="K184" s="1694">
        <f>SUM(K180,K182,K183)</f>
        <v>3202418</v>
      </c>
      <c r="L184" s="1694">
        <f>SUM(L180, L182:L183)</f>
        <v>3167443</v>
      </c>
    </row>
    <row r="185" spans="1:14" ht="15.75" customHeight="1" thickTop="1" thickBot="1" x14ac:dyDescent="0.25">
      <c r="A185" s="1639" t="s">
        <v>996</v>
      </c>
      <c r="B185" s="1628">
        <v>3000</v>
      </c>
      <c r="C185" s="576">
        <v>0</v>
      </c>
      <c r="D185" s="576">
        <v>0</v>
      </c>
      <c r="E185" s="576">
        <v>0</v>
      </c>
      <c r="F185" s="576">
        <v>0</v>
      </c>
      <c r="G185" s="576">
        <v>0</v>
      </c>
      <c r="H185" s="576">
        <v>0</v>
      </c>
      <c r="I185" s="531">
        <v>0</v>
      </c>
      <c r="J185" s="531">
        <v>0</v>
      </c>
      <c r="K185" s="1687">
        <f>SUM(C185:J185)</f>
        <v>0</v>
      </c>
      <c r="L185" s="576">
        <v>0</v>
      </c>
    </row>
    <row r="186" spans="1:14" s="675" customFormat="1" ht="15.75" customHeight="1" thickTop="1" x14ac:dyDescent="0.2">
      <c r="A186" s="1623" t="s">
        <v>93</v>
      </c>
      <c r="B186" s="1626"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1" t="s">
        <v>517</v>
      </c>
      <c r="B188" s="615">
        <v>4110</v>
      </c>
      <c r="C188" s="617"/>
      <c r="D188" s="617"/>
      <c r="E188" s="466">
        <v>0</v>
      </c>
      <c r="F188" s="617"/>
      <c r="G188" s="617"/>
      <c r="H188" s="466">
        <v>0</v>
      </c>
      <c r="I188" s="477"/>
      <c r="J188" s="617"/>
      <c r="K188" s="1688">
        <f t="shared" ref="K188:K193" si="18">SUM(E188,H188)</f>
        <v>0</v>
      </c>
      <c r="L188" s="466">
        <v>0</v>
      </c>
    </row>
    <row r="189" spans="1:14" x14ac:dyDescent="0.2">
      <c r="A189" s="1521" t="s">
        <v>322</v>
      </c>
      <c r="B189" s="615">
        <v>4120</v>
      </c>
      <c r="C189" s="617"/>
      <c r="D189" s="617"/>
      <c r="E189" s="466">
        <v>0</v>
      </c>
      <c r="F189" s="617"/>
      <c r="G189" s="617"/>
      <c r="H189" s="466">
        <v>0</v>
      </c>
      <c r="I189" s="477"/>
      <c r="J189" s="617"/>
      <c r="K189" s="1688">
        <f t="shared" si="18"/>
        <v>0</v>
      </c>
      <c r="L189" s="466">
        <v>0</v>
      </c>
    </row>
    <row r="190" spans="1:14" x14ac:dyDescent="0.2">
      <c r="A190" s="1521" t="s">
        <v>323</v>
      </c>
      <c r="B190" s="629">
        <v>4130</v>
      </c>
      <c r="C190" s="617"/>
      <c r="D190" s="617"/>
      <c r="E190" s="466">
        <v>0</v>
      </c>
      <c r="F190" s="617"/>
      <c r="G190" s="617"/>
      <c r="H190" s="466">
        <v>0</v>
      </c>
      <c r="I190" s="477"/>
      <c r="J190" s="617"/>
      <c r="K190" s="1688">
        <f t="shared" si="18"/>
        <v>0</v>
      </c>
      <c r="L190" s="466">
        <v>0</v>
      </c>
    </row>
    <row r="191" spans="1:14" x14ac:dyDescent="0.2">
      <c r="A191" s="1521" t="s">
        <v>721</v>
      </c>
      <c r="B191" s="615">
        <v>4140</v>
      </c>
      <c r="C191" s="617"/>
      <c r="D191" s="617"/>
      <c r="E191" s="466">
        <v>0</v>
      </c>
      <c r="F191" s="617"/>
      <c r="G191" s="617"/>
      <c r="H191" s="466">
        <v>0</v>
      </c>
      <c r="I191" s="477"/>
      <c r="J191" s="617"/>
      <c r="K191" s="1688">
        <f t="shared" si="18"/>
        <v>0</v>
      </c>
      <c r="L191" s="466">
        <v>0</v>
      </c>
    </row>
    <row r="192" spans="1:14" x14ac:dyDescent="0.2">
      <c r="A192" s="1521" t="s">
        <v>88</v>
      </c>
      <c r="B192" s="615">
        <v>4170</v>
      </c>
      <c r="C192" s="617"/>
      <c r="D192" s="617"/>
      <c r="E192" s="466">
        <v>0</v>
      </c>
      <c r="F192" s="617"/>
      <c r="G192" s="617"/>
      <c r="H192" s="466">
        <v>0</v>
      </c>
      <c r="I192" s="477"/>
      <c r="J192" s="617"/>
      <c r="K192" s="1688">
        <f t="shared" si="18"/>
        <v>0</v>
      </c>
      <c r="L192" s="466">
        <v>0</v>
      </c>
    </row>
    <row r="193" spans="1:14" x14ac:dyDescent="0.2">
      <c r="A193" s="1525" t="s">
        <v>722</v>
      </c>
      <c r="B193" s="629">
        <v>4190</v>
      </c>
      <c r="C193" s="617"/>
      <c r="D193" s="617"/>
      <c r="E193" s="466">
        <v>0</v>
      </c>
      <c r="F193" s="617"/>
      <c r="G193" s="617"/>
      <c r="H193" s="466">
        <v>0</v>
      </c>
      <c r="I193" s="477"/>
      <c r="J193" s="617"/>
      <c r="K193" s="1688">
        <f t="shared" si="18"/>
        <v>0</v>
      </c>
      <c r="L193" s="466">
        <v>0</v>
      </c>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v>0</v>
      </c>
      <c r="F195" s="617"/>
      <c r="G195" s="617"/>
      <c r="H195" s="657">
        <v>0</v>
      </c>
      <c r="I195" s="477"/>
      <c r="J195" s="617"/>
      <c r="K195" s="1702">
        <f>SUM(E195,H195)</f>
        <v>0</v>
      </c>
      <c r="L195" s="657">
        <v>0</v>
      </c>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29" t="s">
        <v>997</v>
      </c>
      <c r="B197" s="1626"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1" t="s">
        <v>89</v>
      </c>
      <c r="B199" s="615">
        <v>5110</v>
      </c>
      <c r="C199" s="617"/>
      <c r="D199" s="617"/>
      <c r="E199" s="617"/>
      <c r="F199" s="617"/>
      <c r="G199" s="617"/>
      <c r="H199" s="466">
        <v>0</v>
      </c>
      <c r="I199" s="617"/>
      <c r="J199" s="617"/>
      <c r="K199" s="1688">
        <f>SUM(H199)</f>
        <v>0</v>
      </c>
      <c r="L199" s="466">
        <v>0</v>
      </c>
    </row>
    <row r="200" spans="1:14" x14ac:dyDescent="0.2">
      <c r="A200" s="1521" t="s">
        <v>90</v>
      </c>
      <c r="B200" s="615">
        <v>5120</v>
      </c>
      <c r="C200" s="617"/>
      <c r="D200" s="617"/>
      <c r="E200" s="617"/>
      <c r="F200" s="617"/>
      <c r="G200" s="617"/>
      <c r="H200" s="466">
        <v>0</v>
      </c>
      <c r="I200" s="617"/>
      <c r="J200" s="617"/>
      <c r="K200" s="1688">
        <f>SUM(H200)</f>
        <v>0</v>
      </c>
      <c r="L200" s="466">
        <v>0</v>
      </c>
    </row>
    <row r="201" spans="1:14" ht="12.75" customHeight="1" x14ac:dyDescent="0.2">
      <c r="A201" s="1521" t="s">
        <v>1232</v>
      </c>
      <c r="B201" s="629" t="s">
        <v>638</v>
      </c>
      <c r="C201" s="617"/>
      <c r="D201" s="617"/>
      <c r="E201" s="617"/>
      <c r="F201" s="617"/>
      <c r="G201" s="617"/>
      <c r="H201" s="466">
        <v>0</v>
      </c>
      <c r="I201" s="617"/>
      <c r="J201" s="617"/>
      <c r="K201" s="1688">
        <f>SUM(H201)</f>
        <v>0</v>
      </c>
      <c r="L201" s="466">
        <v>0</v>
      </c>
    </row>
    <row r="202" spans="1:14" x14ac:dyDescent="0.2">
      <c r="A202" s="1521" t="s">
        <v>91</v>
      </c>
      <c r="B202" s="615" t="s">
        <v>610</v>
      </c>
      <c r="C202" s="617"/>
      <c r="D202" s="617"/>
      <c r="E202" s="617"/>
      <c r="F202" s="617"/>
      <c r="G202" s="617"/>
      <c r="H202" s="466">
        <v>0</v>
      </c>
      <c r="I202" s="617"/>
      <c r="J202" s="617"/>
      <c r="K202" s="1688">
        <f>SUM(H202)</f>
        <v>0</v>
      </c>
      <c r="L202" s="466">
        <v>0</v>
      </c>
    </row>
    <row r="203" spans="1:14" x14ac:dyDescent="0.2">
      <c r="A203" s="1533" t="s">
        <v>640</v>
      </c>
      <c r="B203" s="615" t="s">
        <v>639</v>
      </c>
      <c r="C203" s="617"/>
      <c r="D203" s="617"/>
      <c r="E203" s="617"/>
      <c r="F203" s="617"/>
      <c r="G203" s="617"/>
      <c r="H203" s="471">
        <v>0</v>
      </c>
      <c r="I203" s="617"/>
      <c r="J203" s="617"/>
      <c r="K203" s="1688">
        <f>SUM(H203)</f>
        <v>0</v>
      </c>
      <c r="L203" s="471">
        <v>0</v>
      </c>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v>0</v>
      </c>
      <c r="I205" s="617"/>
      <c r="J205" s="617"/>
      <c r="K205" s="1702">
        <f>SUM(H205)</f>
        <v>0</v>
      </c>
      <c r="L205" s="535">
        <v>0</v>
      </c>
    </row>
    <row r="206" spans="1:14" ht="30" customHeight="1" x14ac:dyDescent="0.2">
      <c r="A206" s="682" t="s">
        <v>1770</v>
      </c>
      <c r="B206" s="673" t="s">
        <v>31</v>
      </c>
      <c r="C206" s="617"/>
      <c r="D206" s="617"/>
      <c r="E206" s="617"/>
      <c r="F206" s="617"/>
      <c r="G206" s="617"/>
      <c r="H206" s="466">
        <v>0</v>
      </c>
      <c r="I206" s="617"/>
      <c r="J206" s="617"/>
      <c r="K206" s="1688">
        <f>SUM(H206)</f>
        <v>0</v>
      </c>
      <c r="L206" s="466">
        <v>0</v>
      </c>
    </row>
    <row r="207" spans="1:14" ht="15.75" customHeight="1" x14ac:dyDescent="0.2">
      <c r="A207" s="622" t="s">
        <v>790</v>
      </c>
      <c r="B207" s="673" t="s">
        <v>86</v>
      </c>
      <c r="C207" s="617"/>
      <c r="D207" s="617"/>
      <c r="E207" s="617"/>
      <c r="F207" s="617"/>
      <c r="G207" s="617"/>
      <c r="H207" s="467">
        <v>0</v>
      </c>
      <c r="I207" s="617"/>
      <c r="J207" s="617"/>
      <c r="K207" s="1688">
        <f>H207</f>
        <v>0</v>
      </c>
      <c r="L207" s="466">
        <v>0</v>
      </c>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0</v>
      </c>
    </row>
    <row r="210" spans="1:14" ht="12.75" customHeight="1" thickTop="1" thickBot="1" x14ac:dyDescent="0.25">
      <c r="A210" s="1709" t="s">
        <v>295</v>
      </c>
      <c r="B210" s="1710"/>
      <c r="C210" s="1687">
        <f>SUM(C184,C185)</f>
        <v>37742</v>
      </c>
      <c r="D210" s="1687">
        <f>SUM(D184,D185)</f>
        <v>8256</v>
      </c>
      <c r="E210" s="1687">
        <f>SUM(E184,E185,E196)</f>
        <v>2963041</v>
      </c>
      <c r="F210" s="1687">
        <f>SUM(F184,F185)</f>
        <v>193379</v>
      </c>
      <c r="G210" s="1687">
        <f>SUM(G184,G185)</f>
        <v>0</v>
      </c>
      <c r="H210" s="1687">
        <f>SUM(H184,H185,H196,H208,H209)</f>
        <v>0</v>
      </c>
      <c r="I210" s="1687">
        <f>SUM(I184,I185)</f>
        <v>0</v>
      </c>
      <c r="J210" s="1687">
        <f>SUM(J184,J185)</f>
        <v>0</v>
      </c>
      <c r="K210" s="1688">
        <f>SUM(K184,K185,K196,K208,K209)</f>
        <v>3202418</v>
      </c>
      <c r="L210" s="1687">
        <f>SUM(L184,L185,L196,L208,L209)</f>
        <v>3167443</v>
      </c>
    </row>
    <row r="211" spans="1:14" ht="13.5" thickTop="1" x14ac:dyDescent="0.2">
      <c r="A211" s="2450" t="s">
        <v>1053</v>
      </c>
      <c r="B211" s="2451"/>
      <c r="C211" s="619"/>
      <c r="D211" s="619"/>
      <c r="E211" s="619"/>
      <c r="F211" s="619"/>
      <c r="G211" s="619"/>
      <c r="H211" s="619"/>
      <c r="I211" s="617"/>
      <c r="J211" s="617"/>
      <c r="K211" s="1701">
        <f>'Revenues 9-14'!F275-'Expenditures 15-22'!K210</f>
        <v>52303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472" t="s">
        <v>1022</v>
      </c>
      <c r="B213" s="2473"/>
      <c r="C213" s="1568"/>
      <c r="D213" s="1569"/>
      <c r="E213" s="1569"/>
      <c r="F213" s="1569"/>
      <c r="G213" s="1569"/>
      <c r="H213" s="1569"/>
      <c r="I213" s="1569"/>
      <c r="J213" s="1569"/>
      <c r="K213" s="1569"/>
      <c r="L213" s="1570"/>
      <c r="M213" s="610"/>
      <c r="N213" s="610"/>
    </row>
    <row r="214" spans="1:14" s="675" customFormat="1" ht="15.75" customHeight="1" x14ac:dyDescent="0.2">
      <c r="A214" s="1640" t="s">
        <v>928</v>
      </c>
      <c r="B214" s="1632" t="s">
        <v>591</v>
      </c>
      <c r="C214" s="617"/>
      <c r="D214" s="624"/>
      <c r="E214" s="617"/>
      <c r="F214" s="617"/>
      <c r="G214" s="617"/>
      <c r="H214" s="617"/>
      <c r="I214" s="617"/>
      <c r="J214" s="617"/>
      <c r="K214" s="624"/>
      <c r="L214" s="624"/>
      <c r="M214" s="666"/>
      <c r="N214" s="666"/>
    </row>
    <row r="215" spans="1:14" x14ac:dyDescent="0.2">
      <c r="A215" s="1521" t="s">
        <v>1018</v>
      </c>
      <c r="B215" s="615">
        <v>1100</v>
      </c>
      <c r="C215" s="617"/>
      <c r="D215" s="466">
        <v>214217</v>
      </c>
      <c r="E215" s="617"/>
      <c r="F215" s="617"/>
      <c r="G215" s="617"/>
      <c r="H215" s="617"/>
      <c r="I215" s="617"/>
      <c r="J215" s="617"/>
      <c r="K215" s="1688">
        <f>D215</f>
        <v>214217</v>
      </c>
      <c r="L215" s="466">
        <v>205719</v>
      </c>
    </row>
    <row r="216" spans="1:14" x14ac:dyDescent="0.2">
      <c r="A216" s="1521" t="s">
        <v>165</v>
      </c>
      <c r="B216" s="615" t="s">
        <v>1024</v>
      </c>
      <c r="C216" s="617"/>
      <c r="D216" s="467">
        <v>4380</v>
      </c>
      <c r="E216" s="617"/>
      <c r="F216" s="617"/>
      <c r="G216" s="617"/>
      <c r="H216" s="617"/>
      <c r="I216" s="617"/>
      <c r="J216" s="617"/>
      <c r="K216" s="1688">
        <f t="shared" ref="K216:K228" si="19">D216</f>
        <v>4380</v>
      </c>
      <c r="L216" s="466">
        <v>4543</v>
      </c>
    </row>
    <row r="217" spans="1:14" x14ac:dyDescent="0.2">
      <c r="A217" s="1521" t="s">
        <v>166</v>
      </c>
      <c r="B217" s="615">
        <v>1200</v>
      </c>
      <c r="C217" s="617"/>
      <c r="D217" s="466">
        <v>293099</v>
      </c>
      <c r="E217" s="617"/>
      <c r="F217" s="617"/>
      <c r="G217" s="617"/>
      <c r="H217" s="617"/>
      <c r="I217" s="617"/>
      <c r="J217" s="617"/>
      <c r="K217" s="1688">
        <f t="shared" si="19"/>
        <v>293099</v>
      </c>
      <c r="L217" s="466">
        <v>301765</v>
      </c>
    </row>
    <row r="218" spans="1:14" x14ac:dyDescent="0.2">
      <c r="A218" s="1521" t="s">
        <v>296</v>
      </c>
      <c r="B218" s="615" t="s">
        <v>1025</v>
      </c>
      <c r="C218" s="617"/>
      <c r="D218" s="467">
        <v>52476</v>
      </c>
      <c r="E218" s="617"/>
      <c r="F218" s="617"/>
      <c r="G218" s="617"/>
      <c r="H218" s="617"/>
      <c r="I218" s="617"/>
      <c r="J218" s="617"/>
      <c r="K218" s="1688">
        <f t="shared" si="19"/>
        <v>52476</v>
      </c>
      <c r="L218" s="466">
        <v>56238</v>
      </c>
    </row>
    <row r="219" spans="1:14" x14ac:dyDescent="0.2">
      <c r="A219" s="1521" t="s">
        <v>297</v>
      </c>
      <c r="B219" s="615">
        <v>1250</v>
      </c>
      <c r="C219" s="617"/>
      <c r="D219" s="466">
        <v>95361</v>
      </c>
      <c r="E219" s="617"/>
      <c r="F219" s="617"/>
      <c r="G219" s="617"/>
      <c r="H219" s="617"/>
      <c r="I219" s="617"/>
      <c r="J219" s="617"/>
      <c r="K219" s="1688">
        <f t="shared" si="19"/>
        <v>95361</v>
      </c>
      <c r="L219" s="466">
        <v>99625</v>
      </c>
    </row>
    <row r="220" spans="1:14" x14ac:dyDescent="0.2">
      <c r="A220" s="1521" t="s">
        <v>298</v>
      </c>
      <c r="B220" s="615" t="s">
        <v>163</v>
      </c>
      <c r="C220" s="617"/>
      <c r="D220" s="467">
        <v>0</v>
      </c>
      <c r="E220" s="617"/>
      <c r="F220" s="617"/>
      <c r="G220" s="617"/>
      <c r="H220" s="617"/>
      <c r="I220" s="617"/>
      <c r="J220" s="617"/>
      <c r="K220" s="1688">
        <f t="shared" si="19"/>
        <v>0</v>
      </c>
      <c r="L220" s="466">
        <v>0</v>
      </c>
    </row>
    <row r="221" spans="1:14" x14ac:dyDescent="0.2">
      <c r="A221" s="1521" t="s">
        <v>1019</v>
      </c>
      <c r="B221" s="615">
        <v>1300</v>
      </c>
      <c r="C221" s="617"/>
      <c r="D221" s="466">
        <v>0</v>
      </c>
      <c r="E221" s="617"/>
      <c r="F221" s="617"/>
      <c r="G221" s="617"/>
      <c r="H221" s="617"/>
      <c r="I221" s="617"/>
      <c r="J221" s="617"/>
      <c r="K221" s="1688">
        <f t="shared" si="19"/>
        <v>0</v>
      </c>
      <c r="L221" s="466">
        <v>0</v>
      </c>
    </row>
    <row r="222" spans="1:14" x14ac:dyDescent="0.2">
      <c r="A222" s="1521" t="s">
        <v>747</v>
      </c>
      <c r="B222" s="615">
        <v>1400</v>
      </c>
      <c r="C222" s="617"/>
      <c r="D222" s="466">
        <v>0</v>
      </c>
      <c r="E222" s="617"/>
      <c r="F222" s="617"/>
      <c r="G222" s="617"/>
      <c r="H222" s="617"/>
      <c r="I222" s="617"/>
      <c r="J222" s="617"/>
      <c r="K222" s="1688">
        <f t="shared" si="19"/>
        <v>0</v>
      </c>
      <c r="L222" s="466">
        <v>0</v>
      </c>
    </row>
    <row r="223" spans="1:14" x14ac:dyDescent="0.2">
      <c r="A223" s="1521" t="s">
        <v>1020</v>
      </c>
      <c r="B223" s="615">
        <v>1500</v>
      </c>
      <c r="C223" s="617"/>
      <c r="D223" s="466">
        <v>17456</v>
      </c>
      <c r="E223" s="617"/>
      <c r="F223" s="617"/>
      <c r="G223" s="617"/>
      <c r="H223" s="617"/>
      <c r="I223" s="617"/>
      <c r="J223" s="617"/>
      <c r="K223" s="1688">
        <f t="shared" si="19"/>
        <v>17456</v>
      </c>
      <c r="L223" s="466">
        <v>18682</v>
      </c>
    </row>
    <row r="224" spans="1:14" x14ac:dyDescent="0.2">
      <c r="A224" s="1521" t="s">
        <v>1021</v>
      </c>
      <c r="B224" s="615">
        <v>1600</v>
      </c>
      <c r="C224" s="617"/>
      <c r="D224" s="466">
        <v>8919</v>
      </c>
      <c r="E224" s="617"/>
      <c r="F224" s="617"/>
      <c r="G224" s="617"/>
      <c r="H224" s="617"/>
      <c r="I224" s="617"/>
      <c r="J224" s="617"/>
      <c r="K224" s="1688">
        <f t="shared" si="19"/>
        <v>8919</v>
      </c>
      <c r="L224" s="466">
        <v>10406</v>
      </c>
    </row>
    <row r="225" spans="1:12" x14ac:dyDescent="0.2">
      <c r="A225" s="1521" t="s">
        <v>1044</v>
      </c>
      <c r="B225" s="615">
        <v>1650</v>
      </c>
      <c r="C225" s="617"/>
      <c r="D225" s="466">
        <v>0</v>
      </c>
      <c r="E225" s="617"/>
      <c r="F225" s="617"/>
      <c r="G225" s="617"/>
      <c r="H225" s="617"/>
      <c r="I225" s="617"/>
      <c r="J225" s="617"/>
      <c r="K225" s="1688">
        <f t="shared" si="19"/>
        <v>0</v>
      </c>
      <c r="L225" s="466">
        <v>0</v>
      </c>
    </row>
    <row r="226" spans="1:12" x14ac:dyDescent="0.2">
      <c r="A226" s="1521" t="s">
        <v>748</v>
      </c>
      <c r="B226" s="615" t="s">
        <v>164</v>
      </c>
      <c r="C226" s="617"/>
      <c r="D226" s="467">
        <v>0</v>
      </c>
      <c r="E226" s="617"/>
      <c r="F226" s="617"/>
      <c r="G226" s="617"/>
      <c r="H226" s="617"/>
      <c r="I226" s="617"/>
      <c r="J226" s="617"/>
      <c r="K226" s="1688">
        <f t="shared" si="19"/>
        <v>0</v>
      </c>
      <c r="L226" s="466">
        <v>0</v>
      </c>
    </row>
    <row r="227" spans="1:12" x14ac:dyDescent="0.2">
      <c r="A227" s="1521" t="s">
        <v>1148</v>
      </c>
      <c r="B227" s="615">
        <v>1800</v>
      </c>
      <c r="C227" s="617"/>
      <c r="D227" s="466">
        <v>38493</v>
      </c>
      <c r="E227" s="617"/>
      <c r="F227" s="617"/>
      <c r="G227" s="617"/>
      <c r="H227" s="617"/>
      <c r="I227" s="617"/>
      <c r="J227" s="617"/>
      <c r="K227" s="1688">
        <f t="shared" si="19"/>
        <v>38493</v>
      </c>
      <c r="L227" s="466">
        <v>35752</v>
      </c>
    </row>
    <row r="228" spans="1:12" x14ac:dyDescent="0.2">
      <c r="A228" s="1521" t="s">
        <v>1149</v>
      </c>
      <c r="B228" s="615">
        <v>1900</v>
      </c>
      <c r="C228" s="617"/>
      <c r="D228" s="466">
        <v>0</v>
      </c>
      <c r="E228" s="617"/>
      <c r="F228" s="617"/>
      <c r="G228" s="617"/>
      <c r="H228" s="617"/>
      <c r="I228" s="617"/>
      <c r="J228" s="617"/>
      <c r="K228" s="1688">
        <f t="shared" si="19"/>
        <v>0</v>
      </c>
      <c r="L228" s="466">
        <v>0</v>
      </c>
    </row>
    <row r="229" spans="1:12" ht="12.75" customHeight="1" thickBot="1" x14ac:dyDescent="0.25">
      <c r="A229" s="1685" t="s">
        <v>739</v>
      </c>
      <c r="B229" s="1692" t="s">
        <v>591</v>
      </c>
      <c r="C229" s="617"/>
      <c r="D229" s="1687">
        <f>SUM(D215:D228)</f>
        <v>724401</v>
      </c>
      <c r="E229" s="617"/>
      <c r="F229" s="617"/>
      <c r="G229" s="617"/>
      <c r="H229" s="617"/>
      <c r="I229" s="617"/>
      <c r="J229" s="617"/>
      <c r="K229" s="1687">
        <f>SUM(K215:K228)</f>
        <v>724401</v>
      </c>
      <c r="L229" s="1687">
        <f>SUM(L215:L228)</f>
        <v>732730</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1" t="s">
        <v>1150</v>
      </c>
      <c r="B232" s="615">
        <v>2110</v>
      </c>
      <c r="C232" s="617"/>
      <c r="D232" s="466">
        <v>14105</v>
      </c>
      <c r="E232" s="617"/>
      <c r="F232" s="617"/>
      <c r="G232" s="617"/>
      <c r="H232" s="617"/>
      <c r="I232" s="617"/>
      <c r="J232" s="617"/>
      <c r="K232" s="1688">
        <f t="shared" ref="K232:K237" si="20">D232</f>
        <v>14105</v>
      </c>
      <c r="L232" s="466">
        <v>14296</v>
      </c>
    </row>
    <row r="233" spans="1:12" x14ac:dyDescent="0.2">
      <c r="A233" s="1521" t="s">
        <v>1151</v>
      </c>
      <c r="B233" s="615">
        <v>2120</v>
      </c>
      <c r="C233" s="617"/>
      <c r="D233" s="466">
        <v>0</v>
      </c>
      <c r="E233" s="617"/>
      <c r="F233" s="617"/>
      <c r="G233" s="617"/>
      <c r="H233" s="617"/>
      <c r="I233" s="617"/>
      <c r="J233" s="617"/>
      <c r="K233" s="1688">
        <f t="shared" si="20"/>
        <v>0</v>
      </c>
      <c r="L233" s="466">
        <v>0</v>
      </c>
    </row>
    <row r="234" spans="1:12" x14ac:dyDescent="0.2">
      <c r="A234" s="1521" t="s">
        <v>207</v>
      </c>
      <c r="B234" s="615">
        <v>2130</v>
      </c>
      <c r="C234" s="617"/>
      <c r="D234" s="466">
        <v>60397</v>
      </c>
      <c r="E234" s="617"/>
      <c r="F234" s="617"/>
      <c r="G234" s="617"/>
      <c r="H234" s="617"/>
      <c r="I234" s="617"/>
      <c r="J234" s="617"/>
      <c r="K234" s="1688">
        <f t="shared" si="20"/>
        <v>60397</v>
      </c>
      <c r="L234" s="466">
        <v>60068</v>
      </c>
    </row>
    <row r="235" spans="1:12" x14ac:dyDescent="0.2">
      <c r="A235" s="1521" t="s">
        <v>208</v>
      </c>
      <c r="B235" s="615">
        <v>2140</v>
      </c>
      <c r="C235" s="617"/>
      <c r="D235" s="466">
        <v>4074</v>
      </c>
      <c r="E235" s="617"/>
      <c r="F235" s="617"/>
      <c r="G235" s="617"/>
      <c r="H235" s="617"/>
      <c r="I235" s="617"/>
      <c r="J235" s="617"/>
      <c r="K235" s="1688">
        <f t="shared" si="20"/>
        <v>4074</v>
      </c>
      <c r="L235" s="466">
        <v>4738</v>
      </c>
    </row>
    <row r="236" spans="1:12" x14ac:dyDescent="0.2">
      <c r="A236" s="1521" t="s">
        <v>209</v>
      </c>
      <c r="B236" s="615">
        <v>2150</v>
      </c>
      <c r="C236" s="617"/>
      <c r="D236" s="466">
        <v>11083</v>
      </c>
      <c r="E236" s="617"/>
      <c r="F236" s="617"/>
      <c r="G236" s="617"/>
      <c r="H236" s="617"/>
      <c r="I236" s="617"/>
      <c r="J236" s="617"/>
      <c r="K236" s="1688">
        <f t="shared" si="20"/>
        <v>11083</v>
      </c>
      <c r="L236" s="466">
        <v>11016</v>
      </c>
    </row>
    <row r="237" spans="1:12" x14ac:dyDescent="0.2">
      <c r="A237" s="1521" t="s">
        <v>167</v>
      </c>
      <c r="B237" s="615">
        <v>2190</v>
      </c>
      <c r="C237" s="617"/>
      <c r="D237" s="466">
        <v>84748</v>
      </c>
      <c r="E237" s="617"/>
      <c r="F237" s="617"/>
      <c r="G237" s="617"/>
      <c r="H237" s="617"/>
      <c r="I237" s="617"/>
      <c r="J237" s="617"/>
      <c r="K237" s="1688">
        <f t="shared" si="20"/>
        <v>84748</v>
      </c>
      <c r="L237" s="466">
        <v>84877</v>
      </c>
    </row>
    <row r="238" spans="1:12" ht="12.75" customHeight="1" thickBot="1" x14ac:dyDescent="0.25">
      <c r="A238" s="1685" t="s">
        <v>581</v>
      </c>
      <c r="B238" s="1692" t="s">
        <v>740</v>
      </c>
      <c r="C238" s="617"/>
      <c r="D238" s="1687">
        <f>SUM(D232:D237)</f>
        <v>174407</v>
      </c>
      <c r="E238" s="617"/>
      <c r="F238" s="617"/>
      <c r="G238" s="617"/>
      <c r="H238" s="617"/>
      <c r="I238" s="617"/>
      <c r="J238" s="617"/>
      <c r="K238" s="1687">
        <f>SUM(K232:K237)</f>
        <v>174407</v>
      </c>
      <c r="L238" s="1687">
        <f>SUM(L232:L237)</f>
        <v>174995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28417</v>
      </c>
      <c r="E240" s="617"/>
      <c r="F240" s="617"/>
      <c r="G240" s="617"/>
      <c r="H240" s="617"/>
      <c r="I240" s="617"/>
      <c r="J240" s="617"/>
      <c r="K240" s="1689">
        <f>D240</f>
        <v>28417</v>
      </c>
      <c r="L240" s="481">
        <v>28128</v>
      </c>
    </row>
    <row r="241" spans="1:12" x14ac:dyDescent="0.2">
      <c r="A241" s="1521" t="s">
        <v>869</v>
      </c>
      <c r="B241" s="615">
        <v>2220</v>
      </c>
      <c r="C241" s="617"/>
      <c r="D241" s="466">
        <v>33992</v>
      </c>
      <c r="E241" s="617"/>
      <c r="F241" s="617"/>
      <c r="G241" s="617"/>
      <c r="H241" s="617"/>
      <c r="I241" s="617"/>
      <c r="J241" s="617"/>
      <c r="K241" s="1689">
        <f>D241</f>
        <v>33992</v>
      </c>
      <c r="L241" s="466">
        <v>35756</v>
      </c>
    </row>
    <row r="242" spans="1:12" x14ac:dyDescent="0.2">
      <c r="A242" s="1521" t="s">
        <v>870</v>
      </c>
      <c r="B242" s="615">
        <v>2230</v>
      </c>
      <c r="C242" s="617"/>
      <c r="D242" s="466">
        <v>8</v>
      </c>
      <c r="E242" s="617"/>
      <c r="F242" s="617"/>
      <c r="G242" s="617"/>
      <c r="H242" s="617"/>
      <c r="I242" s="617"/>
      <c r="J242" s="617"/>
      <c r="K242" s="1689">
        <f>D242</f>
        <v>8</v>
      </c>
      <c r="L242" s="466">
        <v>0</v>
      </c>
    </row>
    <row r="243" spans="1:12" ht="12.75" customHeight="1" thickBot="1" x14ac:dyDescent="0.25">
      <c r="A243" s="1711" t="s">
        <v>582</v>
      </c>
      <c r="B243" s="1712">
        <v>2200</v>
      </c>
      <c r="C243" s="617"/>
      <c r="D243" s="1687">
        <f>SUM(D240:D242)</f>
        <v>62417</v>
      </c>
      <c r="E243" s="617"/>
      <c r="F243" s="617"/>
      <c r="G243" s="617"/>
      <c r="H243" s="617"/>
      <c r="I243" s="617"/>
      <c r="J243" s="617"/>
      <c r="K243" s="1687">
        <f>SUM(K240:K242)</f>
        <v>62417</v>
      </c>
      <c r="L243" s="1687">
        <f>SUM(L240:L242)</f>
        <v>63884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1" t="s">
        <v>871</v>
      </c>
      <c r="B245" s="615">
        <v>2310</v>
      </c>
      <c r="C245" s="617"/>
      <c r="D245" s="481">
        <v>1952</v>
      </c>
      <c r="E245" s="617"/>
      <c r="F245" s="617"/>
      <c r="G245" s="617"/>
      <c r="H245" s="617"/>
      <c r="I245" s="617"/>
      <c r="J245" s="617"/>
      <c r="K245" s="1689">
        <f>D245</f>
        <v>1952</v>
      </c>
      <c r="L245" s="481">
        <v>2668</v>
      </c>
    </row>
    <row r="246" spans="1:12" x14ac:dyDescent="0.2">
      <c r="A246" s="1521" t="s">
        <v>872</v>
      </c>
      <c r="B246" s="615">
        <v>2320</v>
      </c>
      <c r="C246" s="617"/>
      <c r="D246" s="466">
        <v>2951</v>
      </c>
      <c r="E246" s="617"/>
      <c r="F246" s="617"/>
      <c r="G246" s="617"/>
      <c r="H246" s="617"/>
      <c r="I246" s="617"/>
      <c r="J246" s="617"/>
      <c r="K246" s="1689">
        <f t="shared" ref="K246:K256" si="21">D246</f>
        <v>2951</v>
      </c>
      <c r="L246" s="466">
        <v>8542</v>
      </c>
    </row>
    <row r="247" spans="1:12" x14ac:dyDescent="0.2">
      <c r="A247" s="1521" t="s">
        <v>873</v>
      </c>
      <c r="B247" s="615">
        <v>2330</v>
      </c>
      <c r="C247" s="617"/>
      <c r="D247" s="466">
        <v>23436</v>
      </c>
      <c r="E247" s="617"/>
      <c r="F247" s="617"/>
      <c r="G247" s="617"/>
      <c r="H247" s="617"/>
      <c r="I247" s="617"/>
      <c r="J247" s="617"/>
      <c r="K247" s="1689">
        <f t="shared" si="21"/>
        <v>23436</v>
      </c>
      <c r="L247" s="466">
        <v>22699</v>
      </c>
    </row>
    <row r="248" spans="1:12" x14ac:dyDescent="0.2">
      <c r="A248" s="1522" t="s">
        <v>317</v>
      </c>
      <c r="B248" s="603" t="s">
        <v>299</v>
      </c>
      <c r="C248" s="617"/>
      <c r="D248" s="474">
        <v>0</v>
      </c>
      <c r="E248" s="617"/>
      <c r="F248" s="617"/>
      <c r="G248" s="617"/>
      <c r="H248" s="617"/>
      <c r="I248" s="617"/>
      <c r="J248" s="617"/>
      <c r="K248" s="1689">
        <f t="shared" si="21"/>
        <v>0</v>
      </c>
      <c r="L248" s="466">
        <v>0</v>
      </c>
    </row>
    <row r="249" spans="1:12" x14ac:dyDescent="0.2">
      <c r="A249" s="1523" t="s">
        <v>1905</v>
      </c>
      <c r="B249" s="684" t="s">
        <v>300</v>
      </c>
      <c r="C249" s="617"/>
      <c r="D249" s="474">
        <v>0</v>
      </c>
      <c r="E249" s="617"/>
      <c r="F249" s="617"/>
      <c r="G249" s="617"/>
      <c r="H249" s="617"/>
      <c r="I249" s="617"/>
      <c r="J249" s="617"/>
      <c r="K249" s="1689">
        <f t="shared" si="21"/>
        <v>0</v>
      </c>
      <c r="L249" s="466">
        <v>0</v>
      </c>
    </row>
    <row r="250" spans="1:12" x14ac:dyDescent="0.2">
      <c r="A250" s="1522" t="s">
        <v>1906</v>
      </c>
      <c r="B250" s="603" t="s">
        <v>301</v>
      </c>
      <c r="C250" s="617"/>
      <c r="D250" s="474">
        <v>0</v>
      </c>
      <c r="E250" s="617"/>
      <c r="F250" s="617"/>
      <c r="G250" s="617"/>
      <c r="H250" s="617"/>
      <c r="I250" s="617"/>
      <c r="J250" s="617"/>
      <c r="K250" s="1689">
        <f t="shared" si="21"/>
        <v>0</v>
      </c>
      <c r="L250" s="466">
        <v>0</v>
      </c>
    </row>
    <row r="251" spans="1:12" x14ac:dyDescent="0.2">
      <c r="A251" s="1522" t="s">
        <v>256</v>
      </c>
      <c r="B251" s="603" t="s">
        <v>302</v>
      </c>
      <c r="C251" s="617"/>
      <c r="D251" s="474">
        <v>0</v>
      </c>
      <c r="E251" s="617"/>
      <c r="F251" s="617"/>
      <c r="G251" s="617"/>
      <c r="H251" s="617"/>
      <c r="I251" s="617"/>
      <c r="J251" s="617"/>
      <c r="K251" s="1689">
        <f t="shared" si="21"/>
        <v>0</v>
      </c>
      <c r="L251" s="466">
        <v>0</v>
      </c>
    </row>
    <row r="252" spans="1:12" x14ac:dyDescent="0.2">
      <c r="A252" s="1522" t="s">
        <v>726</v>
      </c>
      <c r="B252" s="603" t="s">
        <v>303</v>
      </c>
      <c r="C252" s="617"/>
      <c r="D252" s="474">
        <v>0</v>
      </c>
      <c r="E252" s="617"/>
      <c r="F252" s="617"/>
      <c r="G252" s="617"/>
      <c r="H252" s="617"/>
      <c r="I252" s="617"/>
      <c r="J252" s="617"/>
      <c r="K252" s="1689">
        <f t="shared" si="21"/>
        <v>0</v>
      </c>
      <c r="L252" s="466">
        <v>0</v>
      </c>
    </row>
    <row r="253" spans="1:12" x14ac:dyDescent="0.2">
      <c r="A253" s="1522" t="s">
        <v>257</v>
      </c>
      <c r="B253" s="603" t="s">
        <v>304</v>
      </c>
      <c r="C253" s="617"/>
      <c r="D253" s="474">
        <v>0</v>
      </c>
      <c r="E253" s="617"/>
      <c r="F253" s="617"/>
      <c r="G253" s="617"/>
      <c r="H253" s="617"/>
      <c r="I253" s="617"/>
      <c r="J253" s="617"/>
      <c r="K253" s="1689">
        <f t="shared" si="21"/>
        <v>0</v>
      </c>
      <c r="L253" s="466">
        <v>0</v>
      </c>
    </row>
    <row r="254" spans="1:12" ht="22.5" x14ac:dyDescent="0.2">
      <c r="A254" s="1522" t="s">
        <v>1087</v>
      </c>
      <c r="B254" s="684" t="s">
        <v>305</v>
      </c>
      <c r="C254" s="617"/>
      <c r="D254" s="474">
        <v>0</v>
      </c>
      <c r="E254" s="617"/>
      <c r="F254" s="617"/>
      <c r="G254" s="617"/>
      <c r="H254" s="617"/>
      <c r="I254" s="617"/>
      <c r="J254" s="617"/>
      <c r="K254" s="1689">
        <f t="shared" si="21"/>
        <v>0</v>
      </c>
      <c r="L254" s="466">
        <v>0</v>
      </c>
    </row>
    <row r="255" spans="1:12" x14ac:dyDescent="0.2">
      <c r="A255" s="1522" t="s">
        <v>1088</v>
      </c>
      <c r="B255" s="603" t="s">
        <v>306</v>
      </c>
      <c r="C255" s="617"/>
      <c r="D255" s="474">
        <v>0</v>
      </c>
      <c r="E255" s="617"/>
      <c r="F255" s="617"/>
      <c r="G255" s="617"/>
      <c r="H255" s="617"/>
      <c r="I255" s="617"/>
      <c r="J255" s="617"/>
      <c r="K255" s="1689">
        <f t="shared" si="21"/>
        <v>0</v>
      </c>
      <c r="L255" s="466">
        <v>0</v>
      </c>
    </row>
    <row r="256" spans="1:12" x14ac:dyDescent="0.2">
      <c r="A256" s="1522" t="s">
        <v>1028</v>
      </c>
      <c r="B256" s="615" t="s">
        <v>307</v>
      </c>
      <c r="C256" s="617"/>
      <c r="D256" s="474">
        <v>0</v>
      </c>
      <c r="E256" s="617"/>
      <c r="F256" s="617"/>
      <c r="G256" s="617"/>
      <c r="H256" s="617"/>
      <c r="I256" s="617"/>
      <c r="J256" s="617"/>
      <c r="K256" s="1689">
        <f t="shared" si="21"/>
        <v>0</v>
      </c>
      <c r="L256" s="466">
        <v>0</v>
      </c>
    </row>
    <row r="257" spans="1:14" ht="12.75" customHeight="1" thickBot="1" x14ac:dyDescent="0.25">
      <c r="A257" s="1685" t="s">
        <v>741</v>
      </c>
      <c r="B257" s="1713">
        <v>2300</v>
      </c>
      <c r="C257" s="617"/>
      <c r="D257" s="1687">
        <f>SUM(D245:D256)</f>
        <v>28339</v>
      </c>
      <c r="E257" s="617"/>
      <c r="F257" s="617"/>
      <c r="G257" s="617"/>
      <c r="H257" s="617"/>
      <c r="I257" s="617"/>
      <c r="J257" s="617"/>
      <c r="K257" s="1687">
        <f>SUM(K245:K256)</f>
        <v>28339</v>
      </c>
      <c r="L257" s="1687">
        <f>SUM(L245:L256)</f>
        <v>33909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1" t="s">
        <v>1127</v>
      </c>
      <c r="B259" s="686">
        <v>2410</v>
      </c>
      <c r="C259" s="617"/>
      <c r="D259" s="481">
        <v>85351</v>
      </c>
      <c r="E259" s="617"/>
      <c r="F259" s="617"/>
      <c r="G259" s="617"/>
      <c r="H259" s="617"/>
      <c r="I259" s="617"/>
      <c r="J259" s="617"/>
      <c r="K259" s="1689">
        <f>D259</f>
        <v>85351</v>
      </c>
      <c r="L259" s="481">
        <v>85053</v>
      </c>
    </row>
    <row r="260" spans="1:14" s="598" customFormat="1" x14ac:dyDescent="0.2">
      <c r="A260" s="1539" t="s">
        <v>1904</v>
      </c>
      <c r="B260" s="629">
        <v>2490</v>
      </c>
      <c r="C260" s="617"/>
      <c r="D260" s="466">
        <v>0</v>
      </c>
      <c r="E260" s="617"/>
      <c r="F260" s="617"/>
      <c r="G260" s="617"/>
      <c r="H260" s="617"/>
      <c r="I260" s="617"/>
      <c r="J260" s="617"/>
      <c r="K260" s="1689">
        <f>D260</f>
        <v>0</v>
      </c>
      <c r="L260" s="466">
        <v>0</v>
      </c>
      <c r="M260" s="210"/>
      <c r="N260" s="210"/>
    </row>
    <row r="261" spans="1:14" ht="12.75" customHeight="1" thickBot="1" x14ac:dyDescent="0.25">
      <c r="A261" s="1709" t="s">
        <v>281</v>
      </c>
      <c r="B261" s="1714" t="s">
        <v>34</v>
      </c>
      <c r="C261" s="617"/>
      <c r="D261" s="1687">
        <f>SUM(D259:D260)</f>
        <v>85351</v>
      </c>
      <c r="E261" s="617"/>
      <c r="F261" s="617"/>
      <c r="G261" s="617"/>
      <c r="H261" s="617"/>
      <c r="I261" s="617"/>
      <c r="J261" s="617"/>
      <c r="K261" s="1687">
        <f>SUM(K259:K260)</f>
        <v>85351</v>
      </c>
      <c r="L261" s="1687">
        <f>SUM(L259:L260)</f>
        <v>85053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1" t="s">
        <v>1128</v>
      </c>
      <c r="B263" s="686">
        <v>2510</v>
      </c>
      <c r="C263" s="617"/>
      <c r="D263" s="466">
        <v>1975</v>
      </c>
      <c r="E263" s="617"/>
      <c r="F263" s="617"/>
      <c r="G263" s="617"/>
      <c r="H263" s="617"/>
      <c r="I263" s="617"/>
      <c r="J263" s="617"/>
      <c r="K263" s="1689">
        <f>D263</f>
        <v>1975</v>
      </c>
      <c r="L263" s="481">
        <v>1698</v>
      </c>
    </row>
    <row r="264" spans="1:14" x14ac:dyDescent="0.2">
      <c r="A264" s="1521" t="s">
        <v>483</v>
      </c>
      <c r="B264" s="686">
        <v>2520</v>
      </c>
      <c r="C264" s="617"/>
      <c r="D264" s="466">
        <v>46360</v>
      </c>
      <c r="E264" s="617"/>
      <c r="F264" s="617"/>
      <c r="G264" s="617"/>
      <c r="H264" s="617"/>
      <c r="I264" s="617"/>
      <c r="J264" s="617"/>
      <c r="K264" s="1689">
        <f t="shared" ref="K264:K269" si="22">D264</f>
        <v>46360</v>
      </c>
      <c r="L264" s="466">
        <v>55428</v>
      </c>
    </row>
    <row r="265" spans="1:14" x14ac:dyDescent="0.2">
      <c r="A265" s="1521" t="s">
        <v>4</v>
      </c>
      <c r="B265" s="615">
        <v>2530</v>
      </c>
      <c r="C265" s="617"/>
      <c r="D265" s="466">
        <v>0</v>
      </c>
      <c r="E265" s="617"/>
      <c r="F265" s="617"/>
      <c r="G265" s="617"/>
      <c r="H265" s="617"/>
      <c r="I265" s="617"/>
      <c r="J265" s="617"/>
      <c r="K265" s="1689">
        <f t="shared" si="22"/>
        <v>0</v>
      </c>
      <c r="L265" s="466">
        <v>0</v>
      </c>
    </row>
    <row r="266" spans="1:14" x14ac:dyDescent="0.2">
      <c r="A266" s="1521" t="s">
        <v>206</v>
      </c>
      <c r="B266" s="615">
        <v>2540</v>
      </c>
      <c r="C266" s="617"/>
      <c r="D266" s="466">
        <v>175208</v>
      </c>
      <c r="E266" s="617"/>
      <c r="F266" s="617"/>
      <c r="G266" s="617"/>
      <c r="H266" s="617"/>
      <c r="I266" s="617"/>
      <c r="J266" s="617"/>
      <c r="K266" s="1689">
        <f t="shared" si="22"/>
        <v>175208</v>
      </c>
      <c r="L266" s="466">
        <v>180338</v>
      </c>
    </row>
    <row r="267" spans="1:14" x14ac:dyDescent="0.2">
      <c r="A267" s="1521" t="s">
        <v>1010</v>
      </c>
      <c r="B267" s="615">
        <v>2550</v>
      </c>
      <c r="C267" s="617"/>
      <c r="D267" s="466">
        <v>5550</v>
      </c>
      <c r="E267" s="617"/>
      <c r="F267" s="617"/>
      <c r="G267" s="617"/>
      <c r="H267" s="617"/>
      <c r="I267" s="617"/>
      <c r="J267" s="617"/>
      <c r="K267" s="1689">
        <f t="shared" si="22"/>
        <v>5550</v>
      </c>
      <c r="L267" s="466">
        <v>3963</v>
      </c>
    </row>
    <row r="268" spans="1:14" x14ac:dyDescent="0.2">
      <c r="A268" s="1521" t="s">
        <v>102</v>
      </c>
      <c r="B268" s="615">
        <v>2560</v>
      </c>
      <c r="C268" s="617"/>
      <c r="D268" s="466">
        <v>5830</v>
      </c>
      <c r="E268" s="617"/>
      <c r="F268" s="617"/>
      <c r="G268" s="617"/>
      <c r="H268" s="617"/>
      <c r="I268" s="617"/>
      <c r="J268" s="617"/>
      <c r="K268" s="1689">
        <f t="shared" si="22"/>
        <v>5830</v>
      </c>
      <c r="L268" s="466">
        <v>6197</v>
      </c>
    </row>
    <row r="269" spans="1:14" x14ac:dyDescent="0.2">
      <c r="A269" s="1521" t="s">
        <v>103</v>
      </c>
      <c r="B269" s="615">
        <v>2570</v>
      </c>
      <c r="C269" s="617"/>
      <c r="D269" s="466">
        <v>0</v>
      </c>
      <c r="E269" s="617"/>
      <c r="F269" s="617"/>
      <c r="G269" s="617"/>
      <c r="H269" s="617"/>
      <c r="I269" s="617"/>
      <c r="J269" s="617"/>
      <c r="K269" s="1689">
        <f t="shared" si="22"/>
        <v>0</v>
      </c>
      <c r="L269" s="466">
        <v>0</v>
      </c>
    </row>
    <row r="270" spans="1:14" ht="12.75" customHeight="1" thickBot="1" x14ac:dyDescent="0.25">
      <c r="A270" s="1685" t="s">
        <v>743</v>
      </c>
      <c r="B270" s="1692" t="s">
        <v>35</v>
      </c>
      <c r="C270" s="617"/>
      <c r="D270" s="1687">
        <f>SUM(D263:D269)</f>
        <v>234923</v>
      </c>
      <c r="E270" s="617"/>
      <c r="F270" s="617"/>
      <c r="G270" s="617"/>
      <c r="H270" s="617"/>
      <c r="I270" s="617"/>
      <c r="J270" s="617"/>
      <c r="K270" s="1687">
        <f>SUM(K263:K269)</f>
        <v>234923</v>
      </c>
      <c r="L270" s="1687">
        <f>SUM(L263:L269)</f>
        <v>247624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9">
        <f>D272</f>
        <v>0</v>
      </c>
      <c r="L272" s="481">
        <v>0</v>
      </c>
    </row>
    <row r="273" spans="1:12" x14ac:dyDescent="0.2">
      <c r="A273" s="1521" t="s">
        <v>628</v>
      </c>
      <c r="B273" s="629">
        <v>2620</v>
      </c>
      <c r="C273" s="617"/>
      <c r="D273" s="466">
        <v>0</v>
      </c>
      <c r="E273" s="617"/>
      <c r="F273" s="617"/>
      <c r="G273" s="617"/>
      <c r="H273" s="617"/>
      <c r="I273" s="617"/>
      <c r="J273" s="617"/>
      <c r="K273" s="1689">
        <f>D273</f>
        <v>0</v>
      </c>
      <c r="L273" s="466">
        <v>0</v>
      </c>
    </row>
    <row r="274" spans="1:12" ht="12" customHeight="1" x14ac:dyDescent="0.2">
      <c r="A274" s="1521" t="s">
        <v>1121</v>
      </c>
      <c r="B274" s="615">
        <v>2630</v>
      </c>
      <c r="C274" s="617"/>
      <c r="D274" s="466">
        <v>0</v>
      </c>
      <c r="E274" s="617"/>
      <c r="F274" s="617"/>
      <c r="G274" s="617"/>
      <c r="H274" s="617"/>
      <c r="I274" s="617"/>
      <c r="J274" s="617"/>
      <c r="K274" s="1689">
        <f>D274</f>
        <v>0</v>
      </c>
      <c r="L274" s="466">
        <v>0</v>
      </c>
    </row>
    <row r="275" spans="1:12" x14ac:dyDescent="0.2">
      <c r="A275" s="1521" t="s">
        <v>423</v>
      </c>
      <c r="B275" s="615">
        <v>2640</v>
      </c>
      <c r="C275" s="617"/>
      <c r="D275" s="466">
        <v>139</v>
      </c>
      <c r="E275" s="617"/>
      <c r="F275" s="617"/>
      <c r="G275" s="617"/>
      <c r="H275" s="617"/>
      <c r="I275" s="617"/>
      <c r="J275" s="617"/>
      <c r="K275" s="1689">
        <f>D275</f>
        <v>139</v>
      </c>
      <c r="L275" s="466">
        <v>0</v>
      </c>
    </row>
    <row r="276" spans="1:12" x14ac:dyDescent="0.2">
      <c r="A276" s="1521" t="s">
        <v>424</v>
      </c>
      <c r="B276" s="615">
        <v>2660</v>
      </c>
      <c r="C276" s="617"/>
      <c r="D276" s="466">
        <v>84853</v>
      </c>
      <c r="E276" s="617"/>
      <c r="F276" s="617"/>
      <c r="G276" s="617"/>
      <c r="H276" s="617"/>
      <c r="I276" s="617"/>
      <c r="J276" s="617"/>
      <c r="K276" s="1689">
        <f>D276</f>
        <v>84853</v>
      </c>
      <c r="L276" s="466">
        <v>95854</v>
      </c>
    </row>
    <row r="277" spans="1:12" ht="12.75" customHeight="1" thickBot="1" x14ac:dyDescent="0.25">
      <c r="A277" s="1708" t="s">
        <v>37</v>
      </c>
      <c r="B277" s="1686" t="s">
        <v>36</v>
      </c>
      <c r="C277" s="617"/>
      <c r="D277" s="1687">
        <f>SUM(D272:D276)</f>
        <v>84992</v>
      </c>
      <c r="E277" s="617"/>
      <c r="F277" s="617"/>
      <c r="G277" s="617"/>
      <c r="H277" s="617"/>
      <c r="I277" s="617"/>
      <c r="J277" s="617"/>
      <c r="K277" s="1687">
        <f>SUM(K272:K276)</f>
        <v>84992</v>
      </c>
      <c r="L277" s="1687">
        <f>SUM(L272:L276)</f>
        <v>95854</v>
      </c>
    </row>
    <row r="278" spans="1:12" ht="13.5" customHeight="1" thickTop="1" x14ac:dyDescent="0.2">
      <c r="A278" s="1527" t="s">
        <v>1037</v>
      </c>
      <c r="B278" s="656" t="s">
        <v>595</v>
      </c>
      <c r="C278" s="617"/>
      <c r="D278" s="657">
        <v>0</v>
      </c>
      <c r="E278" s="617"/>
      <c r="F278" s="617"/>
      <c r="G278" s="617"/>
      <c r="H278" s="617"/>
      <c r="I278" s="617"/>
      <c r="J278" s="617"/>
      <c r="K278" s="1702">
        <f>D278</f>
        <v>0</v>
      </c>
      <c r="L278" s="657">
        <v>0</v>
      </c>
    </row>
    <row r="279" spans="1:12" ht="12.75" customHeight="1" thickBot="1" x14ac:dyDescent="0.25">
      <c r="A279" s="1715" t="s">
        <v>865</v>
      </c>
      <c r="B279" s="1698">
        <v>2000</v>
      </c>
      <c r="C279" s="617"/>
      <c r="D279" s="1694">
        <f>SUM(D238,D243,D257,D261,D270,D277,D278)</f>
        <v>670429</v>
      </c>
      <c r="E279" s="617"/>
      <c r="F279" s="617"/>
      <c r="G279" s="617"/>
      <c r="H279" s="617"/>
      <c r="I279" s="617"/>
      <c r="J279" s="617"/>
      <c r="K279" s="1694">
        <f>SUM(K238,K243,K257,K261,K270,K277,K278)</f>
        <v>670429</v>
      </c>
      <c r="L279" s="1694">
        <f>SUM(L238,L243,L257,L261,L270,L277,L278)</f>
        <v>701319</v>
      </c>
    </row>
    <row r="280" spans="1:12" ht="15.75" customHeight="1" thickTop="1" thickBot="1" x14ac:dyDescent="0.25">
      <c r="A280" s="1641" t="s">
        <v>930</v>
      </c>
      <c r="B280" s="1630">
        <v>3000</v>
      </c>
      <c r="C280" s="617"/>
      <c r="D280" s="576">
        <v>12</v>
      </c>
      <c r="E280" s="617"/>
      <c r="F280" s="617"/>
      <c r="G280" s="617"/>
      <c r="H280" s="617"/>
      <c r="I280" s="617"/>
      <c r="J280" s="617"/>
      <c r="K280" s="1696">
        <f>D280</f>
        <v>12</v>
      </c>
      <c r="L280" s="576">
        <v>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8" t="s">
        <v>517</v>
      </c>
      <c r="B282" s="691" t="s">
        <v>1954</v>
      </c>
      <c r="C282" s="617"/>
      <c r="D282" s="467">
        <v>0</v>
      </c>
      <c r="E282" s="617"/>
      <c r="F282" s="617"/>
      <c r="G282" s="617"/>
      <c r="H282" s="617"/>
      <c r="I282" s="617"/>
      <c r="J282" s="617"/>
      <c r="K282" s="1688">
        <f>D282</f>
        <v>0</v>
      </c>
      <c r="L282" s="467">
        <v>0</v>
      </c>
    </row>
    <row r="283" spans="1:12" x14ac:dyDescent="0.2">
      <c r="A283" s="1521" t="s">
        <v>322</v>
      </c>
      <c r="B283" s="615">
        <v>4120</v>
      </c>
      <c r="C283" s="617"/>
      <c r="D283" s="466">
        <v>67955</v>
      </c>
      <c r="E283" s="617"/>
      <c r="F283" s="617"/>
      <c r="G283" s="617"/>
      <c r="H283" s="617"/>
      <c r="I283" s="617"/>
      <c r="J283" s="617"/>
      <c r="K283" s="1688">
        <f>D283</f>
        <v>67955</v>
      </c>
      <c r="L283" s="466">
        <v>44666</v>
      </c>
    </row>
    <row r="284" spans="1:12" x14ac:dyDescent="0.2">
      <c r="A284" s="1521" t="s">
        <v>721</v>
      </c>
      <c r="B284" s="615">
        <v>4140</v>
      </c>
      <c r="C284" s="617"/>
      <c r="D284" s="467">
        <v>0</v>
      </c>
      <c r="E284" s="617"/>
      <c r="F284" s="617"/>
      <c r="G284" s="617"/>
      <c r="H284" s="617"/>
      <c r="I284" s="617"/>
      <c r="J284" s="617"/>
      <c r="K284" s="1688">
        <f>D284</f>
        <v>0</v>
      </c>
      <c r="L284" s="466">
        <v>0</v>
      </c>
    </row>
    <row r="285" spans="1:12" ht="12.75" customHeight="1" thickBot="1" x14ac:dyDescent="0.25">
      <c r="A285" s="1685" t="s">
        <v>1567</v>
      </c>
      <c r="B285" s="1686" t="s">
        <v>915</v>
      </c>
      <c r="C285" s="617"/>
      <c r="D285" s="1687">
        <f>SUM(D282:D284)</f>
        <v>67955</v>
      </c>
      <c r="E285" s="617"/>
      <c r="F285" s="617"/>
      <c r="G285" s="617"/>
      <c r="H285" s="617"/>
      <c r="I285" s="617"/>
      <c r="J285" s="617"/>
      <c r="K285" s="1687">
        <f>SUM(K282:K284)</f>
        <v>67955</v>
      </c>
      <c r="L285" s="1687">
        <f>SUM(L282:L284)</f>
        <v>44666</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8">
        <f>H288</f>
        <v>0</v>
      </c>
      <c r="L288" s="466">
        <v>0</v>
      </c>
    </row>
    <row r="289" spans="1:14" x14ac:dyDescent="0.2">
      <c r="A289" s="1521" t="s">
        <v>90</v>
      </c>
      <c r="B289" s="615">
        <v>5120</v>
      </c>
      <c r="C289" s="617"/>
      <c r="D289" s="617"/>
      <c r="E289" s="617"/>
      <c r="F289" s="617"/>
      <c r="G289" s="617"/>
      <c r="H289" s="466">
        <v>0</v>
      </c>
      <c r="I289" s="617"/>
      <c r="J289" s="617"/>
      <c r="K289" s="1688">
        <f>H289</f>
        <v>0</v>
      </c>
      <c r="L289" s="466">
        <v>0</v>
      </c>
    </row>
    <row r="290" spans="1:14" ht="12.75" customHeight="1" x14ac:dyDescent="0.2">
      <c r="A290" s="1521" t="s">
        <v>1232</v>
      </c>
      <c r="B290" s="629" t="s">
        <v>638</v>
      </c>
      <c r="C290" s="617"/>
      <c r="D290" s="617"/>
      <c r="E290" s="617"/>
      <c r="F290" s="617"/>
      <c r="G290" s="617"/>
      <c r="H290" s="466">
        <v>0</v>
      </c>
      <c r="I290" s="617"/>
      <c r="J290" s="617"/>
      <c r="K290" s="1688">
        <f>H290</f>
        <v>0</v>
      </c>
      <c r="L290" s="466">
        <v>0</v>
      </c>
    </row>
    <row r="291" spans="1:14" x14ac:dyDescent="0.2">
      <c r="A291" s="1521" t="s">
        <v>91</v>
      </c>
      <c r="B291" s="615" t="s">
        <v>610</v>
      </c>
      <c r="C291" s="617"/>
      <c r="D291" s="617"/>
      <c r="E291" s="617"/>
      <c r="F291" s="617"/>
      <c r="G291" s="617"/>
      <c r="H291" s="466">
        <v>0</v>
      </c>
      <c r="I291" s="617"/>
      <c r="J291" s="617"/>
      <c r="K291" s="1688">
        <f>H291</f>
        <v>0</v>
      </c>
      <c r="L291" s="466">
        <v>0</v>
      </c>
    </row>
    <row r="292" spans="1:14" x14ac:dyDescent="0.2">
      <c r="A292" s="1521" t="s">
        <v>786</v>
      </c>
      <c r="B292" s="615" t="s">
        <v>639</v>
      </c>
      <c r="C292" s="617"/>
      <c r="D292" s="617"/>
      <c r="E292" s="617"/>
      <c r="F292" s="617"/>
      <c r="G292" s="617"/>
      <c r="H292" s="466">
        <v>0</v>
      </c>
      <c r="I292" s="617"/>
      <c r="J292" s="617"/>
      <c r="K292" s="1688">
        <f>H292</f>
        <v>0</v>
      </c>
      <c r="L292" s="466">
        <v>0</v>
      </c>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2" t="s">
        <v>932</v>
      </c>
      <c r="B294" s="1630" t="s">
        <v>916</v>
      </c>
      <c r="C294" s="617"/>
      <c r="D294" s="624"/>
      <c r="E294" s="617"/>
      <c r="F294" s="617"/>
      <c r="G294" s="617"/>
      <c r="H294" s="687"/>
      <c r="I294" s="617"/>
      <c r="J294" s="617"/>
      <c r="K294" s="687"/>
      <c r="L294" s="578">
        <v>0</v>
      </c>
    </row>
    <row r="295" spans="1:14" ht="12.75" customHeight="1" thickTop="1" thickBot="1" x14ac:dyDescent="0.25">
      <c r="A295" s="2468" t="s">
        <v>526</v>
      </c>
      <c r="B295" s="2469"/>
      <c r="C295" s="617"/>
      <c r="D295" s="1687">
        <f>SUM(D229,D279,D280,D285)</f>
        <v>1462797</v>
      </c>
      <c r="E295" s="617"/>
      <c r="F295" s="617"/>
      <c r="G295" s="617"/>
      <c r="H295" s="1687">
        <f>H293</f>
        <v>0</v>
      </c>
      <c r="I295" s="617"/>
      <c r="J295" s="617"/>
      <c r="K295" s="1687">
        <f>SUM(K229,K279,K280,K285,K293,K294)</f>
        <v>1462797</v>
      </c>
      <c r="L295" s="1687">
        <f>SUM(L229,L279,L280,L285,L293,L294)</f>
        <v>1478715</v>
      </c>
    </row>
    <row r="296" spans="1:14" ht="13.5" thickTop="1" x14ac:dyDescent="0.2">
      <c r="A296" s="2450" t="s">
        <v>1053</v>
      </c>
      <c r="B296" s="2451"/>
      <c r="C296" s="617"/>
      <c r="D296" s="619"/>
      <c r="E296" s="617"/>
      <c r="F296" s="617"/>
      <c r="G296" s="617"/>
      <c r="H296" s="688"/>
      <c r="I296" s="617"/>
      <c r="J296" s="617"/>
      <c r="K296" s="1701">
        <f>'Revenues 9-14'!G275-'Expenditures 15-22'!K295</f>
        <v>20596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460" t="s">
        <v>145</v>
      </c>
      <c r="B298" s="2454"/>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4" t="s">
        <v>629</v>
      </c>
      <c r="B301" s="690">
        <v>2530</v>
      </c>
      <c r="C301" s="466">
        <v>0</v>
      </c>
      <c r="D301" s="466">
        <v>0</v>
      </c>
      <c r="E301" s="466">
        <v>0</v>
      </c>
      <c r="F301" s="466">
        <v>0</v>
      </c>
      <c r="G301" s="466">
        <v>2175133</v>
      </c>
      <c r="H301" s="466">
        <v>0</v>
      </c>
      <c r="I301" s="467">
        <v>0</v>
      </c>
      <c r="J301" s="467">
        <v>0</v>
      </c>
      <c r="K301" s="1688">
        <f>SUM(C301:J301)</f>
        <v>2175133</v>
      </c>
      <c r="L301" s="467">
        <v>1385808</v>
      </c>
    </row>
    <row r="302" spans="1:14" ht="13.5" customHeight="1" x14ac:dyDescent="0.2">
      <c r="A302" s="1534" t="s">
        <v>1037</v>
      </c>
      <c r="B302" s="615" t="s">
        <v>595</v>
      </c>
      <c r="C302" s="466">
        <v>0</v>
      </c>
      <c r="D302" s="466">
        <v>0</v>
      </c>
      <c r="E302" s="466">
        <v>0</v>
      </c>
      <c r="F302" s="466">
        <v>0</v>
      </c>
      <c r="G302" s="466">
        <v>0</v>
      </c>
      <c r="H302" s="466">
        <v>0</v>
      </c>
      <c r="I302" s="467">
        <v>0</v>
      </c>
      <c r="J302" s="467">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2175133</v>
      </c>
      <c r="H303" s="1694">
        <f t="shared" si="23"/>
        <v>0</v>
      </c>
      <c r="I303" s="1694">
        <f t="shared" si="23"/>
        <v>0</v>
      </c>
      <c r="J303" s="1694">
        <f t="shared" si="23"/>
        <v>0</v>
      </c>
      <c r="K303" s="1694">
        <f t="shared" si="23"/>
        <v>2175133</v>
      </c>
      <c r="L303" s="1694">
        <f t="shared" si="23"/>
        <v>1385808</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5" t="s">
        <v>1959</v>
      </c>
      <c r="B306" s="691" t="s">
        <v>1954</v>
      </c>
      <c r="C306" s="617"/>
      <c r="D306" s="617"/>
      <c r="E306" s="467">
        <v>0</v>
      </c>
      <c r="F306" s="617"/>
      <c r="G306" s="617"/>
      <c r="H306" s="467">
        <v>0</v>
      </c>
      <c r="I306" s="617"/>
      <c r="J306" s="617"/>
      <c r="K306" s="1688">
        <f>SUM(E306,H306)</f>
        <v>0</v>
      </c>
      <c r="L306" s="467">
        <v>0</v>
      </c>
    </row>
    <row r="307" spans="1:14" x14ac:dyDescent="0.2">
      <c r="A307" s="1521" t="s">
        <v>322</v>
      </c>
      <c r="B307" s="615">
        <v>4120</v>
      </c>
      <c r="C307" s="617"/>
      <c r="D307" s="617"/>
      <c r="E307" s="467">
        <v>0</v>
      </c>
      <c r="F307" s="617"/>
      <c r="G307" s="617"/>
      <c r="H307" s="467">
        <v>0</v>
      </c>
      <c r="I307" s="477"/>
      <c r="J307" s="617"/>
      <c r="K307" s="1688">
        <f>SUM(E307,H307)</f>
        <v>0</v>
      </c>
      <c r="L307" s="466">
        <v>0</v>
      </c>
    </row>
    <row r="308" spans="1:14" x14ac:dyDescent="0.2">
      <c r="A308" s="1521" t="s">
        <v>721</v>
      </c>
      <c r="B308" s="615">
        <v>4140</v>
      </c>
      <c r="C308" s="617"/>
      <c r="D308" s="617"/>
      <c r="E308" s="467">
        <v>0</v>
      </c>
      <c r="F308" s="617"/>
      <c r="G308" s="617"/>
      <c r="H308" s="467">
        <v>0</v>
      </c>
      <c r="I308" s="477"/>
      <c r="J308" s="617"/>
      <c r="K308" s="1688">
        <f>SUM(E308,H308)</f>
        <v>0</v>
      </c>
      <c r="L308" s="466">
        <v>0</v>
      </c>
    </row>
    <row r="309" spans="1:14" ht="12.75" customHeight="1" x14ac:dyDescent="0.2">
      <c r="A309" s="1525" t="s">
        <v>722</v>
      </c>
      <c r="B309" s="629">
        <v>4190</v>
      </c>
      <c r="C309" s="617"/>
      <c r="D309" s="617"/>
      <c r="E309" s="467">
        <v>0</v>
      </c>
      <c r="F309" s="617"/>
      <c r="G309" s="617"/>
      <c r="H309" s="467">
        <v>0</v>
      </c>
      <c r="I309" s="477"/>
      <c r="J309" s="617"/>
      <c r="K309" s="1688">
        <f>SUM(E309,H309)</f>
        <v>0</v>
      </c>
      <c r="L309" s="466">
        <v>0</v>
      </c>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5" customFormat="1" ht="12.75" customHeight="1" thickTop="1" thickBot="1" x14ac:dyDescent="0.25">
      <c r="A312" s="2465" t="s">
        <v>295</v>
      </c>
      <c r="B312" s="2466"/>
      <c r="C312" s="1687">
        <f>SUM(C303)</f>
        <v>0</v>
      </c>
      <c r="D312" s="1687">
        <f>SUM(D303)</f>
        <v>0</v>
      </c>
      <c r="E312" s="1687">
        <f>SUM(E303,E310)</f>
        <v>0</v>
      </c>
      <c r="F312" s="1687">
        <f>SUM(F303)</f>
        <v>0</v>
      </c>
      <c r="G312" s="1687">
        <f>SUM(G303)</f>
        <v>2175133</v>
      </c>
      <c r="H312" s="1687">
        <f>SUM(H303,H310)</f>
        <v>0</v>
      </c>
      <c r="I312" s="1687">
        <f>SUM(I303)</f>
        <v>0</v>
      </c>
      <c r="J312" s="1687">
        <f>SUM(J303)</f>
        <v>0</v>
      </c>
      <c r="K312" s="1687">
        <f>SUM(K303,K310,K311)</f>
        <v>2175133</v>
      </c>
      <c r="L312" s="1687">
        <f>SUM(L303,L310,L311)</f>
        <v>1385808</v>
      </c>
      <c r="M312" s="666"/>
      <c r="N312" s="666"/>
    </row>
    <row r="313" spans="1:14" ht="13.5" thickTop="1" x14ac:dyDescent="0.2">
      <c r="A313" s="2461" t="s">
        <v>1053</v>
      </c>
      <c r="B313" s="2462"/>
      <c r="C313" s="627"/>
      <c r="D313" s="627"/>
      <c r="E313" s="627"/>
      <c r="F313" s="627"/>
      <c r="G313" s="627"/>
      <c r="H313" s="627"/>
      <c r="I313" s="627"/>
      <c r="J313" s="627"/>
      <c r="K313" s="1702">
        <f>'Revenues 9-14'!H275-'Expenditures 15-22'!K312</f>
        <v>-2073700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474" t="s">
        <v>151</v>
      </c>
      <c r="B315" s="2475"/>
      <c r="C315" s="1573"/>
      <c r="D315" s="1574"/>
      <c r="E315" s="1574"/>
      <c r="F315" s="1574"/>
      <c r="G315" s="1574"/>
      <c r="H315" s="1574"/>
      <c r="I315" s="1574"/>
      <c r="J315" s="1574"/>
      <c r="K315" s="1574"/>
      <c r="L315" s="1575"/>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476" t="s">
        <v>954</v>
      </c>
      <c r="B317" s="2475"/>
      <c r="C317" s="1573"/>
      <c r="D317" s="1574"/>
      <c r="E317" s="1574"/>
      <c r="F317" s="1574"/>
      <c r="G317" s="1574"/>
      <c r="H317" s="1574"/>
      <c r="I317" s="1574"/>
      <c r="J317" s="1574"/>
      <c r="K317" s="1574"/>
      <c r="L317" s="1575"/>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6" t="s">
        <v>317</v>
      </c>
      <c r="B319" s="698" t="s">
        <v>299</v>
      </c>
      <c r="C319" s="467">
        <v>0</v>
      </c>
      <c r="D319" s="467">
        <v>0</v>
      </c>
      <c r="E319" s="467">
        <v>0</v>
      </c>
      <c r="F319" s="467">
        <v>0</v>
      </c>
      <c r="G319" s="467">
        <v>0</v>
      </c>
      <c r="H319" s="467">
        <v>0</v>
      </c>
      <c r="I319" s="467">
        <v>0</v>
      </c>
      <c r="J319" s="467">
        <v>0</v>
      </c>
      <c r="K319" s="1688">
        <f>SUM(C319:J319)</f>
        <v>0</v>
      </c>
      <c r="L319" s="467">
        <v>0</v>
      </c>
      <c r="M319" s="666"/>
      <c r="N319" s="666"/>
    </row>
    <row r="320" spans="1:14" s="675" customFormat="1" x14ac:dyDescent="0.2">
      <c r="A320" s="1540" t="s">
        <v>1905</v>
      </c>
      <c r="B320" s="699" t="s">
        <v>300</v>
      </c>
      <c r="C320" s="467">
        <v>0</v>
      </c>
      <c r="D320" s="467">
        <v>0</v>
      </c>
      <c r="E320" s="467">
        <v>0</v>
      </c>
      <c r="F320" s="467">
        <v>0</v>
      </c>
      <c r="G320" s="467">
        <v>0</v>
      </c>
      <c r="H320" s="467">
        <v>0</v>
      </c>
      <c r="I320" s="467">
        <v>0</v>
      </c>
      <c r="J320" s="467">
        <v>0</v>
      </c>
      <c r="K320" s="1688">
        <f t="shared" ref="K320:K327" si="24">SUM(C320:J320)</f>
        <v>0</v>
      </c>
      <c r="L320" s="467">
        <v>0</v>
      </c>
      <c r="M320" s="666"/>
      <c r="N320" s="666"/>
    </row>
    <row r="321" spans="1:14" s="675" customFormat="1" x14ac:dyDescent="0.2">
      <c r="A321" s="1536" t="s">
        <v>318</v>
      </c>
      <c r="B321" s="698" t="s">
        <v>301</v>
      </c>
      <c r="C321" s="467">
        <v>0</v>
      </c>
      <c r="D321" s="467">
        <v>0</v>
      </c>
      <c r="E321" s="467">
        <v>0</v>
      </c>
      <c r="F321" s="467">
        <v>0</v>
      </c>
      <c r="G321" s="467">
        <v>0</v>
      </c>
      <c r="H321" s="467">
        <v>0</v>
      </c>
      <c r="I321" s="467">
        <v>0</v>
      </c>
      <c r="J321" s="467">
        <v>0</v>
      </c>
      <c r="K321" s="1688">
        <f t="shared" si="24"/>
        <v>0</v>
      </c>
      <c r="L321" s="467">
        <v>0</v>
      </c>
      <c r="M321" s="666"/>
      <c r="N321" s="666"/>
    </row>
    <row r="322" spans="1:14" s="675" customFormat="1" x14ac:dyDescent="0.2">
      <c r="A322" s="1536" t="s">
        <v>256</v>
      </c>
      <c r="B322" s="698" t="s">
        <v>302</v>
      </c>
      <c r="C322" s="467">
        <v>0</v>
      </c>
      <c r="D322" s="467">
        <v>0</v>
      </c>
      <c r="E322" s="467">
        <v>160621</v>
      </c>
      <c r="F322" s="467">
        <v>0</v>
      </c>
      <c r="G322" s="467">
        <v>0</v>
      </c>
      <c r="H322" s="467">
        <v>0</v>
      </c>
      <c r="I322" s="467">
        <v>0</v>
      </c>
      <c r="J322" s="467">
        <v>0</v>
      </c>
      <c r="K322" s="1688">
        <f t="shared" si="24"/>
        <v>160621</v>
      </c>
      <c r="L322" s="467">
        <v>160621</v>
      </c>
      <c r="M322" s="666"/>
      <c r="N322" s="666"/>
    </row>
    <row r="323" spans="1:14" s="675" customFormat="1" x14ac:dyDescent="0.2">
      <c r="A323" s="1536" t="s">
        <v>726</v>
      </c>
      <c r="B323" s="698" t="s">
        <v>303</v>
      </c>
      <c r="C323" s="467">
        <v>0</v>
      </c>
      <c r="D323" s="467">
        <v>0</v>
      </c>
      <c r="E323" s="467">
        <v>0</v>
      </c>
      <c r="F323" s="467">
        <v>0</v>
      </c>
      <c r="G323" s="467">
        <v>0</v>
      </c>
      <c r="H323" s="467">
        <v>0</v>
      </c>
      <c r="I323" s="467">
        <v>0</v>
      </c>
      <c r="J323" s="467">
        <v>0</v>
      </c>
      <c r="K323" s="1688">
        <f t="shared" si="24"/>
        <v>0</v>
      </c>
      <c r="L323" s="467">
        <v>0</v>
      </c>
      <c r="M323" s="666"/>
      <c r="N323" s="666"/>
    </row>
    <row r="324" spans="1:14" s="675" customFormat="1" x14ac:dyDescent="0.2">
      <c r="A324" s="1536" t="s">
        <v>257</v>
      </c>
      <c r="B324" s="698" t="s">
        <v>304</v>
      </c>
      <c r="C324" s="467">
        <v>0</v>
      </c>
      <c r="D324" s="467">
        <v>0</v>
      </c>
      <c r="E324" s="467">
        <v>0</v>
      </c>
      <c r="F324" s="467">
        <v>0</v>
      </c>
      <c r="G324" s="467">
        <v>0</v>
      </c>
      <c r="H324" s="467">
        <v>0</v>
      </c>
      <c r="I324" s="467">
        <v>0</v>
      </c>
      <c r="J324" s="467">
        <v>0</v>
      </c>
      <c r="K324" s="1688">
        <f t="shared" si="24"/>
        <v>0</v>
      </c>
      <c r="L324" s="467">
        <v>0</v>
      </c>
      <c r="M324" s="666"/>
      <c r="N324" s="666"/>
    </row>
    <row r="325" spans="1:14" s="675" customFormat="1" ht="22.5" x14ac:dyDescent="0.2">
      <c r="A325" s="1536" t="s">
        <v>1087</v>
      </c>
      <c r="B325" s="699" t="s">
        <v>305</v>
      </c>
      <c r="C325" s="467">
        <v>0</v>
      </c>
      <c r="D325" s="467">
        <v>0</v>
      </c>
      <c r="E325" s="467">
        <v>0</v>
      </c>
      <c r="F325" s="467">
        <v>0</v>
      </c>
      <c r="G325" s="467">
        <v>0</v>
      </c>
      <c r="H325" s="467">
        <v>0</v>
      </c>
      <c r="I325" s="467">
        <v>0</v>
      </c>
      <c r="J325" s="467">
        <v>0</v>
      </c>
      <c r="K325" s="1688">
        <f t="shared" si="24"/>
        <v>0</v>
      </c>
      <c r="L325" s="467">
        <v>0</v>
      </c>
      <c r="M325" s="666"/>
      <c r="N325" s="666"/>
    </row>
    <row r="326" spans="1:14" s="675" customFormat="1" x14ac:dyDescent="0.2">
      <c r="A326" s="1536" t="s">
        <v>1088</v>
      </c>
      <c r="B326" s="698" t="s">
        <v>306</v>
      </c>
      <c r="C326" s="467">
        <v>0</v>
      </c>
      <c r="D326" s="467">
        <v>0</v>
      </c>
      <c r="E326" s="467">
        <v>0</v>
      </c>
      <c r="F326" s="467">
        <v>0</v>
      </c>
      <c r="G326" s="467">
        <v>0</v>
      </c>
      <c r="H326" s="467">
        <v>0</v>
      </c>
      <c r="I326" s="467">
        <v>0</v>
      </c>
      <c r="J326" s="467">
        <v>0</v>
      </c>
      <c r="K326" s="1688">
        <f t="shared" si="24"/>
        <v>0</v>
      </c>
      <c r="L326" s="467">
        <v>0</v>
      </c>
      <c r="M326" s="666"/>
      <c r="N326" s="666"/>
    </row>
    <row r="327" spans="1:14" s="675" customFormat="1" x14ac:dyDescent="0.2">
      <c r="A327" s="1536" t="s">
        <v>1028</v>
      </c>
      <c r="B327" s="698" t="s">
        <v>307</v>
      </c>
      <c r="C327" s="467">
        <v>0</v>
      </c>
      <c r="D327" s="467">
        <v>0</v>
      </c>
      <c r="E327" s="467">
        <v>0</v>
      </c>
      <c r="F327" s="467">
        <v>0</v>
      </c>
      <c r="G327" s="467">
        <v>0</v>
      </c>
      <c r="H327" s="467">
        <v>0</v>
      </c>
      <c r="I327" s="467">
        <v>0</v>
      </c>
      <c r="J327" s="467">
        <v>0</v>
      </c>
      <c r="K327" s="1688">
        <f t="shared" si="24"/>
        <v>0</v>
      </c>
      <c r="L327" s="467">
        <v>0</v>
      </c>
      <c r="M327" s="666"/>
      <c r="N327" s="666"/>
    </row>
    <row r="328" spans="1:14" s="675" customFormat="1" x14ac:dyDescent="0.2">
      <c r="A328" s="1537" t="s">
        <v>492</v>
      </c>
      <c r="B328" s="691" t="s">
        <v>1194</v>
      </c>
      <c r="C328" s="474">
        <v>0</v>
      </c>
      <c r="D328" s="474">
        <v>0</v>
      </c>
      <c r="E328" s="474">
        <v>0</v>
      </c>
      <c r="F328" s="474">
        <v>0</v>
      </c>
      <c r="G328" s="474">
        <v>0</v>
      </c>
      <c r="H328" s="474">
        <v>0</v>
      </c>
      <c r="I328" s="474">
        <v>0</v>
      </c>
      <c r="J328" s="474">
        <v>0</v>
      </c>
      <c r="K328" s="1716">
        <f>SUM(C328:J328)</f>
        <v>0</v>
      </c>
      <c r="L328" s="474">
        <v>0</v>
      </c>
      <c r="M328" s="666"/>
      <c r="N328" s="666"/>
    </row>
    <row r="329" spans="1:14" s="675" customFormat="1" x14ac:dyDescent="0.2">
      <c r="A329" s="1537" t="s">
        <v>1195</v>
      </c>
      <c r="B329" s="691" t="s">
        <v>1196</v>
      </c>
      <c r="C329" s="474">
        <v>0</v>
      </c>
      <c r="D329" s="474">
        <v>0</v>
      </c>
      <c r="E329" s="474">
        <v>0</v>
      </c>
      <c r="F329" s="474">
        <v>0</v>
      </c>
      <c r="G329" s="474">
        <v>0</v>
      </c>
      <c r="H329" s="474">
        <v>0</v>
      </c>
      <c r="I329" s="474">
        <v>0</v>
      </c>
      <c r="J329" s="474">
        <v>0</v>
      </c>
      <c r="K329" s="1716">
        <f>SUM(C329:J329)</f>
        <v>0</v>
      </c>
      <c r="L329" s="474">
        <v>0</v>
      </c>
      <c r="M329" s="666"/>
      <c r="N329" s="666"/>
    </row>
    <row r="330" spans="1:14" s="675" customFormat="1" ht="12.75" customHeight="1" thickBot="1" x14ac:dyDescent="0.25">
      <c r="A330" s="1717" t="s">
        <v>741</v>
      </c>
      <c r="B330" s="1686" t="s">
        <v>590</v>
      </c>
      <c r="C330" s="1687">
        <f>SUM(C319:C329)</f>
        <v>0</v>
      </c>
      <c r="D330" s="1687">
        <f t="shared" ref="D330:J330" si="25">SUM(D319:D329)</f>
        <v>0</v>
      </c>
      <c r="E330" s="1687">
        <f t="shared" si="25"/>
        <v>160621</v>
      </c>
      <c r="F330" s="1687">
        <f t="shared" si="25"/>
        <v>0</v>
      </c>
      <c r="G330" s="1687">
        <f t="shared" si="25"/>
        <v>0</v>
      </c>
      <c r="H330" s="1687">
        <f t="shared" si="25"/>
        <v>0</v>
      </c>
      <c r="I330" s="1687">
        <f t="shared" si="25"/>
        <v>0</v>
      </c>
      <c r="J330" s="1687">
        <f t="shared" si="25"/>
        <v>0</v>
      </c>
      <c r="K330" s="1687">
        <f>SUM(K319:K329)</f>
        <v>160621</v>
      </c>
      <c r="L330" s="1687">
        <f>SUM(L319:L329)</f>
        <v>160621</v>
      </c>
      <c r="M330" s="666"/>
      <c r="N330" s="666"/>
    </row>
    <row r="331" spans="1:14" s="675" customFormat="1" ht="12.75" customHeight="1" thickTop="1" x14ac:dyDescent="0.2">
      <c r="A331" s="1849" t="s">
        <v>1960</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1954</v>
      </c>
      <c r="C332" s="1851"/>
      <c r="D332" s="1851"/>
      <c r="E332" s="1851"/>
      <c r="F332" s="1851"/>
      <c r="G332" s="1851"/>
      <c r="H332" s="467">
        <v>0</v>
      </c>
      <c r="I332" s="1851"/>
      <c r="J332" s="1851"/>
      <c r="K332" s="1688">
        <f>H332</f>
        <v>0</v>
      </c>
      <c r="L332" s="467">
        <v>0</v>
      </c>
      <c r="M332" s="666"/>
      <c r="N332" s="666"/>
    </row>
    <row r="333" spans="1:14" s="675" customFormat="1" ht="12.75" customHeight="1" x14ac:dyDescent="0.2">
      <c r="A333" s="1850" t="s">
        <v>322</v>
      </c>
      <c r="B333" s="1845" t="s">
        <v>1956</v>
      </c>
      <c r="C333" s="1851"/>
      <c r="D333" s="1851"/>
      <c r="E333" s="1851"/>
      <c r="F333" s="1851"/>
      <c r="G333" s="1851"/>
      <c r="H333" s="467">
        <v>0</v>
      </c>
      <c r="I333" s="1851"/>
      <c r="J333" s="1851"/>
      <c r="K333" s="1688">
        <f>H333</f>
        <v>0</v>
      </c>
      <c r="L333" s="467">
        <v>0</v>
      </c>
      <c r="M333" s="666"/>
      <c r="N333" s="666"/>
    </row>
    <row r="334" spans="1:14" s="675"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5" t="s">
        <v>89</v>
      </c>
      <c r="B337" s="691" t="s">
        <v>956</v>
      </c>
      <c r="C337" s="639"/>
      <c r="D337" s="639"/>
      <c r="E337" s="639"/>
      <c r="F337" s="639"/>
      <c r="G337" s="639"/>
      <c r="H337" s="478">
        <v>0</v>
      </c>
      <c r="I337" s="639"/>
      <c r="J337" s="639"/>
      <c r="K337" s="1688">
        <f>H337</f>
        <v>0</v>
      </c>
      <c r="L337" s="478">
        <v>0</v>
      </c>
    </row>
    <row r="338" spans="1:14" ht="12.75" customHeight="1" x14ac:dyDescent="0.2">
      <c r="A338" s="1535" t="s">
        <v>1232</v>
      </c>
      <c r="B338" s="691" t="s">
        <v>638</v>
      </c>
      <c r="C338" s="639"/>
      <c r="D338" s="639"/>
      <c r="E338" s="639"/>
      <c r="F338" s="639"/>
      <c r="G338" s="639"/>
      <c r="H338" s="478">
        <v>0</v>
      </c>
      <c r="I338" s="639"/>
      <c r="J338" s="639"/>
      <c r="K338" s="1688">
        <f>H338</f>
        <v>0</v>
      </c>
      <c r="L338" s="478">
        <v>0</v>
      </c>
    </row>
    <row r="339" spans="1:14" x14ac:dyDescent="0.2">
      <c r="A339" s="1521" t="s">
        <v>957</v>
      </c>
      <c r="B339" s="629">
        <v>5150</v>
      </c>
      <c r="C339" s="639"/>
      <c r="D339" s="639"/>
      <c r="E339" s="639"/>
      <c r="F339" s="639"/>
      <c r="G339" s="639"/>
      <c r="H339" s="467">
        <v>0</v>
      </c>
      <c r="I339" s="639"/>
      <c r="J339" s="639"/>
      <c r="K339" s="1688">
        <f>H339</f>
        <v>0</v>
      </c>
      <c r="L339" s="467">
        <v>0</v>
      </c>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3" t="s">
        <v>526</v>
      </c>
      <c r="B342" s="1718"/>
      <c r="C342" s="1687">
        <f>SUM(C330)</f>
        <v>0</v>
      </c>
      <c r="D342" s="1687">
        <f>SUM(D330)</f>
        <v>0</v>
      </c>
      <c r="E342" s="1687">
        <f>SUM(E330)</f>
        <v>160621</v>
      </c>
      <c r="F342" s="1687">
        <f>SUM(F330)</f>
        <v>0</v>
      </c>
      <c r="G342" s="1687">
        <f>SUM(G330)</f>
        <v>0</v>
      </c>
      <c r="H342" s="1687">
        <f>SUM(H330,H334,H340)</f>
        <v>0</v>
      </c>
      <c r="I342" s="1687">
        <f>SUM(I330)</f>
        <v>0</v>
      </c>
      <c r="J342" s="1687">
        <f>SUM(J330)</f>
        <v>0</v>
      </c>
      <c r="K342" s="1687">
        <f>SUM(K330,K334,K340)</f>
        <v>160621</v>
      </c>
      <c r="L342" s="1694">
        <f>SUM(L330,L340,L341)</f>
        <v>160621</v>
      </c>
    </row>
    <row r="343" spans="1:14" ht="12.75" customHeight="1" thickTop="1" x14ac:dyDescent="0.2">
      <c r="A343" s="2463" t="s">
        <v>1053</v>
      </c>
      <c r="B343" s="2464"/>
      <c r="C343" s="617"/>
      <c r="D343" s="617"/>
      <c r="E343" s="617"/>
      <c r="F343" s="617"/>
      <c r="G343" s="617"/>
      <c r="H343" s="617"/>
      <c r="I343" s="617"/>
      <c r="J343" s="617"/>
      <c r="K343" s="1701">
        <f>'Revenues 9-14'!J275-'Expenditures 15-22'!K342</f>
        <v>-1322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453" t="s">
        <v>1023</v>
      </c>
      <c r="B345" s="2454"/>
      <c r="C345" s="1568"/>
      <c r="D345" s="1569"/>
      <c r="E345" s="1569"/>
      <c r="F345" s="1569"/>
      <c r="G345" s="1569"/>
      <c r="H345" s="1569"/>
      <c r="I345" s="1569"/>
      <c r="J345" s="1569"/>
      <c r="K345" s="1569"/>
      <c r="L345" s="1570"/>
      <c r="M345" s="668"/>
      <c r="N345" s="668"/>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7">
        <v>0</v>
      </c>
      <c r="J348" s="467">
        <v>0</v>
      </c>
      <c r="K348" s="1688">
        <f>SUM(C348:J348)</f>
        <v>0</v>
      </c>
      <c r="L348" s="466">
        <v>0</v>
      </c>
    </row>
    <row r="349" spans="1:14" x14ac:dyDescent="0.2">
      <c r="A349" s="1521" t="s">
        <v>206</v>
      </c>
      <c r="B349" s="615">
        <v>2540</v>
      </c>
      <c r="C349" s="466">
        <v>0</v>
      </c>
      <c r="D349" s="466">
        <v>0</v>
      </c>
      <c r="E349" s="466">
        <v>0</v>
      </c>
      <c r="F349" s="466">
        <v>0</v>
      </c>
      <c r="G349" s="466">
        <v>0</v>
      </c>
      <c r="H349" s="466">
        <v>0</v>
      </c>
      <c r="I349" s="467">
        <v>0</v>
      </c>
      <c r="J349" s="467">
        <v>0</v>
      </c>
      <c r="K349" s="1688">
        <f>SUM(C349:J349)</f>
        <v>0</v>
      </c>
      <c r="L349" s="466">
        <v>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0</v>
      </c>
      <c r="H350" s="1687">
        <f t="shared" si="26"/>
        <v>0</v>
      </c>
      <c r="I350" s="1687">
        <f t="shared" si="26"/>
        <v>0</v>
      </c>
      <c r="J350" s="1687">
        <f t="shared" si="26"/>
        <v>0</v>
      </c>
      <c r="K350" s="1687">
        <f t="shared" si="26"/>
        <v>0</v>
      </c>
      <c r="L350" s="1687">
        <f t="shared" si="26"/>
        <v>0</v>
      </c>
    </row>
    <row r="351" spans="1:14" ht="12.75" customHeight="1" thickTop="1" x14ac:dyDescent="0.2">
      <c r="A351" s="1527"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0</v>
      </c>
      <c r="H352" s="1687">
        <f t="shared" si="27"/>
        <v>0</v>
      </c>
      <c r="I352" s="1687">
        <f t="shared" si="27"/>
        <v>0</v>
      </c>
      <c r="J352" s="1687">
        <f t="shared" si="27"/>
        <v>0</v>
      </c>
      <c r="K352" s="1687">
        <f t="shared" si="27"/>
        <v>0</v>
      </c>
      <c r="L352" s="1687">
        <f t="shared" si="27"/>
        <v>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2" t="s">
        <v>1962</v>
      </c>
      <c r="B354" s="684" t="s">
        <v>1954</v>
      </c>
      <c r="C354" s="617"/>
      <c r="D354" s="617"/>
      <c r="E354" s="617"/>
      <c r="F354" s="617"/>
      <c r="G354" s="617"/>
      <c r="H354" s="474">
        <v>0</v>
      </c>
      <c r="I354" s="702"/>
      <c r="J354" s="617"/>
      <c r="K354" s="1716">
        <f>H354</f>
        <v>0</v>
      </c>
      <c r="L354" s="471">
        <v>0</v>
      </c>
    </row>
    <row r="355" spans="1:14" ht="12.75" customHeight="1" x14ac:dyDescent="0.2">
      <c r="A355" s="1530" t="s">
        <v>1963</v>
      </c>
      <c r="B355" s="691" t="s">
        <v>1956</v>
      </c>
      <c r="C355" s="617"/>
      <c r="D355" s="617"/>
      <c r="E355" s="617"/>
      <c r="F355" s="617"/>
      <c r="G355" s="617"/>
      <c r="H355" s="467">
        <v>0</v>
      </c>
      <c r="I355" s="702"/>
      <c r="J355" s="617"/>
      <c r="K355" s="1760">
        <f>H355</f>
        <v>0</v>
      </c>
      <c r="L355" s="467">
        <v>0</v>
      </c>
    </row>
    <row r="356" spans="1:14" ht="12.75" customHeight="1" x14ac:dyDescent="0.2">
      <c r="A356" s="1852" t="s">
        <v>722</v>
      </c>
      <c r="B356" s="684" t="s">
        <v>579</v>
      </c>
      <c r="C356" s="617"/>
      <c r="D356" s="617"/>
      <c r="E356" s="617"/>
      <c r="F356" s="617"/>
      <c r="G356" s="617"/>
      <c r="H356" s="479">
        <v>0</v>
      </c>
      <c r="I356" s="702"/>
      <c r="J356" s="617"/>
      <c r="K356" s="1757">
        <f>H356</f>
        <v>0</v>
      </c>
      <c r="L356" s="479">
        <v>0</v>
      </c>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8">
        <f>SUM(C360:J360)</f>
        <v>0</v>
      </c>
      <c r="L360" s="466">
        <v>0</v>
      </c>
    </row>
    <row r="361" spans="1:14" ht="12.75" customHeight="1" x14ac:dyDescent="0.2">
      <c r="A361" s="1522" t="s">
        <v>640</v>
      </c>
      <c r="B361" s="603" t="s">
        <v>639</v>
      </c>
      <c r="C361" s="617"/>
      <c r="D361" s="617"/>
      <c r="E361" s="617"/>
      <c r="F361" s="617"/>
      <c r="G361" s="617"/>
      <c r="H361" s="467">
        <v>0</v>
      </c>
      <c r="I361" s="617"/>
      <c r="J361" s="617"/>
      <c r="K361" s="1688">
        <f>SUM(C361:J361)</f>
        <v>0</v>
      </c>
      <c r="L361" s="466">
        <v>0</v>
      </c>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v>0</v>
      </c>
      <c r="I363" s="639"/>
      <c r="J363" s="639"/>
      <c r="K363" s="1716">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88">
        <f>SUM(C364:J364)</f>
        <v>0</v>
      </c>
      <c r="L364" s="708">
        <v>0</v>
      </c>
    </row>
    <row r="365" spans="1:14" s="675" customFormat="1" ht="12.75" customHeight="1" thickBot="1" x14ac:dyDescent="0.25">
      <c r="A365" s="1538"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0</v>
      </c>
      <c r="H367" s="1687">
        <f t="shared" si="28"/>
        <v>0</v>
      </c>
      <c r="I367" s="1687">
        <f t="shared" si="28"/>
        <v>0</v>
      </c>
      <c r="J367" s="1687">
        <f t="shared" si="28"/>
        <v>0</v>
      </c>
      <c r="K367" s="1687">
        <f t="shared" si="28"/>
        <v>0</v>
      </c>
      <c r="L367" s="1687">
        <f t="shared" si="28"/>
        <v>0</v>
      </c>
    </row>
    <row r="368" spans="1:14" ht="13.5" thickTop="1" x14ac:dyDescent="0.2">
      <c r="A368" s="2450" t="s">
        <v>1053</v>
      </c>
      <c r="B368" s="2451"/>
      <c r="C368" s="655"/>
      <c r="D368" s="655"/>
      <c r="E368" s="627"/>
      <c r="F368" s="627"/>
      <c r="G368" s="627"/>
      <c r="H368" s="627"/>
      <c r="I368" s="627"/>
      <c r="J368" s="624"/>
      <c r="K368" s="1688">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0" sqref="F2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477" t="s">
        <v>1902</v>
      </c>
      <c r="B2" s="1545" t="s">
        <v>2034</v>
      </c>
      <c r="C2" s="715" t="s">
        <v>1907</v>
      </c>
      <c r="D2" s="715" t="s">
        <v>1908</v>
      </c>
      <c r="E2" s="715" t="s">
        <v>1909</v>
      </c>
      <c r="F2" s="715" t="s">
        <v>1910</v>
      </c>
    </row>
    <row r="3" spans="1:6" ht="12" customHeight="1" x14ac:dyDescent="0.2">
      <c r="A3" s="2478"/>
      <c r="B3" s="1542"/>
      <c r="C3" s="1543"/>
      <c r="D3" s="1544" t="s">
        <v>274</v>
      </c>
      <c r="E3" s="1543"/>
      <c r="F3" s="1544" t="s">
        <v>275</v>
      </c>
    </row>
    <row r="4" spans="1:6" ht="13.7" customHeight="1" x14ac:dyDescent="0.2">
      <c r="A4" s="716" t="s">
        <v>1217</v>
      </c>
      <c r="B4" s="1766">
        <v>21570415</v>
      </c>
      <c r="C4" s="1541">
        <v>11529041</v>
      </c>
      <c r="D4" s="1769">
        <f>B4-C4</f>
        <v>10041374</v>
      </c>
      <c r="E4" s="1541">
        <v>21793322</v>
      </c>
      <c r="F4" s="1769">
        <f>E4-C4</f>
        <v>10264281</v>
      </c>
    </row>
    <row r="5" spans="1:6" ht="13.7" customHeight="1" x14ac:dyDescent="0.2">
      <c r="A5" s="716" t="s">
        <v>925</v>
      </c>
      <c r="B5" s="1767">
        <v>3414881</v>
      </c>
      <c r="C5" s="585">
        <v>1767487</v>
      </c>
      <c r="D5" s="1770">
        <f t="shared" ref="D5:D18" si="0">B5-C5</f>
        <v>1647394</v>
      </c>
      <c r="E5" s="585">
        <v>3341076</v>
      </c>
      <c r="F5" s="1770">
        <f>E5-C5</f>
        <v>1573589</v>
      </c>
    </row>
    <row r="6" spans="1:6" ht="13.7" customHeight="1" x14ac:dyDescent="0.2">
      <c r="A6" s="716" t="s">
        <v>431</v>
      </c>
      <c r="B6" s="1767">
        <v>7869959</v>
      </c>
      <c r="C6" s="585">
        <v>4092208</v>
      </c>
      <c r="D6" s="1770">
        <f t="shared" si="0"/>
        <v>3777751</v>
      </c>
      <c r="E6" s="585">
        <v>7735492</v>
      </c>
      <c r="F6" s="1770">
        <f t="shared" ref="F6:F18" si="1">E6-C6</f>
        <v>3643284</v>
      </c>
    </row>
    <row r="7" spans="1:6" ht="13.7" customHeight="1" x14ac:dyDescent="0.2">
      <c r="A7" s="716" t="s">
        <v>157</v>
      </c>
      <c r="B7" s="1767">
        <v>1242269</v>
      </c>
      <c r="C7" s="585">
        <v>599926</v>
      </c>
      <c r="D7" s="1770">
        <f t="shared" si="0"/>
        <v>642343</v>
      </c>
      <c r="E7" s="585">
        <v>1134040</v>
      </c>
      <c r="F7" s="1770">
        <f t="shared" si="1"/>
        <v>534114</v>
      </c>
    </row>
    <row r="8" spans="1:6" ht="13.7" customHeight="1" x14ac:dyDescent="0.2">
      <c r="A8" s="716" t="s">
        <v>1241</v>
      </c>
      <c r="B8" s="1767">
        <v>616548</v>
      </c>
      <c r="C8" s="585">
        <v>323462</v>
      </c>
      <c r="D8" s="1770">
        <f t="shared" si="0"/>
        <v>293086</v>
      </c>
      <c r="E8" s="585">
        <v>611440</v>
      </c>
      <c r="F8" s="1770">
        <f t="shared" si="1"/>
        <v>287978</v>
      </c>
    </row>
    <row r="9" spans="1:6" ht="13.7" customHeight="1" x14ac:dyDescent="0.2">
      <c r="A9" s="716" t="s">
        <v>428</v>
      </c>
      <c r="B9" s="1767">
        <v>0</v>
      </c>
      <c r="C9" s="585">
        <v>0</v>
      </c>
      <c r="D9" s="1770">
        <f t="shared" si="0"/>
        <v>0</v>
      </c>
      <c r="E9" s="585">
        <v>0</v>
      </c>
      <c r="F9" s="1770">
        <f t="shared" si="1"/>
        <v>0</v>
      </c>
    </row>
    <row r="10" spans="1:6" ht="13.7" customHeight="1" x14ac:dyDescent="0.2">
      <c r="A10" s="716" t="s">
        <v>427</v>
      </c>
      <c r="B10" s="1767">
        <v>24227</v>
      </c>
      <c r="C10" s="585">
        <v>12015</v>
      </c>
      <c r="D10" s="1770">
        <f t="shared" si="0"/>
        <v>12212</v>
      </c>
      <c r="E10" s="585">
        <v>22711</v>
      </c>
      <c r="F10" s="1770">
        <f t="shared" si="1"/>
        <v>10696</v>
      </c>
    </row>
    <row r="11" spans="1:6" x14ac:dyDescent="0.2">
      <c r="A11" s="716" t="s">
        <v>429</v>
      </c>
      <c r="B11" s="1767">
        <v>161593</v>
      </c>
      <c r="C11" s="585">
        <v>85342</v>
      </c>
      <c r="D11" s="1770">
        <f t="shared" si="0"/>
        <v>76251</v>
      </c>
      <c r="E11" s="585">
        <v>161322</v>
      </c>
      <c r="F11" s="1770">
        <f t="shared" si="1"/>
        <v>75980</v>
      </c>
    </row>
    <row r="12" spans="1:6" ht="13.7" customHeight="1" x14ac:dyDescent="0.2">
      <c r="A12" s="716" t="s">
        <v>159</v>
      </c>
      <c r="B12" s="1767">
        <f>'Revenues 9-14'!K5</f>
        <v>0</v>
      </c>
      <c r="C12" s="585">
        <v>0</v>
      </c>
      <c r="D12" s="1770">
        <f t="shared" si="0"/>
        <v>0</v>
      </c>
      <c r="E12" s="585">
        <v>0</v>
      </c>
      <c r="F12" s="1770">
        <f t="shared" si="1"/>
        <v>0</v>
      </c>
    </row>
    <row r="13" spans="1:6" ht="13.7" customHeight="1" x14ac:dyDescent="0.2">
      <c r="A13" s="716" t="s">
        <v>993</v>
      </c>
      <c r="B13" s="1767">
        <f>SUM('Revenues 9-14'!C6:D6)</f>
        <v>0</v>
      </c>
      <c r="C13" s="585">
        <v>0</v>
      </c>
      <c r="D13" s="1770">
        <f t="shared" si="0"/>
        <v>0</v>
      </c>
      <c r="E13" s="585">
        <v>0</v>
      </c>
      <c r="F13" s="1770">
        <f t="shared" si="1"/>
        <v>0</v>
      </c>
    </row>
    <row r="14" spans="1:6" ht="13.7" customHeight="1" x14ac:dyDescent="0.2">
      <c r="A14" s="716" t="s">
        <v>430</v>
      </c>
      <c r="B14" s="1767">
        <v>243243</v>
      </c>
      <c r="C14" s="585">
        <v>0</v>
      </c>
      <c r="D14" s="1770">
        <f t="shared" si="0"/>
        <v>243243</v>
      </c>
      <c r="E14" s="585">
        <v>0</v>
      </c>
      <c r="F14" s="1770">
        <f t="shared" si="1"/>
        <v>0</v>
      </c>
    </row>
    <row r="15" spans="1:6" ht="13.7" customHeight="1" x14ac:dyDescent="0.2">
      <c r="A15" s="716" t="s">
        <v>1220</v>
      </c>
      <c r="B15" s="1767">
        <f>'Revenues 9-14'!E9</f>
        <v>0</v>
      </c>
      <c r="C15" s="585">
        <v>0</v>
      </c>
      <c r="D15" s="1770">
        <f t="shared" si="0"/>
        <v>0</v>
      </c>
      <c r="E15" s="585">
        <v>0</v>
      </c>
      <c r="F15" s="1770">
        <f t="shared" si="1"/>
        <v>0</v>
      </c>
    </row>
    <row r="16" spans="1:6" ht="13.7" customHeight="1" x14ac:dyDescent="0.2">
      <c r="A16" s="716" t="s">
        <v>1221</v>
      </c>
      <c r="B16" s="1767">
        <v>743831</v>
      </c>
      <c r="C16" s="585">
        <v>406780</v>
      </c>
      <c r="D16" s="1770">
        <f t="shared" si="0"/>
        <v>337051</v>
      </c>
      <c r="E16" s="585">
        <v>768936</v>
      </c>
      <c r="F16" s="1770">
        <f t="shared" si="1"/>
        <v>362156</v>
      </c>
    </row>
    <row r="17" spans="1:6" ht="13.7" customHeight="1" x14ac:dyDescent="0.2">
      <c r="A17" s="716" t="s">
        <v>1222</v>
      </c>
      <c r="B17" s="1767">
        <f>'Revenues 9-14'!C10</f>
        <v>0</v>
      </c>
      <c r="C17" s="585">
        <v>0</v>
      </c>
      <c r="D17" s="1770">
        <f t="shared" si="0"/>
        <v>0</v>
      </c>
      <c r="E17" s="585">
        <v>0</v>
      </c>
      <c r="F17" s="1770">
        <f t="shared" si="1"/>
        <v>0</v>
      </c>
    </row>
    <row r="18" spans="1:6" ht="13.7" customHeight="1" x14ac:dyDescent="0.2">
      <c r="A18" s="716" t="s">
        <v>786</v>
      </c>
      <c r="B18" s="1767">
        <v>46126</v>
      </c>
      <c r="C18" s="585">
        <v>24305</v>
      </c>
      <c r="D18" s="1770">
        <f t="shared" si="0"/>
        <v>21821</v>
      </c>
      <c r="E18" s="585">
        <v>45943</v>
      </c>
      <c r="F18" s="1770">
        <f t="shared" si="1"/>
        <v>21638</v>
      </c>
    </row>
    <row r="19" spans="1:6" ht="13.7" customHeight="1" thickBot="1" x14ac:dyDescent="0.25">
      <c r="A19" s="1771" t="s">
        <v>1223</v>
      </c>
      <c r="B19" s="1768">
        <f>SUM(B4:B18)</f>
        <v>35933092</v>
      </c>
      <c r="C19" s="1768">
        <f>SUM(C4:C18)</f>
        <v>18840566</v>
      </c>
      <c r="D19" s="1768">
        <f>SUM(D4:D18)</f>
        <v>17092526</v>
      </c>
      <c r="E19" s="1768">
        <f>SUM(E4:E18)</f>
        <v>35614282</v>
      </c>
      <c r="F19" s="1768">
        <f>SUM(F4:F18)</f>
        <v>16773716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90" zoomScaleNormal="90" workbookViewId="0">
      <selection activeCell="A42" sqref="A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499" t="s">
        <v>650</v>
      </c>
      <c r="B1" s="2497"/>
      <c r="C1" s="722"/>
    </row>
    <row r="2" spans="1:7" ht="33.75" x14ac:dyDescent="0.2">
      <c r="A2" s="2504" t="s">
        <v>1902</v>
      </c>
      <c r="B2" s="2505"/>
      <c r="C2" s="1904" t="s">
        <v>2035</v>
      </c>
      <c r="D2" s="724" t="s">
        <v>2042</v>
      </c>
      <c r="E2" s="724" t="s">
        <v>2043</v>
      </c>
      <c r="F2" s="1904" t="s">
        <v>2036</v>
      </c>
    </row>
    <row r="3" spans="1:7" ht="15.75" customHeight="1" x14ac:dyDescent="0.2">
      <c r="A3" s="2506" t="s">
        <v>1176</v>
      </c>
      <c r="B3" s="2507"/>
      <c r="C3" s="2500"/>
      <c r="D3" s="2501"/>
      <c r="E3" s="2501"/>
      <c r="F3" s="2502"/>
    </row>
    <row r="4" spans="1:7" ht="12.75" customHeight="1" thickBot="1" x14ac:dyDescent="0.25">
      <c r="A4" s="2494" t="s">
        <v>651</v>
      </c>
      <c r="B4" s="2495"/>
      <c r="C4" s="581"/>
      <c r="D4" s="581"/>
      <c r="E4" s="581"/>
      <c r="F4" s="1772">
        <f>SUM(C4+D4)-E4</f>
        <v>0</v>
      </c>
    </row>
    <row r="5" spans="1:7" ht="15.75" customHeight="1" thickTop="1" x14ac:dyDescent="0.2">
      <c r="A5" s="2498" t="s">
        <v>1172</v>
      </c>
      <c r="B5" s="2493"/>
      <c r="C5" s="2487"/>
      <c r="D5" s="2488"/>
      <c r="E5" s="2488"/>
      <c r="F5" s="2489"/>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490" t="s">
        <v>652</v>
      </c>
      <c r="B15" s="2491"/>
      <c r="C15" s="1772">
        <f>SUM(C6:C14)</f>
        <v>0</v>
      </c>
      <c r="D15" s="1772">
        <f>SUM(D6:D14)</f>
        <v>0</v>
      </c>
      <c r="E15" s="1772">
        <f>SUM(E6:E14)</f>
        <v>0</v>
      </c>
      <c r="F15" s="1772">
        <f>SUM(F6:F14)</f>
        <v>0</v>
      </c>
      <c r="G15" s="552"/>
    </row>
    <row r="16" spans="1:7" s="202" customFormat="1" ht="15.75" customHeight="1" thickTop="1" x14ac:dyDescent="0.2">
      <c r="A16" s="2503" t="s">
        <v>1173</v>
      </c>
      <c r="B16" s="2493"/>
      <c r="C16" s="2487"/>
      <c r="D16" s="2488"/>
      <c r="E16" s="2488"/>
      <c r="F16" s="2489"/>
    </row>
    <row r="17" spans="1:11" ht="12.75" customHeight="1" thickBot="1" x14ac:dyDescent="0.25">
      <c r="A17" s="2485" t="s">
        <v>66</v>
      </c>
      <c r="B17" s="2486"/>
      <c r="C17" s="727"/>
      <c r="D17" s="585"/>
      <c r="E17" s="727"/>
      <c r="F17" s="1772">
        <f>SUM(C17+D17)-E17</f>
        <v>0</v>
      </c>
    </row>
    <row r="18" spans="1:11" ht="12.75" customHeight="1" thickTop="1" thickBot="1" x14ac:dyDescent="0.25">
      <c r="A18" s="2485" t="s">
        <v>6</v>
      </c>
      <c r="B18" s="2486"/>
      <c r="C18" s="727"/>
      <c r="D18" s="585"/>
      <c r="E18" s="727"/>
      <c r="F18" s="1772">
        <f>SUM(C18+D18)-E18</f>
        <v>0</v>
      </c>
    </row>
    <row r="19" spans="1:11" ht="12.75" customHeight="1" thickTop="1" thickBot="1" x14ac:dyDescent="0.25">
      <c r="A19" s="2485" t="s">
        <v>406</v>
      </c>
      <c r="B19" s="2486"/>
      <c r="C19" s="727"/>
      <c r="D19" s="585"/>
      <c r="E19" s="727"/>
      <c r="F19" s="1772">
        <f>SUM(C19+D19)-E19</f>
        <v>0</v>
      </c>
    </row>
    <row r="20" spans="1:11" ht="12.75" customHeight="1" thickTop="1" thickBot="1" x14ac:dyDescent="0.25">
      <c r="A20" s="2485" t="s">
        <v>468</v>
      </c>
      <c r="B20" s="2486"/>
      <c r="C20" s="727"/>
      <c r="D20" s="585"/>
      <c r="E20" s="727"/>
      <c r="F20" s="1772">
        <f>SUM(C20+D20)-E20</f>
        <v>0</v>
      </c>
    </row>
    <row r="21" spans="1:11" ht="14.25" thickTop="1" thickBot="1" x14ac:dyDescent="0.25">
      <c r="A21" s="2490" t="s">
        <v>653</v>
      </c>
      <c r="B21" s="2491"/>
      <c r="C21" s="1772">
        <f>SUM(C17:C20)</f>
        <v>0</v>
      </c>
      <c r="D21" s="1772">
        <f>SUM(D17:D20)</f>
        <v>0</v>
      </c>
      <c r="E21" s="1772">
        <f>SUM(E17:E20)</f>
        <v>0</v>
      </c>
      <c r="F21" s="1772">
        <f>SUM(F17:F20)</f>
        <v>0</v>
      </c>
      <c r="G21" s="552"/>
    </row>
    <row r="22" spans="1:11" ht="15.75" customHeight="1" thickTop="1" x14ac:dyDescent="0.2">
      <c r="A22" s="2492" t="s">
        <v>1174</v>
      </c>
      <c r="B22" s="2493"/>
      <c r="C22" s="2487"/>
      <c r="D22" s="2488"/>
      <c r="E22" s="2488"/>
      <c r="F22" s="2489"/>
    </row>
    <row r="23" spans="1:11" ht="13.5" thickBot="1" x14ac:dyDescent="0.25">
      <c r="A23" s="2494" t="s">
        <v>654</v>
      </c>
      <c r="B23" s="2495"/>
      <c r="C23" s="581"/>
      <c r="D23" s="581"/>
      <c r="E23" s="581"/>
      <c r="F23" s="1772">
        <f>SUM(C23+D23)-E23</f>
        <v>0</v>
      </c>
      <c r="G23" s="552"/>
    </row>
    <row r="24" spans="1:11" ht="15.75" customHeight="1" thickTop="1" x14ac:dyDescent="0.2">
      <c r="A24" s="2492" t="s">
        <v>1175</v>
      </c>
      <c r="B24" s="2493"/>
      <c r="C24" s="2487"/>
      <c r="D24" s="2488"/>
      <c r="E24" s="2488"/>
      <c r="F24" s="2489"/>
    </row>
    <row r="25" spans="1:11" ht="13.5" thickBot="1" x14ac:dyDescent="0.25">
      <c r="A25" s="2494" t="s">
        <v>655</v>
      </c>
      <c r="B25" s="2495"/>
      <c r="C25" s="581"/>
      <c r="D25" s="581"/>
      <c r="E25" s="581"/>
      <c r="F25" s="1772">
        <f>SUM(C25+D25)-E25</f>
        <v>0</v>
      </c>
      <c r="G25" s="552"/>
    </row>
    <row r="26" spans="1:11" ht="15.75" customHeight="1" thickTop="1" x14ac:dyDescent="0.2">
      <c r="A26" s="2498" t="s">
        <v>678</v>
      </c>
      <c r="B26" s="2493"/>
      <c r="C26" s="728"/>
      <c r="D26" s="728"/>
      <c r="E26" s="728"/>
      <c r="F26" s="729"/>
    </row>
    <row r="27" spans="1:11" ht="13.5" thickBot="1" x14ac:dyDescent="0.25">
      <c r="A27" s="2490" t="s">
        <v>1130</v>
      </c>
      <c r="B27" s="2491"/>
      <c r="C27" s="585"/>
      <c r="D27" s="585"/>
      <c r="E27" s="585"/>
      <c r="F27" s="1772">
        <f>SUM(C27+D27)-E27</f>
        <v>0</v>
      </c>
      <c r="G27" s="552"/>
    </row>
    <row r="28" spans="1:11" ht="7.5" customHeight="1" thickTop="1" x14ac:dyDescent="0.2">
      <c r="A28" s="594"/>
    </row>
    <row r="29" spans="1:11" ht="23.25" customHeight="1" x14ac:dyDescent="0.2">
      <c r="A29" s="2496" t="s">
        <v>603</v>
      </c>
      <c r="B29" s="2497"/>
      <c r="C29" s="730"/>
      <c r="D29" s="730"/>
      <c r="E29" s="730"/>
      <c r="F29" s="730"/>
      <c r="G29" s="730"/>
      <c r="H29" s="730"/>
      <c r="I29" s="730"/>
      <c r="J29" s="730"/>
    </row>
    <row r="30" spans="1:11" ht="33.75" x14ac:dyDescent="0.2">
      <c r="A30" s="1546" t="s">
        <v>1131</v>
      </c>
      <c r="B30" s="731" t="s">
        <v>1186</v>
      </c>
      <c r="C30" s="1905" t="s">
        <v>604</v>
      </c>
      <c r="D30" s="1905" t="s">
        <v>1772</v>
      </c>
      <c r="E30" s="1905" t="s">
        <v>2037</v>
      </c>
      <c r="F30" s="1905" t="s">
        <v>2038</v>
      </c>
      <c r="G30" s="1905" t="s">
        <v>2041</v>
      </c>
      <c r="H30" s="1905" t="s">
        <v>2039</v>
      </c>
      <c r="I30" s="1905" t="s">
        <v>2040</v>
      </c>
      <c r="J30" s="1906" t="s">
        <v>2</v>
      </c>
      <c r="K30" s="732"/>
    </row>
    <row r="31" spans="1:11" ht="12" customHeight="1" x14ac:dyDescent="0.2">
      <c r="A31" s="1951" t="s">
        <v>2088</v>
      </c>
      <c r="B31" s="1953">
        <v>36708</v>
      </c>
      <c r="C31" s="1954">
        <v>9449899</v>
      </c>
      <c r="D31" s="1955">
        <v>6</v>
      </c>
      <c r="E31" s="1954">
        <v>4794746</v>
      </c>
      <c r="F31" s="735"/>
      <c r="G31" s="1958">
        <v>205255</v>
      </c>
      <c r="H31" s="1960">
        <v>2500000</v>
      </c>
      <c r="I31" s="1773">
        <f>((E31+F31)-H31)+G31</f>
        <v>2500001</v>
      </c>
      <c r="J31" s="1963">
        <v>1018102</v>
      </c>
      <c r="K31" s="737"/>
    </row>
    <row r="32" spans="1:11" ht="12" customHeight="1" x14ac:dyDescent="0.2">
      <c r="A32" s="1951" t="s">
        <v>2089</v>
      </c>
      <c r="B32" s="1953">
        <v>37132</v>
      </c>
      <c r="C32" s="1954">
        <v>3999955</v>
      </c>
      <c r="D32" s="1955">
        <v>6</v>
      </c>
      <c r="E32" s="1954">
        <v>10670534</v>
      </c>
      <c r="F32" s="735"/>
      <c r="G32" s="1958">
        <v>815441</v>
      </c>
      <c r="H32" s="1960">
        <v>1600000</v>
      </c>
      <c r="I32" s="1773">
        <f>((E32+F32)-H32)+G32</f>
        <v>9885975</v>
      </c>
      <c r="J32" s="1963">
        <v>8924546</v>
      </c>
      <c r="K32" s="737"/>
    </row>
    <row r="33" spans="1:11" ht="12" customHeight="1" x14ac:dyDescent="0.2">
      <c r="A33" s="1951" t="s">
        <v>2090</v>
      </c>
      <c r="B33" s="1953">
        <v>37469</v>
      </c>
      <c r="C33" s="1954">
        <v>3497696</v>
      </c>
      <c r="D33" s="1955">
        <v>6</v>
      </c>
      <c r="E33" s="1954">
        <v>5398825</v>
      </c>
      <c r="F33" s="735"/>
      <c r="G33" s="1958">
        <v>362585</v>
      </c>
      <c r="H33" s="1960">
        <v>1255000</v>
      </c>
      <c r="I33" s="1773">
        <f t="shared" ref="I33:I48" si="1">((E33+F33)-H33)+G33</f>
        <v>4506410</v>
      </c>
      <c r="J33" s="1963">
        <v>3770063</v>
      </c>
      <c r="K33" s="737"/>
    </row>
    <row r="34" spans="1:11" ht="12" customHeight="1" x14ac:dyDescent="0.2">
      <c r="A34" s="1951" t="s">
        <v>2091</v>
      </c>
      <c r="B34" s="1953">
        <v>41079</v>
      </c>
      <c r="C34" s="1954">
        <v>8990000</v>
      </c>
      <c r="D34" s="1955">
        <v>3</v>
      </c>
      <c r="E34" s="1954">
        <v>8675000</v>
      </c>
      <c r="F34" s="735"/>
      <c r="G34" s="735"/>
      <c r="H34" s="1960">
        <v>40000</v>
      </c>
      <c r="I34" s="1773">
        <f t="shared" si="1"/>
        <v>8635000</v>
      </c>
      <c r="J34" s="1963">
        <v>8567242</v>
      </c>
      <c r="K34" s="738"/>
    </row>
    <row r="35" spans="1:11" ht="12" customHeight="1" x14ac:dyDescent="0.2">
      <c r="A35" s="1951" t="s">
        <v>2092</v>
      </c>
      <c r="B35" s="1953">
        <v>41991</v>
      </c>
      <c r="C35" s="1956">
        <v>8750000</v>
      </c>
      <c r="D35" s="1955">
        <v>3</v>
      </c>
      <c r="E35" s="1956">
        <v>7700000</v>
      </c>
      <c r="F35" s="739"/>
      <c r="G35" s="739"/>
      <c r="H35" s="1961"/>
      <c r="I35" s="1773">
        <f t="shared" si="1"/>
        <v>7700000</v>
      </c>
      <c r="J35" s="1964">
        <v>7236373</v>
      </c>
      <c r="K35" s="738"/>
    </row>
    <row r="36" spans="1:11" ht="12" customHeight="1" x14ac:dyDescent="0.2">
      <c r="A36" s="1951" t="s">
        <v>2093</v>
      </c>
      <c r="B36" s="1953">
        <v>42234</v>
      </c>
      <c r="C36" s="1954">
        <v>21005000</v>
      </c>
      <c r="D36" s="1955">
        <v>3</v>
      </c>
      <c r="E36" s="1954">
        <v>19570000</v>
      </c>
      <c r="F36" s="735"/>
      <c r="G36" s="735"/>
      <c r="H36" s="1960">
        <v>780000</v>
      </c>
      <c r="I36" s="1773">
        <f t="shared" si="1"/>
        <v>18790000</v>
      </c>
      <c r="J36" s="1963">
        <v>17708150</v>
      </c>
      <c r="K36" s="740"/>
    </row>
    <row r="37" spans="1:11" ht="12" customHeight="1" x14ac:dyDescent="0.2">
      <c r="A37" s="1951" t="s">
        <v>2095</v>
      </c>
      <c r="B37" s="1953">
        <v>42917</v>
      </c>
      <c r="C37" s="1952">
        <v>43622</v>
      </c>
      <c r="D37" s="1957">
        <v>7</v>
      </c>
      <c r="E37" s="1952"/>
      <c r="F37" s="467">
        <v>43622</v>
      </c>
      <c r="G37" s="467"/>
      <c r="H37" s="1959">
        <v>17482</v>
      </c>
      <c r="I37" s="1773">
        <f t="shared" si="1"/>
        <v>26140</v>
      </c>
      <c r="J37" s="1962">
        <v>26140</v>
      </c>
      <c r="K37" s="738"/>
    </row>
    <row r="38" spans="1:11" ht="12" customHeight="1" x14ac:dyDescent="0.2">
      <c r="A38" s="733"/>
      <c r="B38" s="734"/>
      <c r="C38" s="735"/>
      <c r="D38" s="741"/>
      <c r="E38" s="742"/>
      <c r="F38" s="742"/>
      <c r="G38" s="742"/>
      <c r="H38" s="742"/>
      <c r="I38" s="1773">
        <f t="shared" si="1"/>
        <v>0</v>
      </c>
      <c r="J38" s="743" t="s">
        <v>282</v>
      </c>
      <c r="K38" s="744"/>
    </row>
    <row r="39" spans="1:11" ht="12" customHeight="1" x14ac:dyDescent="0.2">
      <c r="A39" s="733"/>
      <c r="B39" s="734"/>
      <c r="C39" s="735"/>
      <c r="D39" s="741"/>
      <c r="E39" s="742"/>
      <c r="F39" s="742"/>
      <c r="G39" s="742"/>
      <c r="H39" s="742"/>
      <c r="I39" s="1773">
        <f t="shared" si="1"/>
        <v>0</v>
      </c>
      <c r="J39" s="743"/>
      <c r="K39" s="744"/>
    </row>
    <row r="40" spans="1:11" ht="12" customHeight="1" x14ac:dyDescent="0.2">
      <c r="A40" s="733"/>
      <c r="B40" s="734"/>
      <c r="C40" s="735"/>
      <c r="D40" s="741"/>
      <c r="E40" s="742"/>
      <c r="F40" s="742"/>
      <c r="G40" s="742"/>
      <c r="H40" s="742"/>
      <c r="I40" s="1773">
        <f t="shared" si="1"/>
        <v>0</v>
      </c>
      <c r="J40" s="743"/>
      <c r="K40" s="744"/>
    </row>
    <row r="41" spans="1:11" ht="12" customHeight="1" x14ac:dyDescent="0.2">
      <c r="A41" s="733"/>
      <c r="B41" s="734"/>
      <c r="C41" s="735"/>
      <c r="D41" s="741"/>
      <c r="E41" s="742"/>
      <c r="F41" s="742"/>
      <c r="G41" s="742"/>
      <c r="H41" s="742"/>
      <c r="I41" s="1773">
        <f t="shared" si="1"/>
        <v>0</v>
      </c>
      <c r="J41" s="743"/>
      <c r="K41" s="744"/>
    </row>
    <row r="42" spans="1:11" ht="12" customHeight="1" x14ac:dyDescent="0.2">
      <c r="A42" s="733"/>
      <c r="B42" s="734"/>
      <c r="C42" s="735"/>
      <c r="D42" s="741"/>
      <c r="E42" s="742"/>
      <c r="F42" s="742"/>
      <c r="G42" s="742"/>
      <c r="H42" s="742"/>
      <c r="I42" s="1773">
        <f t="shared" si="1"/>
        <v>0</v>
      </c>
      <c r="J42" s="743"/>
      <c r="K42" s="744"/>
    </row>
    <row r="43" spans="1:11" ht="12" customHeight="1" x14ac:dyDescent="0.2">
      <c r="A43" s="733"/>
      <c r="B43" s="734"/>
      <c r="C43" s="735"/>
      <c r="D43" s="741"/>
      <c r="E43" s="742"/>
      <c r="F43" s="742"/>
      <c r="G43" s="742"/>
      <c r="H43" s="742"/>
      <c r="I43" s="1773">
        <f t="shared" si="1"/>
        <v>0</v>
      </c>
      <c r="J43" s="743"/>
      <c r="K43" s="744"/>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55736172</v>
      </c>
      <c r="D49" s="745"/>
      <c r="E49" s="1773">
        <f t="shared" ref="E49:J49" si="2">SUM(E31:E48)</f>
        <v>56809105</v>
      </c>
      <c r="F49" s="1773">
        <f t="shared" si="2"/>
        <v>43622</v>
      </c>
      <c r="G49" s="1773">
        <f t="shared" si="2"/>
        <v>1383281</v>
      </c>
      <c r="H49" s="1773">
        <f t="shared" si="2"/>
        <v>6192482</v>
      </c>
      <c r="I49" s="1773">
        <f t="shared" si="2"/>
        <v>52043526</v>
      </c>
      <c r="J49" s="1773">
        <f t="shared" si="2"/>
        <v>47250616</v>
      </c>
      <c r="K49" s="738"/>
    </row>
    <row r="50" spans="1:11" ht="6" customHeight="1" x14ac:dyDescent="0.2">
      <c r="A50" s="746"/>
      <c r="B50" s="737"/>
      <c r="C50" s="737"/>
      <c r="D50" s="737"/>
      <c r="E50" s="737"/>
      <c r="F50" s="737"/>
      <c r="G50" s="737"/>
      <c r="H50" s="737"/>
      <c r="I50" s="737"/>
      <c r="J50" s="746"/>
    </row>
    <row r="51" spans="1:11" x14ac:dyDescent="0.2">
      <c r="A51" s="747" t="s">
        <v>1911</v>
      </c>
      <c r="B51" s="746"/>
      <c r="C51" s="738"/>
      <c r="D51" s="738"/>
      <c r="E51" s="738"/>
      <c r="F51" s="738"/>
      <c r="G51" s="738"/>
      <c r="H51" s="737"/>
      <c r="I51" s="737"/>
      <c r="J51" s="746"/>
    </row>
    <row r="52" spans="1:11" ht="11.25" customHeight="1" x14ac:dyDescent="0.2">
      <c r="A52" s="748" t="s">
        <v>968</v>
      </c>
      <c r="B52" s="2479" t="s">
        <v>605</v>
      </c>
      <c r="C52" s="2480"/>
      <c r="D52" s="2480"/>
      <c r="E52" s="749" t="s">
        <v>900</v>
      </c>
      <c r="F52" s="2481" t="s">
        <v>2094</v>
      </c>
      <c r="G52" s="2482"/>
      <c r="H52" s="737"/>
      <c r="I52" s="737"/>
      <c r="J52" s="746"/>
    </row>
    <row r="53" spans="1:11" ht="11.25" customHeight="1" x14ac:dyDescent="0.2">
      <c r="A53" s="750" t="s">
        <v>969</v>
      </c>
      <c r="B53" s="751" t="s">
        <v>1008</v>
      </c>
      <c r="C53" s="746"/>
      <c r="D53" s="738"/>
      <c r="E53" s="749" t="s">
        <v>518</v>
      </c>
      <c r="F53" s="2483"/>
      <c r="G53" s="2484"/>
      <c r="H53" s="737"/>
      <c r="I53" s="737"/>
      <c r="J53" s="746"/>
    </row>
    <row r="54" spans="1:11" ht="11.25" customHeight="1" x14ac:dyDescent="0.2">
      <c r="A54" s="752" t="s">
        <v>970</v>
      </c>
      <c r="B54" s="747" t="s">
        <v>1009</v>
      </c>
      <c r="C54" s="746"/>
      <c r="D54" s="738"/>
      <c r="E54" s="749" t="s">
        <v>519</v>
      </c>
      <c r="F54" s="2483"/>
      <c r="G54" s="2484"/>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92" zoomScaleNormal="92"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508" t="s">
        <v>911</v>
      </c>
      <c r="B1" s="2509"/>
      <c r="C1" s="2509"/>
      <c r="D1" s="2509"/>
      <c r="E1" s="2509"/>
      <c r="F1" s="2509"/>
      <c r="G1" s="2510"/>
      <c r="H1" s="1547"/>
      <c r="I1" s="760"/>
      <c r="J1" s="433"/>
    </row>
    <row r="2" spans="1:11" ht="26.25" x14ac:dyDescent="0.2">
      <c r="A2" s="2527" t="s">
        <v>1776</v>
      </c>
      <c r="B2" s="2528"/>
      <c r="C2" s="2528"/>
      <c r="D2" s="2528"/>
      <c r="E2" s="2529"/>
      <c r="F2" s="761" t="s">
        <v>960</v>
      </c>
      <c r="G2" s="762" t="s">
        <v>1773</v>
      </c>
      <c r="H2" s="762" t="s">
        <v>430</v>
      </c>
      <c r="I2" s="762" t="s">
        <v>1220</v>
      </c>
      <c r="J2" s="762" t="s">
        <v>1916</v>
      </c>
      <c r="K2" s="762" t="s">
        <v>140</v>
      </c>
    </row>
    <row r="3" spans="1:11" x14ac:dyDescent="0.2">
      <c r="A3" s="2530" t="s">
        <v>1698</v>
      </c>
      <c r="B3" s="2531"/>
      <c r="C3" s="2531"/>
      <c r="D3" s="2531"/>
      <c r="E3" s="2532"/>
      <c r="F3" s="763"/>
      <c r="G3" s="764"/>
      <c r="H3" s="764"/>
      <c r="I3" s="764"/>
      <c r="J3" s="765"/>
      <c r="K3" s="765"/>
    </row>
    <row r="4" spans="1:11" x14ac:dyDescent="0.2">
      <c r="A4" s="2533" t="s">
        <v>387</v>
      </c>
      <c r="B4" s="2534"/>
      <c r="C4" s="2534"/>
      <c r="D4" s="2534"/>
      <c r="E4" s="2480"/>
      <c r="F4" s="766"/>
      <c r="G4" s="767"/>
      <c r="H4" s="768"/>
      <c r="I4" s="767"/>
      <c r="J4" s="769"/>
      <c r="K4" s="769"/>
    </row>
    <row r="5" spans="1:11" x14ac:dyDescent="0.2">
      <c r="A5" s="2511" t="s">
        <v>1129</v>
      </c>
      <c r="B5" s="2512"/>
      <c r="C5" s="2512"/>
      <c r="D5" s="2512"/>
      <c r="E5" s="2513"/>
      <c r="F5" s="770" t="s">
        <v>903</v>
      </c>
      <c r="G5" s="771"/>
      <c r="H5" s="764">
        <v>247228</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511" t="s">
        <v>1917</v>
      </c>
      <c r="B10" s="2512"/>
      <c r="C10" s="2512"/>
      <c r="D10" s="2512"/>
      <c r="E10" s="2514"/>
      <c r="F10" s="783" t="s">
        <v>917</v>
      </c>
      <c r="G10" s="782"/>
      <c r="H10" s="784"/>
      <c r="I10" s="764"/>
      <c r="J10" s="765"/>
      <c r="K10" s="765"/>
    </row>
    <row r="11" spans="1:11" x14ac:dyDescent="0.2">
      <c r="A11" s="2511" t="s">
        <v>162</v>
      </c>
      <c r="B11" s="2512"/>
      <c r="C11" s="2512"/>
      <c r="D11" s="2512"/>
      <c r="E11" s="2513"/>
      <c r="F11" s="770" t="s">
        <v>907</v>
      </c>
      <c r="G11" s="771"/>
      <c r="H11" s="764"/>
      <c r="I11" s="764"/>
      <c r="J11" s="765"/>
      <c r="K11" s="773"/>
    </row>
    <row r="12" spans="1:11" ht="13.5" thickBot="1" x14ac:dyDescent="0.25">
      <c r="A12" s="2538" t="s">
        <v>961</v>
      </c>
      <c r="B12" s="2539"/>
      <c r="C12" s="2539"/>
      <c r="D12" s="2539"/>
      <c r="E12" s="2540"/>
      <c r="F12" s="1774"/>
      <c r="G12" s="1775">
        <f>SUM(G5:G11)</f>
        <v>0</v>
      </c>
      <c r="H12" s="1775">
        <f>SUM(H5:H11)</f>
        <v>247228</v>
      </c>
      <c r="I12" s="1775">
        <f>SUM(I5:I11)</f>
        <v>0</v>
      </c>
      <c r="J12" s="1775">
        <f>SUM(J5:J11)</f>
        <v>0</v>
      </c>
      <c r="K12" s="1775">
        <f>SUM(K5:K11)</f>
        <v>0</v>
      </c>
    </row>
    <row r="13" spans="1:11" ht="13.5" thickTop="1" x14ac:dyDescent="0.2">
      <c r="A13" s="2535" t="s">
        <v>388</v>
      </c>
      <c r="B13" s="2536"/>
      <c r="C13" s="2536"/>
      <c r="D13" s="2536"/>
      <c r="E13" s="2537"/>
      <c r="F13" s="785"/>
      <c r="G13" s="786"/>
      <c r="H13" s="787"/>
      <c r="I13" s="788"/>
      <c r="J13" s="788"/>
      <c r="K13" s="788"/>
    </row>
    <row r="14" spans="1:11" x14ac:dyDescent="0.2">
      <c r="A14" s="2518" t="s">
        <v>476</v>
      </c>
      <c r="B14" s="2518"/>
      <c r="C14" s="2518"/>
      <c r="D14" s="2518"/>
      <c r="E14" s="2519"/>
      <c r="F14" s="789" t="s">
        <v>909</v>
      </c>
      <c r="G14" s="782"/>
      <c r="H14" s="764">
        <v>247228</v>
      </c>
      <c r="I14" s="771"/>
      <c r="J14" s="773"/>
      <c r="K14" s="765"/>
    </row>
    <row r="15" spans="1:11" x14ac:dyDescent="0.2">
      <c r="A15" s="2512" t="s">
        <v>4</v>
      </c>
      <c r="B15" s="2512"/>
      <c r="C15" s="2512"/>
      <c r="D15" s="2512"/>
      <c r="E15" s="2513"/>
      <c r="F15" s="789" t="s">
        <v>910</v>
      </c>
      <c r="G15" s="771"/>
      <c r="H15" s="764"/>
      <c r="I15" s="764"/>
      <c r="J15" s="765"/>
      <c r="K15" s="765"/>
    </row>
    <row r="16" spans="1:11" x14ac:dyDescent="0.2">
      <c r="A16" s="2512" t="s">
        <v>316</v>
      </c>
      <c r="B16" s="2512"/>
      <c r="C16" s="2512"/>
      <c r="D16" s="2512"/>
      <c r="E16" s="2513"/>
      <c r="F16" s="789" t="s">
        <v>980</v>
      </c>
      <c r="G16" s="772"/>
      <c r="H16" s="767"/>
      <c r="I16" s="767"/>
      <c r="J16" s="769"/>
      <c r="K16" s="769"/>
    </row>
    <row r="17" spans="1:11" x14ac:dyDescent="0.2">
      <c r="A17" s="2543" t="s">
        <v>992</v>
      </c>
      <c r="B17" s="2543"/>
      <c r="C17" s="2543"/>
      <c r="D17" s="2543"/>
      <c r="E17" s="2544"/>
      <c r="F17" s="790"/>
      <c r="G17" s="791"/>
      <c r="H17" s="792"/>
      <c r="I17" s="792"/>
      <c r="J17" s="793"/>
      <c r="K17" s="794"/>
    </row>
    <row r="18" spans="1:11" x14ac:dyDescent="0.2">
      <c r="A18" s="2522" t="s">
        <v>386</v>
      </c>
      <c r="B18" s="2523"/>
      <c r="C18" s="2523"/>
      <c r="D18" s="2523"/>
      <c r="E18" s="2524"/>
      <c r="F18" s="789" t="s">
        <v>989</v>
      </c>
      <c r="G18" s="782"/>
      <c r="H18" s="782"/>
      <c r="I18" s="782"/>
      <c r="J18" s="765"/>
      <c r="K18" s="795"/>
    </row>
    <row r="19" spans="1:11" ht="21.75" customHeight="1" x14ac:dyDescent="0.2">
      <c r="A19" s="2520" t="s">
        <v>1913</v>
      </c>
      <c r="B19" s="2520"/>
      <c r="C19" s="2520"/>
      <c r="D19" s="2520"/>
      <c r="E19" s="2521"/>
      <c r="F19" s="789" t="s">
        <v>990</v>
      </c>
      <c r="G19" s="782"/>
      <c r="H19" s="782"/>
      <c r="I19" s="782"/>
      <c r="J19" s="765"/>
      <c r="K19" s="795"/>
    </row>
    <row r="20" spans="1:11" x14ac:dyDescent="0.2">
      <c r="A20" s="2522" t="s">
        <v>1918</v>
      </c>
      <c r="B20" s="2523"/>
      <c r="C20" s="2523"/>
      <c r="D20" s="2523"/>
      <c r="E20" s="2524"/>
      <c r="F20" s="789" t="s">
        <v>991</v>
      </c>
      <c r="G20" s="782"/>
      <c r="H20" s="782"/>
      <c r="I20" s="782"/>
      <c r="J20" s="765"/>
      <c r="K20" s="795"/>
    </row>
    <row r="21" spans="1:11" ht="13.5" thickBot="1" x14ac:dyDescent="0.25">
      <c r="A21" s="2541" t="s">
        <v>659</v>
      </c>
      <c r="B21" s="2541"/>
      <c r="C21" s="2541"/>
      <c r="D21" s="2541"/>
      <c r="E21" s="2541"/>
      <c r="F21" s="1776"/>
      <c r="G21" s="792"/>
      <c r="H21" s="796"/>
      <c r="I21" s="796"/>
      <c r="J21" s="1777">
        <f>SUM(J18:J20)</f>
        <v>0</v>
      </c>
      <c r="K21" s="793"/>
    </row>
    <row r="22" spans="1:11" ht="13.5" thickTop="1" x14ac:dyDescent="0.2">
      <c r="A22" s="2512" t="s">
        <v>1919</v>
      </c>
      <c r="B22" s="2512"/>
      <c r="C22" s="2512"/>
      <c r="D22" s="2512"/>
      <c r="E22" s="2513"/>
      <c r="F22" s="789" t="s">
        <v>917</v>
      </c>
      <c r="G22" s="782"/>
      <c r="H22" s="764"/>
      <c r="I22" s="764"/>
      <c r="J22" s="797"/>
      <c r="K22" s="765"/>
    </row>
    <row r="23" spans="1:11" ht="13.5" thickBot="1" x14ac:dyDescent="0.25">
      <c r="A23" s="2542" t="s">
        <v>962</v>
      </c>
      <c r="B23" s="2541"/>
      <c r="C23" s="2541"/>
      <c r="D23" s="2541"/>
      <c r="E23" s="2541"/>
      <c r="F23" s="1778"/>
      <c r="G23" s="1775">
        <f>SUM(G14:G16,G21,G22)</f>
        <v>0</v>
      </c>
      <c r="H23" s="1775">
        <f>SUM(H14:H16,H21,H22)</f>
        <v>247228</v>
      </c>
      <c r="I23" s="1775">
        <f>SUM(I14:I16,I21,I22)</f>
        <v>0</v>
      </c>
      <c r="J23" s="1775">
        <f>SUM(J14:J16,J21,J22)</f>
        <v>0</v>
      </c>
      <c r="K23" s="1775">
        <f>SUM(K14:K16,K21,K22)</f>
        <v>0</v>
      </c>
    </row>
    <row r="24" spans="1:11" ht="14.25" thickTop="1" thickBot="1" x14ac:dyDescent="0.25">
      <c r="A24" s="2542" t="s">
        <v>2023</v>
      </c>
      <c r="B24" s="2541"/>
      <c r="C24" s="2541"/>
      <c r="D24" s="2541"/>
      <c r="E24" s="2541"/>
      <c r="F24" s="1779"/>
      <c r="G24" s="1780">
        <f>SUM(G3,G12)-G23</f>
        <v>0</v>
      </c>
      <c r="H24" s="1780">
        <f>SUM(H3,H12)-H23</f>
        <v>0</v>
      </c>
      <c r="I24" s="1780">
        <f>SUM(I3,I12)-I23</f>
        <v>0</v>
      </c>
      <c r="J24" s="1780">
        <f>SUM(J3,J12)-J23</f>
        <v>0</v>
      </c>
      <c r="K24" s="1780">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900" t="s">
        <v>2033</v>
      </c>
      <c r="B28" s="1901"/>
      <c r="C28" s="1901"/>
      <c r="D28" s="1901"/>
      <c r="E28" s="1902"/>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515"/>
      <c r="I31" s="2516"/>
      <c r="J31" s="2516"/>
      <c r="K31" s="2516"/>
    </row>
    <row r="32" spans="1:11" x14ac:dyDescent="0.2">
      <c r="A32" s="809"/>
      <c r="B32" s="237"/>
      <c r="C32" s="237"/>
      <c r="D32" s="237"/>
      <c r="E32" s="805"/>
      <c r="F32" s="811" t="s">
        <v>561</v>
      </c>
      <c r="G32" s="764"/>
      <c r="H32" s="2517"/>
      <c r="I32" s="2516"/>
      <c r="J32" s="2516"/>
      <c r="K32" s="2516"/>
    </row>
    <row r="33" spans="1:11" ht="1.5" customHeight="1" x14ac:dyDescent="0.2">
      <c r="A33" s="812" t="s">
        <v>1231</v>
      </c>
      <c r="B33" s="364"/>
      <c r="C33" s="364"/>
      <c r="D33" s="364"/>
      <c r="E33" s="364"/>
      <c r="F33" s="364"/>
      <c r="G33" s="813"/>
      <c r="H33" s="2517"/>
      <c r="I33" s="2516"/>
      <c r="J33" s="2516"/>
      <c r="K33" s="2516"/>
    </row>
    <row r="34" spans="1:11" x14ac:dyDescent="0.2">
      <c r="A34" s="814" t="s">
        <v>1920</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512" t="s">
        <v>562</v>
      </c>
      <c r="B41" s="2525"/>
      <c r="C41" s="2525"/>
      <c r="D41" s="2525"/>
      <c r="E41" s="2525"/>
      <c r="F41" s="252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1914</v>
      </c>
      <c r="B46" s="408" t="s">
        <v>1774</v>
      </c>
    </row>
    <row r="47" spans="1:11" s="823" customFormat="1" ht="12.75" customHeight="1" x14ac:dyDescent="0.2">
      <c r="A47" s="821"/>
      <c r="B47" s="822" t="s">
        <v>1775</v>
      </c>
      <c r="E47" s="822"/>
      <c r="K47" s="824"/>
    </row>
    <row r="48" spans="1:11" ht="12.75" customHeight="1" x14ac:dyDescent="0.2">
      <c r="A48" s="1549"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1"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547" t="s">
        <v>2032</v>
      </c>
      <c r="B1" s="2548"/>
      <c r="C1" s="2549"/>
      <c r="D1" s="826"/>
      <c r="E1" s="827"/>
      <c r="F1" s="827"/>
      <c r="G1" s="828"/>
      <c r="H1" s="829"/>
      <c r="I1" s="830"/>
      <c r="J1" s="2545"/>
      <c r="K1" s="2546"/>
      <c r="L1" s="2546"/>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46" t="s">
        <v>948</v>
      </c>
      <c r="B3" s="1647">
        <v>210</v>
      </c>
      <c r="C3" s="835"/>
      <c r="D3" s="835"/>
      <c r="E3" s="835"/>
      <c r="F3" s="1777">
        <f>(C3+D3)-E3</f>
        <v>0</v>
      </c>
      <c r="G3" s="836"/>
      <c r="H3" s="835"/>
      <c r="I3" s="835"/>
      <c r="J3" s="835"/>
      <c r="K3" s="1786">
        <f>(H3+I3)-J3</f>
        <v>0</v>
      </c>
      <c r="L3" s="1786">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c r="D5" s="841"/>
      <c r="E5" s="841"/>
      <c r="F5" s="1777">
        <f>(C5+D5)-E5</f>
        <v>0</v>
      </c>
      <c r="G5" s="837"/>
      <c r="H5" s="842"/>
      <c r="I5" s="842"/>
      <c r="J5" s="842"/>
      <c r="K5" s="793"/>
      <c r="L5" s="1786">
        <f>F5-K5</f>
        <v>0</v>
      </c>
    </row>
    <row r="6" spans="1:14" ht="14.25" thickTop="1" thickBot="1" x14ac:dyDescent="0.25">
      <c r="A6" s="778" t="s">
        <v>1179</v>
      </c>
      <c r="B6" s="840">
        <v>222</v>
      </c>
      <c r="C6" s="765">
        <v>2236069</v>
      </c>
      <c r="D6" s="765">
        <v>29100</v>
      </c>
      <c r="E6" s="765"/>
      <c r="F6" s="1777">
        <f>(C6+D6)-E6</f>
        <v>2265169</v>
      </c>
      <c r="G6" s="837">
        <v>50</v>
      </c>
      <c r="H6" s="765"/>
      <c r="I6" s="765"/>
      <c r="J6" s="765"/>
      <c r="K6" s="1786">
        <f>(H6+I6)-J6</f>
        <v>0</v>
      </c>
      <c r="L6" s="1786">
        <f>F6-K6</f>
        <v>2265169</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91587963</v>
      </c>
      <c r="D8" s="844">
        <v>757757</v>
      </c>
      <c r="E8" s="844"/>
      <c r="F8" s="1777">
        <f>(C8+D8)-E8</f>
        <v>92345720</v>
      </c>
      <c r="G8" s="843">
        <v>50</v>
      </c>
      <c r="H8" s="765">
        <v>35187642</v>
      </c>
      <c r="I8" s="765">
        <v>2408680</v>
      </c>
      <c r="J8" s="765"/>
      <c r="K8" s="1786">
        <f>(H8+I8)-J8</f>
        <v>37596322</v>
      </c>
      <c r="L8" s="1786">
        <f>F8-K8</f>
        <v>54749398</v>
      </c>
    </row>
    <row r="9" spans="1:14" ht="14.25" thickTop="1" thickBot="1" x14ac:dyDescent="0.25">
      <c r="A9" s="778" t="s">
        <v>1181</v>
      </c>
      <c r="B9" s="840">
        <v>232</v>
      </c>
      <c r="C9" s="765">
        <v>0</v>
      </c>
      <c r="D9" s="765"/>
      <c r="E9" s="765"/>
      <c r="F9" s="1777">
        <f>(C9+D9)-E9</f>
        <v>0</v>
      </c>
      <c r="G9" s="843">
        <v>20</v>
      </c>
      <c r="H9" s="765">
        <v>0</v>
      </c>
      <c r="I9" s="765"/>
      <c r="J9" s="765"/>
      <c r="K9" s="1786">
        <f>(H9+I9)-J9</f>
        <v>0</v>
      </c>
      <c r="L9" s="1786">
        <f>F9-K9</f>
        <v>0</v>
      </c>
    </row>
    <row r="10" spans="1:14" ht="24" thickTop="1" thickBot="1" x14ac:dyDescent="0.25">
      <c r="A10" s="845" t="s">
        <v>1182</v>
      </c>
      <c r="B10" s="840">
        <v>240</v>
      </c>
      <c r="C10" s="846">
        <v>3796763</v>
      </c>
      <c r="D10" s="846">
        <v>31591</v>
      </c>
      <c r="E10" s="846"/>
      <c r="F10" s="1781">
        <f>(C10+D10)-E10</f>
        <v>3828354</v>
      </c>
      <c r="G10" s="843">
        <v>20</v>
      </c>
      <c r="H10" s="847">
        <v>2507753</v>
      </c>
      <c r="I10" s="847">
        <v>179764</v>
      </c>
      <c r="J10" s="847"/>
      <c r="K10" s="1786">
        <f>(H10+I10)-J10</f>
        <v>2687517</v>
      </c>
      <c r="L10" s="1786">
        <f>F10-K10</f>
        <v>1140837</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5735904</v>
      </c>
      <c r="D12" s="844">
        <v>67621</v>
      </c>
      <c r="E12" s="844">
        <v>309818</v>
      </c>
      <c r="F12" s="1777">
        <f>(C12+D12)-E12</f>
        <v>5493707</v>
      </c>
      <c r="G12" s="843">
        <v>10</v>
      </c>
      <c r="H12" s="765">
        <v>4324163</v>
      </c>
      <c r="I12" s="765">
        <v>427159</v>
      </c>
      <c r="J12" s="765">
        <v>292032</v>
      </c>
      <c r="K12" s="1786">
        <f>(H12+I12)-J12</f>
        <v>4459290</v>
      </c>
      <c r="L12" s="1786">
        <f>F12-K12</f>
        <v>1034417</v>
      </c>
    </row>
    <row r="13" spans="1:14" ht="14.25" thickTop="1" thickBot="1" x14ac:dyDescent="0.25">
      <c r="A13" s="848" t="s">
        <v>1184</v>
      </c>
      <c r="B13" s="840">
        <v>252</v>
      </c>
      <c r="C13" s="844">
        <v>0</v>
      </c>
      <c r="D13" s="844"/>
      <c r="E13" s="844"/>
      <c r="F13" s="1777">
        <f>(C13+D13)-E13</f>
        <v>0</v>
      </c>
      <c r="G13" s="843">
        <v>5</v>
      </c>
      <c r="H13" s="765">
        <v>0</v>
      </c>
      <c r="I13" s="765"/>
      <c r="J13" s="765"/>
      <c r="K13" s="1786">
        <f>(H13+I13)-J13</f>
        <v>0</v>
      </c>
      <c r="L13" s="1786">
        <f>F13-K13</f>
        <v>0</v>
      </c>
    </row>
    <row r="14" spans="1:14" ht="14.25" thickTop="1" thickBot="1" x14ac:dyDescent="0.25">
      <c r="A14" s="848" t="s">
        <v>1185</v>
      </c>
      <c r="B14" s="840">
        <v>253</v>
      </c>
      <c r="C14" s="765">
        <v>0</v>
      </c>
      <c r="D14" s="765"/>
      <c r="E14" s="765"/>
      <c r="F14" s="1777">
        <f>(C14+D14)-E14</f>
        <v>0</v>
      </c>
      <c r="G14" s="843">
        <v>3</v>
      </c>
      <c r="H14" s="765">
        <v>0</v>
      </c>
      <c r="I14" s="765"/>
      <c r="J14" s="765"/>
      <c r="K14" s="1786">
        <f>(H14+I14)-J14</f>
        <v>0</v>
      </c>
      <c r="L14" s="1786">
        <f>F14-K14</f>
        <v>0</v>
      </c>
    </row>
    <row r="15" spans="1:14" ht="15" customHeight="1" thickTop="1" thickBot="1" x14ac:dyDescent="0.25">
      <c r="A15" s="1648" t="s">
        <v>549</v>
      </c>
      <c r="B15" s="1647">
        <v>260</v>
      </c>
      <c r="C15" s="844">
        <v>100318</v>
      </c>
      <c r="D15" s="844">
        <v>2175133</v>
      </c>
      <c r="E15" s="844">
        <v>100318</v>
      </c>
      <c r="F15" s="1777">
        <f>(C15+D15)-E15</f>
        <v>2175133</v>
      </c>
      <c r="G15" s="849" t="s">
        <v>917</v>
      </c>
      <c r="H15" s="781"/>
      <c r="I15" s="781"/>
      <c r="J15" s="781"/>
      <c r="K15" s="781"/>
      <c r="L15" s="1786">
        <f>F15-K15</f>
        <v>2175133</v>
      </c>
    </row>
    <row r="16" spans="1:14" ht="15" customHeight="1" thickTop="1" thickBot="1" x14ac:dyDescent="0.25">
      <c r="A16" s="1782" t="s">
        <v>664</v>
      </c>
      <c r="B16" s="1783">
        <v>200</v>
      </c>
      <c r="C16" s="1777">
        <f>SUM(C3,C5:C6,C8:C10,C12:C15)</f>
        <v>103457017</v>
      </c>
      <c r="D16" s="1777">
        <f>SUM(D3,D5:D6,D8:D10,D12:D15)</f>
        <v>3061202</v>
      </c>
      <c r="E16" s="1777">
        <f>SUM(E3,E5:E6,E8:E10,E12:E15)</f>
        <v>410136</v>
      </c>
      <c r="F16" s="1777">
        <f>SUM(F3,F5:F6,F8:F10,F12:F15)</f>
        <v>106108083</v>
      </c>
      <c r="G16" s="843"/>
      <c r="H16" s="1777">
        <f>SUM(H3,H6,H8:H10,H12:H14,)</f>
        <v>42019558</v>
      </c>
      <c r="I16" s="1777">
        <f>SUM(I3,I6,I8:I10,I12:I14,)</f>
        <v>3015603</v>
      </c>
      <c r="J16" s="1777">
        <f>SUM(J3,J6,J8:J10,J12:J14,)</f>
        <v>292032</v>
      </c>
      <c r="K16" s="1777">
        <f>(H16+I16)-J16</f>
        <v>44743129</v>
      </c>
      <c r="L16" s="1777">
        <f>F16-K16</f>
        <v>61364954</v>
      </c>
    </row>
    <row r="17" spans="1:12" ht="15" customHeight="1" thickTop="1" thickBot="1" x14ac:dyDescent="0.25">
      <c r="A17" s="1650" t="s">
        <v>309</v>
      </c>
      <c r="B17" s="1647">
        <v>700</v>
      </c>
      <c r="C17" s="769"/>
      <c r="D17" s="769"/>
      <c r="E17" s="769"/>
      <c r="F17" s="1777">
        <f>SUM('Expenditures 15-22'!I114,'Expenditures 15-22'!I151,'Expenditures 15-22'!I210,'Expenditures 15-22'!I312,'Expenditures 15-22'!I342,'Expenditures 15-22'!I367)</f>
        <v>101301</v>
      </c>
      <c r="G17" s="837">
        <v>10</v>
      </c>
      <c r="H17" s="769"/>
      <c r="I17" s="1786">
        <f>F17/G17</f>
        <v>10130.1</v>
      </c>
      <c r="J17" s="769"/>
      <c r="K17" s="795"/>
      <c r="L17" s="795"/>
    </row>
    <row r="18" spans="1:12" ht="14.25" thickTop="1" thickBot="1" x14ac:dyDescent="0.25">
      <c r="A18" s="1784" t="s">
        <v>706</v>
      </c>
      <c r="B18" s="1785"/>
      <c r="C18" s="771"/>
      <c r="D18" s="771"/>
      <c r="E18" s="771"/>
      <c r="F18" s="850"/>
      <c r="G18" s="851"/>
      <c r="H18" s="773"/>
      <c r="I18" s="1777">
        <f>SUM(I16,I17)</f>
        <v>3025733.1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553" t="s">
        <v>1699</v>
      </c>
      <c r="B1" s="2554"/>
      <c r="C1" s="2554"/>
      <c r="D1" s="2554"/>
      <c r="E1" s="2554"/>
      <c r="F1" s="2555"/>
      <c r="G1" s="855"/>
    </row>
    <row r="2" spans="1:7" ht="15" customHeight="1" thickBot="1" x14ac:dyDescent="0.25">
      <c r="A2" s="2556" t="s">
        <v>498</v>
      </c>
      <c r="B2" s="2557"/>
      <c r="C2" s="2557"/>
      <c r="D2" s="2557"/>
      <c r="E2" s="2557"/>
      <c r="F2" s="255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559"/>
      <c r="B5" s="2560"/>
      <c r="C5" s="2560"/>
      <c r="D5" s="2560"/>
      <c r="E5" s="2560"/>
      <c r="F5" s="2560"/>
    </row>
    <row r="6" spans="1:7" ht="13.5" customHeight="1" thickBot="1" x14ac:dyDescent="0.25">
      <c r="A6" s="2550" t="s">
        <v>1166</v>
      </c>
      <c r="B6" s="2551"/>
      <c r="C6" s="2551"/>
      <c r="D6" s="2551"/>
      <c r="E6" s="2551"/>
      <c r="F6" s="255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9">
        <f>'Expenditures 15-22'!K114</f>
        <v>36906135</v>
      </c>
      <c r="G8" s="865"/>
    </row>
    <row r="9" spans="1:7" x14ac:dyDescent="0.2">
      <c r="A9" s="869" t="s">
        <v>480</v>
      </c>
      <c r="B9" s="870" t="s">
        <v>1986</v>
      </c>
      <c r="C9" s="871"/>
      <c r="D9" s="869" t="s">
        <v>522</v>
      </c>
      <c r="E9" s="868"/>
      <c r="F9" s="1930">
        <f>'Expenditures 15-22'!K151</f>
        <v>3944508</v>
      </c>
      <c r="G9" s="872"/>
    </row>
    <row r="10" spans="1:7" x14ac:dyDescent="0.2">
      <c r="A10" s="869" t="s">
        <v>520</v>
      </c>
      <c r="B10" s="870" t="s">
        <v>1987</v>
      </c>
      <c r="C10" s="871"/>
      <c r="D10" s="869" t="s">
        <v>522</v>
      </c>
      <c r="E10" s="868"/>
      <c r="F10" s="1930">
        <f>'Expenditures 15-22'!K174</f>
        <v>7680824</v>
      </c>
      <c r="G10" s="872"/>
    </row>
    <row r="11" spans="1:7" x14ac:dyDescent="0.2">
      <c r="A11" s="869" t="s">
        <v>481</v>
      </c>
      <c r="B11" s="870" t="s">
        <v>1988</v>
      </c>
      <c r="C11" s="871"/>
      <c r="D11" s="869" t="s">
        <v>522</v>
      </c>
      <c r="E11" s="868"/>
      <c r="F11" s="1930">
        <f>'Expenditures 15-22'!K210</f>
        <v>3202418</v>
      </c>
      <c r="G11" s="872"/>
    </row>
    <row r="12" spans="1:7" x14ac:dyDescent="0.2">
      <c r="A12" s="869" t="s">
        <v>482</v>
      </c>
      <c r="B12" s="870" t="s">
        <v>1989</v>
      </c>
      <c r="C12" s="871"/>
      <c r="D12" s="869" t="s">
        <v>522</v>
      </c>
      <c r="E12" s="868"/>
      <c r="F12" s="1930">
        <f>'Expenditures 15-22'!K295</f>
        <v>1462797</v>
      </c>
      <c r="G12" s="872"/>
    </row>
    <row r="13" spans="1:7" x14ac:dyDescent="0.2">
      <c r="A13" s="869" t="s">
        <v>108</v>
      </c>
      <c r="B13" s="870" t="s">
        <v>1990</v>
      </c>
      <c r="C13" s="871"/>
      <c r="D13" s="869" t="s">
        <v>522</v>
      </c>
      <c r="E13" s="868"/>
      <c r="F13" s="1930">
        <f>'Expenditures 15-22'!K342</f>
        <v>160621</v>
      </c>
      <c r="G13" s="873"/>
    </row>
    <row r="14" spans="1:7" ht="12" customHeight="1" thickBot="1" x14ac:dyDescent="0.25">
      <c r="A14" s="1787"/>
      <c r="B14" s="1788"/>
      <c r="C14" s="1789"/>
      <c r="D14" s="1790" t="s">
        <v>522</v>
      </c>
      <c r="E14" s="1791" t="s">
        <v>1015</v>
      </c>
      <c r="F14" s="1792">
        <f>SUM(F8:F13)</f>
        <v>53357303</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1">
        <f>'Revenues 9-14'!F43</f>
        <v>0</v>
      </c>
      <c r="G18" s="865"/>
    </row>
    <row r="19" spans="1:7" x14ac:dyDescent="0.2">
      <c r="A19" s="869" t="s">
        <v>481</v>
      </c>
      <c r="B19" s="870" t="s">
        <v>1069</v>
      </c>
      <c r="C19" s="877">
        <f>'Revenues 9-14'!B47</f>
        <v>1421</v>
      </c>
      <c r="D19" s="878" t="str">
        <f>'Revenues 9-14'!A47</f>
        <v>Summer Sch - Transp. Fees from Pupils or Parents (In State)</v>
      </c>
      <c r="E19" s="879"/>
      <c r="F19" s="1932">
        <f>'Revenues 9-14'!F47</f>
        <v>0</v>
      </c>
      <c r="G19" s="865"/>
    </row>
    <row r="20" spans="1:7" x14ac:dyDescent="0.2">
      <c r="A20" s="869" t="s">
        <v>481</v>
      </c>
      <c r="B20" s="870" t="s">
        <v>1070</v>
      </c>
      <c r="C20" s="875">
        <f>'Revenues 9-14'!B48</f>
        <v>1422</v>
      </c>
      <c r="D20" s="876" t="str">
        <f>'Revenues 9-14'!A48</f>
        <v>Summer Sch - Transp. Fees from Other Districts (In State)</v>
      </c>
      <c r="E20" s="868"/>
      <c r="F20" s="1933">
        <f>'Revenues 9-14'!F48</f>
        <v>0</v>
      </c>
      <c r="G20" s="865"/>
    </row>
    <row r="21" spans="1:7" x14ac:dyDescent="0.2">
      <c r="A21" s="869" t="s">
        <v>481</v>
      </c>
      <c r="B21" s="870" t="s">
        <v>1071</v>
      </c>
      <c r="C21" s="877">
        <f>'Revenues 9-14'!B49</f>
        <v>1423</v>
      </c>
      <c r="D21" s="876" t="str">
        <f>'Revenues 9-14'!A49</f>
        <v>Summer Sch - Transp. Fees from Other Sources (In State)</v>
      </c>
      <c r="E21" s="868"/>
      <c r="F21" s="1934">
        <f>'Revenues 9-14'!F49</f>
        <v>0</v>
      </c>
      <c r="G21" s="865"/>
    </row>
    <row r="22" spans="1:7" x14ac:dyDescent="0.2">
      <c r="A22" s="869" t="s">
        <v>481</v>
      </c>
      <c r="B22" s="870" t="s">
        <v>1072</v>
      </c>
      <c r="C22" s="877">
        <f>'Revenues 9-14'!B50</f>
        <v>1424</v>
      </c>
      <c r="D22" s="876" t="str">
        <f>'Revenues 9-14'!A50</f>
        <v>Summer Sch - Transp. Fees from Other Sources (Out of State)</v>
      </c>
      <c r="E22" s="868"/>
      <c r="F22" s="1934">
        <f>'Revenues 9-14'!F50</f>
        <v>0</v>
      </c>
      <c r="G22" s="865"/>
    </row>
    <row r="23" spans="1:7" x14ac:dyDescent="0.2">
      <c r="A23" s="869" t="s">
        <v>481</v>
      </c>
      <c r="B23" s="870" t="s">
        <v>1073</v>
      </c>
      <c r="C23" s="875">
        <f>'Revenues 9-14'!B52</f>
        <v>1432</v>
      </c>
      <c r="D23" s="876" t="str">
        <f>'Revenues 9-14'!A52</f>
        <v>CTE - Transp Fees from Other Districts (In State)</v>
      </c>
      <c r="E23" s="868"/>
      <c r="F23" s="1934">
        <f>'Revenues 9-14'!F52</f>
        <v>0</v>
      </c>
      <c r="G23" s="865"/>
    </row>
    <row r="24" spans="1:7" x14ac:dyDescent="0.2">
      <c r="A24" s="869" t="s">
        <v>481</v>
      </c>
      <c r="B24" s="870" t="s">
        <v>1074</v>
      </c>
      <c r="C24" s="875">
        <f>'Revenues 9-14'!B56</f>
        <v>1442</v>
      </c>
      <c r="D24" s="876" t="str">
        <f>'Revenues 9-14'!A56</f>
        <v>Special Ed - Transp Fees from Other Districts (In State)</v>
      </c>
      <c r="E24" s="868"/>
      <c r="F24" s="1934">
        <f>'Revenues 9-14'!F56</f>
        <v>0</v>
      </c>
      <c r="G24" s="865"/>
    </row>
    <row r="25" spans="1:7" x14ac:dyDescent="0.2">
      <c r="A25" s="869" t="s">
        <v>481</v>
      </c>
      <c r="B25" s="870" t="s">
        <v>1075</v>
      </c>
      <c r="C25" s="875">
        <f>'Revenues 9-14'!B59</f>
        <v>1451</v>
      </c>
      <c r="D25" s="876" t="str">
        <f>'Revenues 9-14'!A59</f>
        <v>Adult - Transp Fees from Pupils or Parents (In State)</v>
      </c>
      <c r="E25" s="868"/>
      <c r="F25" s="1934">
        <f>'Revenues 9-14'!F59</f>
        <v>0</v>
      </c>
      <c r="G25" s="865"/>
    </row>
    <row r="26" spans="1:7" x14ac:dyDescent="0.2">
      <c r="A26" s="869" t="s">
        <v>481</v>
      </c>
      <c r="B26" s="870" t="s">
        <v>1076</v>
      </c>
      <c r="C26" s="875">
        <f>'Revenues 9-14'!B60</f>
        <v>1452</v>
      </c>
      <c r="D26" s="876" t="str">
        <f>'Revenues 9-14'!A60</f>
        <v>Adult - Transp Fees from Other Districts (In State)</v>
      </c>
      <c r="E26" s="868"/>
      <c r="F26" s="1934">
        <f>'Revenues 9-14'!F60</f>
        <v>0</v>
      </c>
      <c r="G26" s="865"/>
    </row>
    <row r="27" spans="1:7" x14ac:dyDescent="0.2">
      <c r="A27" s="869" t="s">
        <v>481</v>
      </c>
      <c r="B27" s="870" t="s">
        <v>1077</v>
      </c>
      <c r="C27" s="875">
        <f>'Revenues 9-14'!B61</f>
        <v>1453</v>
      </c>
      <c r="D27" s="876" t="str">
        <f>'Revenues 9-14'!A61</f>
        <v>Adult - Transp Fees from Other Sources (In State)</v>
      </c>
      <c r="E27" s="868"/>
      <c r="F27" s="1934">
        <f>'Revenues 9-14'!F61</f>
        <v>0</v>
      </c>
      <c r="G27" s="865"/>
    </row>
    <row r="28" spans="1:7" x14ac:dyDescent="0.2">
      <c r="A28" s="869" t="s">
        <v>481</v>
      </c>
      <c r="B28" s="870" t="s">
        <v>1078</v>
      </c>
      <c r="C28" s="875">
        <f>'Revenues 9-14'!B62</f>
        <v>1454</v>
      </c>
      <c r="D28" s="876" t="str">
        <f>'Revenues 9-14'!A62</f>
        <v>Adult - Transp Fees from Other Sources (Out of State)</v>
      </c>
      <c r="E28" s="868"/>
      <c r="F28" s="1934">
        <f>'Revenues 9-14'!F62</f>
        <v>0</v>
      </c>
      <c r="G28" s="865"/>
    </row>
    <row r="29" spans="1:7" x14ac:dyDescent="0.2">
      <c r="A29" s="869" t="s">
        <v>1159</v>
      </c>
      <c r="B29" s="870" t="s">
        <v>1683</v>
      </c>
      <c r="C29" s="880">
        <f>'Revenues 9-14'!B148</f>
        <v>3410</v>
      </c>
      <c r="D29" s="881" t="str">
        <f>'Revenues 9-14'!A148</f>
        <v>Adult Ed (from ICCB)</v>
      </c>
      <c r="E29" s="868"/>
      <c r="F29" s="1934">
        <f>SUM('Revenues 9-14'!D148,F149)</f>
        <v>0</v>
      </c>
      <c r="G29" s="865"/>
    </row>
    <row r="30" spans="1:7" x14ac:dyDescent="0.2">
      <c r="A30" s="869" t="s">
        <v>1159</v>
      </c>
      <c r="B30" s="870" t="s">
        <v>861</v>
      </c>
      <c r="C30" s="880">
        <f>'Revenues 9-14'!B149</f>
        <v>3499</v>
      </c>
      <c r="D30" s="881" t="str">
        <f>'Revenues 9-14'!A149</f>
        <v>Adult Ed - Other (Describe &amp; Itemize)</v>
      </c>
      <c r="E30" s="868"/>
      <c r="F30" s="1935">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4">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4">
        <f>SUM('Revenues 9-14'!D219,'Revenues 9-14'!F219)</f>
        <v>0</v>
      </c>
      <c r="G32" s="865"/>
    </row>
    <row r="33" spans="1:7" x14ac:dyDescent="0.2">
      <c r="A33" s="869" t="s">
        <v>480</v>
      </c>
      <c r="B33" s="870" t="s">
        <v>801</v>
      </c>
      <c r="C33" s="875">
        <f>'Revenues 9-14'!B229</f>
        <v>4810</v>
      </c>
      <c r="D33" s="883" t="str">
        <f>'Revenues 9-14'!A229</f>
        <v>Federal - Adult Education</v>
      </c>
      <c r="E33" s="868"/>
      <c r="F33" s="1934">
        <f>'Revenues 9-14'!D229</f>
        <v>0</v>
      </c>
      <c r="G33" s="865"/>
    </row>
    <row r="34" spans="1:7" x14ac:dyDescent="0.2">
      <c r="A34" s="869" t="s">
        <v>479</v>
      </c>
      <c r="B34" s="869" t="s">
        <v>1545</v>
      </c>
      <c r="C34" s="886" t="str">
        <f>'Expenditures 15-22'!B7</f>
        <v>1125</v>
      </c>
      <c r="D34" s="887" t="str">
        <f>'Expenditures 15-22'!A7</f>
        <v>Pre-K Programs</v>
      </c>
      <c r="E34" s="868"/>
      <c r="F34" s="1934">
        <f>'Expenditures 15-22'!K7-SUM('Expenditures 15-22'!G7,'Expenditures 15-22'!I7)</f>
        <v>104561</v>
      </c>
      <c r="G34" s="865"/>
    </row>
    <row r="35" spans="1:7" x14ac:dyDescent="0.2">
      <c r="A35" s="869" t="s">
        <v>479</v>
      </c>
      <c r="B35" s="869" t="s">
        <v>1546</v>
      </c>
      <c r="C35" s="886" t="str">
        <f>'Expenditures 15-22'!B9</f>
        <v>1225</v>
      </c>
      <c r="D35" s="887" t="str">
        <f>'Expenditures 15-22'!A9</f>
        <v>Special Education Programs Pre-K</v>
      </c>
      <c r="E35" s="868"/>
      <c r="F35" s="1934">
        <f>'Expenditures 15-22'!K9-SUM('Expenditures 15-22'!G9+'Expenditures 15-22'!I9)</f>
        <v>901548</v>
      </c>
      <c r="G35" s="865"/>
    </row>
    <row r="36" spans="1:7" x14ac:dyDescent="0.2">
      <c r="A36" s="869" t="s">
        <v>479</v>
      </c>
      <c r="B36" s="869" t="s">
        <v>118</v>
      </c>
      <c r="C36" s="886" t="str">
        <f>'Expenditures 15-22'!B11</f>
        <v>1275</v>
      </c>
      <c r="D36" s="887" t="str">
        <f>'Expenditures 15-22'!A11</f>
        <v>Remedial and Supplemental Programs Pre-K</v>
      </c>
      <c r="E36" s="868"/>
      <c r="F36" s="1934">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4">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4">
        <f>'Expenditures 15-22'!K15-SUM('Expenditures 15-22'!G15,'Expenditures 15-22'!I15)</f>
        <v>114340</v>
      </c>
      <c r="G38" s="865"/>
    </row>
    <row r="39" spans="1:7" x14ac:dyDescent="0.2">
      <c r="A39" s="869" t="s">
        <v>479</v>
      </c>
      <c r="B39" s="869" t="s">
        <v>119</v>
      </c>
      <c r="C39" s="886" t="str">
        <f>'Expenditures 15-22'!B20</f>
        <v>1910</v>
      </c>
      <c r="D39" s="888" t="str">
        <f>'Expenditures 15-22'!A20</f>
        <v>Pre-K Programs - Private Tuition</v>
      </c>
      <c r="E39" s="868"/>
      <c r="F39" s="1934">
        <f>'Expenditures 15-22'!K20</f>
        <v>0</v>
      </c>
      <c r="G39" s="865"/>
    </row>
    <row r="40" spans="1:7" x14ac:dyDescent="0.2">
      <c r="A40" s="869" t="s">
        <v>479</v>
      </c>
      <c r="B40" s="869" t="s">
        <v>120</v>
      </c>
      <c r="C40" s="886" t="str">
        <f>'Expenditures 15-22'!B21</f>
        <v>1911</v>
      </c>
      <c r="D40" s="888" t="str">
        <f>'Expenditures 15-22'!A21</f>
        <v>Regular K-12 Programs - Private Tuition</v>
      </c>
      <c r="E40" s="868"/>
      <c r="F40" s="1934">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4">
        <f>'Expenditures 15-22'!K22</f>
        <v>1040556</v>
      </c>
      <c r="G41" s="865"/>
    </row>
    <row r="42" spans="1:7" x14ac:dyDescent="0.2">
      <c r="A42" s="869" t="s">
        <v>479</v>
      </c>
      <c r="B42" s="869" t="s">
        <v>122</v>
      </c>
      <c r="C42" s="889" t="str">
        <f>'Expenditures 15-22'!B23</f>
        <v>1913</v>
      </c>
      <c r="D42" s="888" t="str">
        <f>'Expenditures 15-22'!A23</f>
        <v>Special Education Programs Pre-K - Tuition</v>
      </c>
      <c r="E42" s="868"/>
      <c r="F42" s="1934">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4">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4">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4">
        <f>'Expenditures 15-22'!K26</f>
        <v>0</v>
      </c>
      <c r="G45" s="865"/>
    </row>
    <row r="46" spans="1:7" x14ac:dyDescent="0.2">
      <c r="A46" s="869" t="s">
        <v>479</v>
      </c>
      <c r="B46" s="869" t="s">
        <v>126</v>
      </c>
      <c r="C46" s="886" t="str">
        <f>'Expenditures 15-22'!B27</f>
        <v>1917</v>
      </c>
      <c r="D46" s="888" t="str">
        <f>'Expenditures 15-22'!A27</f>
        <v>CTE Programs - Private Tuition</v>
      </c>
      <c r="E46" s="868"/>
      <c r="F46" s="1934">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4">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4">
        <f>'Expenditures 15-22'!K29</f>
        <v>0</v>
      </c>
      <c r="G48" s="865"/>
    </row>
    <row r="49" spans="1:7" x14ac:dyDescent="0.2">
      <c r="A49" s="869" t="s">
        <v>479</v>
      </c>
      <c r="B49" s="869" t="s">
        <v>129</v>
      </c>
      <c r="C49" s="886" t="str">
        <f>'Expenditures 15-22'!B30</f>
        <v>1920</v>
      </c>
      <c r="D49" s="888" t="str">
        <f>'Expenditures 15-22'!A30</f>
        <v>Gifted Programs - Private Tuition</v>
      </c>
      <c r="E49" s="868"/>
      <c r="F49" s="1934">
        <f>'Expenditures 15-22'!K30</f>
        <v>0</v>
      </c>
      <c r="G49" s="865"/>
    </row>
    <row r="50" spans="1:7" x14ac:dyDescent="0.2">
      <c r="A50" s="869" t="s">
        <v>479</v>
      </c>
      <c r="B50" s="869" t="s">
        <v>130</v>
      </c>
      <c r="C50" s="886" t="str">
        <f>'Expenditures 15-22'!B31</f>
        <v>1921</v>
      </c>
      <c r="D50" s="888" t="str">
        <f>'Expenditures 15-22'!A31</f>
        <v>Bilingual Programs - Private Tuition</v>
      </c>
      <c r="E50" s="868"/>
      <c r="F50" s="1934">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4">
        <f>'Expenditures 15-22'!K32</f>
        <v>0</v>
      </c>
      <c r="G51" s="865"/>
    </row>
    <row r="52" spans="1:7" x14ac:dyDescent="0.2">
      <c r="A52" s="869" t="s">
        <v>479</v>
      </c>
      <c r="B52" s="869" t="s">
        <v>1550</v>
      </c>
      <c r="C52" s="889" t="str">
        <f>'Expenditures 15-22'!B75</f>
        <v>3000</v>
      </c>
      <c r="D52" s="888" t="s">
        <v>469</v>
      </c>
      <c r="E52" s="868"/>
      <c r="F52" s="1934">
        <f>'Expenditures 15-22'!K75-SUM('Expenditures 15-22'!G75,'Expenditures 15-22'!I75)</f>
        <v>53837</v>
      </c>
      <c r="G52" s="865"/>
    </row>
    <row r="53" spans="1:7" x14ac:dyDescent="0.2">
      <c r="A53" s="869" t="s">
        <v>479</v>
      </c>
      <c r="B53" s="869" t="s">
        <v>1551</v>
      </c>
      <c r="C53" s="889">
        <f>'Expenditures 15-22'!B102</f>
        <v>4000</v>
      </c>
      <c r="D53" s="888" t="str">
        <f>'Expenditures 15-22'!A102</f>
        <v>Total Payments to Other Govt Units</v>
      </c>
      <c r="E53" s="868"/>
      <c r="F53" s="1934">
        <f>'Expenditures 15-22'!K102</f>
        <v>1638709</v>
      </c>
      <c r="G53" s="865"/>
    </row>
    <row r="54" spans="1:7" x14ac:dyDescent="0.2">
      <c r="A54" s="869" t="s">
        <v>479</v>
      </c>
      <c r="B54" s="869" t="s">
        <v>1552</v>
      </c>
      <c r="C54" s="889" t="s">
        <v>1039</v>
      </c>
      <c r="D54" s="885" t="s">
        <v>1157</v>
      </c>
      <c r="E54" s="868"/>
      <c r="F54" s="1934">
        <f>'Expenditures 15-22'!G114</f>
        <v>48829</v>
      </c>
      <c r="G54" s="865"/>
    </row>
    <row r="55" spans="1:7" x14ac:dyDescent="0.2">
      <c r="A55" s="869" t="s">
        <v>479</v>
      </c>
      <c r="B55" s="869" t="s">
        <v>1553</v>
      </c>
      <c r="C55" s="889" t="s">
        <v>1039</v>
      </c>
      <c r="D55" s="885" t="s">
        <v>309</v>
      </c>
      <c r="E55" s="868"/>
      <c r="F55" s="1934">
        <f>'Expenditures 15-22'!I114</f>
        <v>81789</v>
      </c>
      <c r="G55" s="865"/>
    </row>
    <row r="56" spans="1:7" x14ac:dyDescent="0.2">
      <c r="A56" s="869" t="s">
        <v>480</v>
      </c>
      <c r="B56" s="869" t="s">
        <v>1554</v>
      </c>
      <c r="C56" s="886" t="str">
        <f>'Expenditures 15-22'!B130</f>
        <v>3000</v>
      </c>
      <c r="D56" s="892" t="s">
        <v>469</v>
      </c>
      <c r="E56" s="868"/>
      <c r="F56" s="1934">
        <f>'Expenditures 15-22'!K130-SUM('Expenditures 15-22'!G130+'Expenditures 15-22'!I130)</f>
        <v>0</v>
      </c>
      <c r="G56" s="865"/>
    </row>
    <row r="57" spans="1:7" x14ac:dyDescent="0.2">
      <c r="A57" s="869" t="s">
        <v>480</v>
      </c>
      <c r="B57" s="869" t="s">
        <v>1991</v>
      </c>
      <c r="C57" s="889">
        <f>'Expenditures 15-22'!B139</f>
        <v>4000</v>
      </c>
      <c r="D57" s="887" t="str">
        <f>'Expenditures 15-22'!A139</f>
        <v>Total Payments to Other Govt Units</v>
      </c>
      <c r="E57" s="868"/>
      <c r="F57" s="1934">
        <f>'Expenditures 15-22'!K139</f>
        <v>96527</v>
      </c>
      <c r="G57" s="865"/>
    </row>
    <row r="58" spans="1:7" x14ac:dyDescent="0.2">
      <c r="A58" s="869" t="s">
        <v>480</v>
      </c>
      <c r="B58" s="869" t="s">
        <v>1992</v>
      </c>
      <c r="C58" s="886" t="s">
        <v>1039</v>
      </c>
      <c r="D58" s="885" t="s">
        <v>1157</v>
      </c>
      <c r="E58" s="868"/>
      <c r="F58" s="1936">
        <f>'Expenditures 15-22'!G151</f>
        <v>696638</v>
      </c>
      <c r="G58" s="865"/>
    </row>
    <row r="59" spans="1:7" x14ac:dyDescent="0.2">
      <c r="A59" s="893" t="s">
        <v>480</v>
      </c>
      <c r="B59" s="856" t="s">
        <v>1993</v>
      </c>
      <c r="C59" s="894" t="s">
        <v>1039</v>
      </c>
      <c r="D59" s="856" t="s">
        <v>309</v>
      </c>
      <c r="F59" s="1937">
        <f>'Expenditures 15-22'!I151</f>
        <v>19512</v>
      </c>
      <c r="G59" s="865"/>
    </row>
    <row r="60" spans="1:7" x14ac:dyDescent="0.2">
      <c r="A60" s="893" t="s">
        <v>520</v>
      </c>
      <c r="B60" s="856" t="s">
        <v>1994</v>
      </c>
      <c r="C60" s="894">
        <v>4000</v>
      </c>
      <c r="D60" s="856" t="s">
        <v>330</v>
      </c>
      <c r="F60" s="1935">
        <f>'Expenditures 15-22'!K160</f>
        <v>0</v>
      </c>
      <c r="G60" s="865"/>
    </row>
    <row r="61" spans="1:7" x14ac:dyDescent="0.2">
      <c r="A61" s="895" t="s">
        <v>520</v>
      </c>
      <c r="B61" s="895" t="s">
        <v>1995</v>
      </c>
      <c r="C61" s="896" t="str">
        <f>'Expenditures 15-22'!B170</f>
        <v>5300</v>
      </c>
      <c r="D61" s="897" t="s">
        <v>329</v>
      </c>
      <c r="E61" s="879"/>
      <c r="F61" s="1934">
        <f>'Expenditures 15-22'!K170</f>
        <v>2095876</v>
      </c>
      <c r="G61" s="865"/>
    </row>
    <row r="62" spans="1:7" x14ac:dyDescent="0.2">
      <c r="A62" s="869" t="s">
        <v>481</v>
      </c>
      <c r="B62" s="869" t="s">
        <v>1996</v>
      </c>
      <c r="C62" s="886">
        <f>'Expenditures 15-22'!B185</f>
        <v>3000</v>
      </c>
      <c r="D62" s="876" t="s">
        <v>469</v>
      </c>
      <c r="E62" s="868"/>
      <c r="F62" s="1934">
        <f>'Expenditures 15-22'!K185-SUM('Expenditures 15-22'!G185,'Expenditures 15-22'!I185)</f>
        <v>0</v>
      </c>
      <c r="G62" s="865"/>
    </row>
    <row r="63" spans="1:7" x14ac:dyDescent="0.2">
      <c r="A63" s="869" t="s">
        <v>481</v>
      </c>
      <c r="B63" s="869" t="s">
        <v>1997</v>
      </c>
      <c r="C63" s="886" t="str">
        <f>'Expenditures 15-22'!B196</f>
        <v>4000</v>
      </c>
      <c r="D63" s="887" t="str">
        <f>'Expenditures 15-22'!A196</f>
        <v>Total Payments to Other Govt Units</v>
      </c>
      <c r="E63" s="868"/>
      <c r="F63" s="1934">
        <f>'Expenditures 15-22'!K196</f>
        <v>0</v>
      </c>
      <c r="G63" s="865"/>
    </row>
    <row r="64" spans="1:7" x14ac:dyDescent="0.2">
      <c r="A64" s="895" t="s">
        <v>481</v>
      </c>
      <c r="B64" s="895" t="s">
        <v>1998</v>
      </c>
      <c r="C64" s="896" t="str">
        <f>'Expenditures 15-22'!B206</f>
        <v>5300</v>
      </c>
      <c r="D64" s="892" t="s">
        <v>329</v>
      </c>
      <c r="E64" s="868"/>
      <c r="F64" s="1934">
        <f>'Expenditures 15-22'!K206</f>
        <v>0</v>
      </c>
      <c r="G64" s="865"/>
    </row>
    <row r="65" spans="1:8" x14ac:dyDescent="0.2">
      <c r="A65" s="869" t="s">
        <v>481</v>
      </c>
      <c r="B65" s="869" t="s">
        <v>1999</v>
      </c>
      <c r="C65" s="886" t="s">
        <v>1039</v>
      </c>
      <c r="D65" s="885" t="s">
        <v>1157</v>
      </c>
      <c r="E65" s="868"/>
      <c r="F65" s="1934">
        <f>'Expenditures 15-22'!G210</f>
        <v>0</v>
      </c>
      <c r="G65" s="865"/>
    </row>
    <row r="66" spans="1:8" x14ac:dyDescent="0.2">
      <c r="A66" s="869" t="s">
        <v>481</v>
      </c>
      <c r="B66" s="869" t="s">
        <v>2000</v>
      </c>
      <c r="C66" s="886" t="s">
        <v>1039</v>
      </c>
      <c r="D66" s="885" t="s">
        <v>309</v>
      </c>
      <c r="E66" s="868"/>
      <c r="F66" s="1934">
        <f>'Expenditures 15-22'!I210</f>
        <v>0</v>
      </c>
      <c r="G66" s="865"/>
    </row>
    <row r="67" spans="1:8" x14ac:dyDescent="0.2">
      <c r="A67" s="869" t="s">
        <v>482</v>
      </c>
      <c r="B67" s="869" t="s">
        <v>2001</v>
      </c>
      <c r="C67" s="886" t="str">
        <f>'Expenditures 15-22'!B216</f>
        <v>1125</v>
      </c>
      <c r="D67" s="892" t="str">
        <f>'Expenditures 15-22'!A216</f>
        <v>Pre-K Programs</v>
      </c>
      <c r="E67" s="868"/>
      <c r="F67" s="1934">
        <f>'Expenditures 15-22'!K216</f>
        <v>4380</v>
      </c>
      <c r="G67" s="865"/>
    </row>
    <row r="68" spans="1:8" x14ac:dyDescent="0.2">
      <c r="A68" s="869" t="s">
        <v>482</v>
      </c>
      <c r="B68" s="869" t="s">
        <v>1555</v>
      </c>
      <c r="C68" s="886" t="str">
        <f>'Expenditures 15-22'!B218</f>
        <v>1225</v>
      </c>
      <c r="D68" s="892" t="str">
        <f>'Expenditures 15-22'!A218</f>
        <v>Special Education Programs - Pre-K</v>
      </c>
      <c r="E68" s="868"/>
      <c r="F68" s="1934">
        <f>'Expenditures 15-22'!K218</f>
        <v>52476</v>
      </c>
      <c r="G68" s="865"/>
    </row>
    <row r="69" spans="1:8" x14ac:dyDescent="0.2">
      <c r="A69" s="869" t="s">
        <v>482</v>
      </c>
      <c r="B69" s="869" t="s">
        <v>2002</v>
      </c>
      <c r="C69" s="886" t="str">
        <f>'Expenditures 15-22'!B220</f>
        <v>1275</v>
      </c>
      <c r="D69" s="892" t="str">
        <f>'Expenditures 15-22'!A220</f>
        <v>Remedial and Supplemental Programs - Pre-K</v>
      </c>
      <c r="E69" s="868"/>
      <c r="F69" s="1934">
        <f>'Expenditures 15-22'!K220</f>
        <v>0</v>
      </c>
      <c r="G69" s="865"/>
    </row>
    <row r="70" spans="1:8" x14ac:dyDescent="0.2">
      <c r="A70" s="869" t="s">
        <v>482</v>
      </c>
      <c r="B70" s="869" t="s">
        <v>2003</v>
      </c>
      <c r="C70" s="886">
        <f>'Expenditures 15-22'!B221</f>
        <v>1300</v>
      </c>
      <c r="D70" s="887" t="str">
        <f>'Expenditures 15-22'!A221</f>
        <v>Adult/Continuing Education Programs</v>
      </c>
      <c r="E70" s="868"/>
      <c r="F70" s="1934">
        <f>'Expenditures 15-22'!K221</f>
        <v>0</v>
      </c>
      <c r="G70" s="865"/>
    </row>
    <row r="71" spans="1:8" x14ac:dyDescent="0.2">
      <c r="A71" s="869" t="s">
        <v>482</v>
      </c>
      <c r="B71" s="869" t="s">
        <v>2004</v>
      </c>
      <c r="C71" s="886">
        <f>'Expenditures 15-22'!B224</f>
        <v>1600</v>
      </c>
      <c r="D71" s="887" t="str">
        <f>'Expenditures 15-22'!A224</f>
        <v>Summer School Programs</v>
      </c>
      <c r="E71" s="868"/>
      <c r="F71" s="1934">
        <f>'Expenditures 15-22'!K224</f>
        <v>8919</v>
      </c>
      <c r="G71" s="865"/>
    </row>
    <row r="72" spans="1:8" x14ac:dyDescent="0.2">
      <c r="A72" s="869" t="s">
        <v>482</v>
      </c>
      <c r="B72" s="869" t="s">
        <v>2005</v>
      </c>
      <c r="C72" s="886">
        <f>'Expenditures 15-22'!B280</f>
        <v>3000</v>
      </c>
      <c r="D72" s="876" t="s">
        <v>469</v>
      </c>
      <c r="E72" s="868"/>
      <c r="F72" s="1934">
        <f>'Expenditures 15-22'!K280</f>
        <v>12</v>
      </c>
      <c r="G72" s="865"/>
    </row>
    <row r="73" spans="1:8" x14ac:dyDescent="0.2">
      <c r="A73" s="869" t="s">
        <v>482</v>
      </c>
      <c r="B73" s="869" t="s">
        <v>2006</v>
      </c>
      <c r="C73" s="886" t="str">
        <f>'Expenditures 15-22'!B285</f>
        <v>4000</v>
      </c>
      <c r="D73" s="887" t="str">
        <f>'Expenditures 15-22'!A285</f>
        <v>Total Payments to Other Govt Units</v>
      </c>
      <c r="E73" s="868"/>
      <c r="F73" s="1934">
        <f>'Expenditures 15-22'!K285</f>
        <v>67955</v>
      </c>
      <c r="G73" s="865"/>
    </row>
    <row r="74" spans="1:8" x14ac:dyDescent="0.2">
      <c r="A74" s="869" t="s">
        <v>456</v>
      </c>
      <c r="B74" s="869" t="s">
        <v>2007</v>
      </c>
      <c r="C74" s="886" t="s">
        <v>915</v>
      </c>
      <c r="D74" s="887" t="s">
        <v>1567</v>
      </c>
      <c r="E74" s="868"/>
      <c r="F74" s="1938">
        <f>'Expenditures 15-22'!K334</f>
        <v>0</v>
      </c>
      <c r="G74" s="865"/>
    </row>
    <row r="75" spans="1:8" ht="5.25" customHeight="1" x14ac:dyDescent="0.2">
      <c r="A75" s="865"/>
      <c r="B75" s="875"/>
      <c r="C75" s="875"/>
      <c r="D75" s="865"/>
      <c r="E75" s="868"/>
      <c r="F75" s="882"/>
      <c r="G75" s="867"/>
    </row>
    <row r="76" spans="1:8" ht="12" thickBot="1" x14ac:dyDescent="0.25">
      <c r="A76" s="1787"/>
      <c r="B76" s="1793"/>
      <c r="C76" s="1789"/>
      <c r="D76" s="1794" t="s">
        <v>2008</v>
      </c>
      <c r="E76" s="1791" t="s">
        <v>1015</v>
      </c>
      <c r="F76" s="1795">
        <f>SUM(F18:F74)</f>
        <v>7026464</v>
      </c>
      <c r="G76" s="865"/>
    </row>
    <row r="77" spans="1:8" s="893" customFormat="1" ht="12" customHeight="1" thickTop="1" thickBot="1" x14ac:dyDescent="0.25">
      <c r="A77" s="1796"/>
      <c r="B77" s="1793"/>
      <c r="C77" s="1789"/>
      <c r="D77" s="1794" t="s">
        <v>2009</v>
      </c>
      <c r="E77" s="1791"/>
      <c r="F77" s="1797">
        <f>(F14-F76)</f>
        <v>46330839</v>
      </c>
      <c r="G77" s="869"/>
    </row>
    <row r="78" spans="1:8" s="893" customFormat="1" ht="12" customHeight="1" thickTop="1" x14ac:dyDescent="0.2">
      <c r="A78" s="1798"/>
      <c r="B78" s="1793"/>
      <c r="C78" s="1789"/>
      <c r="D78" s="1794" t="s">
        <v>2056</v>
      </c>
      <c r="E78" s="1791"/>
      <c r="F78" s="898">
        <v>3328.54</v>
      </c>
      <c r="G78" s="899"/>
      <c r="H78" s="869"/>
    </row>
    <row r="79" spans="1:8" s="893" customFormat="1" ht="12" customHeight="1" thickBot="1" x14ac:dyDescent="0.25">
      <c r="A79" s="1799"/>
      <c r="B79" s="1793"/>
      <c r="C79" s="1789"/>
      <c r="D79" s="1794" t="s">
        <v>2010</v>
      </c>
      <c r="E79" s="1791" t="s">
        <v>1015</v>
      </c>
      <c r="F79" s="1800">
        <f>IF(F78&gt;0,F77/F78," Complete Line 78")</f>
        <v>13919.267606818605</v>
      </c>
      <c r="G79" s="869"/>
    </row>
    <row r="80" spans="1:8" s="893" customFormat="1" ht="8.25" customHeight="1" thickTop="1" x14ac:dyDescent="0.2">
      <c r="A80" s="900"/>
      <c r="B80" s="869"/>
      <c r="C80" s="871"/>
      <c r="D80" s="901"/>
      <c r="E80" s="868"/>
      <c r="F80" s="902"/>
      <c r="G80" s="869"/>
    </row>
    <row r="81" spans="1:7" s="893" customFormat="1" ht="12" thickBot="1" x14ac:dyDescent="0.25">
      <c r="A81" s="2550" t="s">
        <v>1167</v>
      </c>
      <c r="B81" s="2551"/>
      <c r="C81" s="2551"/>
      <c r="D81" s="2551"/>
      <c r="E81" s="2551"/>
      <c r="F81" s="255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8">
        <f>'Revenues 9-14'!F42</f>
        <v>0</v>
      </c>
      <c r="G84" s="912"/>
    </row>
    <row r="85" spans="1:7" x14ac:dyDescent="0.2">
      <c r="A85" s="908" t="s">
        <v>481</v>
      </c>
      <c r="B85" s="908" t="s">
        <v>192</v>
      </c>
      <c r="C85" s="913">
        <f>'Revenues 9-14'!B44</f>
        <v>1413</v>
      </c>
      <c r="D85" s="911" t="str">
        <f>'Revenues 9-14'!A44</f>
        <v>Regular - Transp Fees from Other Sources (In State)</v>
      </c>
      <c r="E85" s="906"/>
      <c r="F85" s="1806">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6">
        <f>'Revenues 9-14'!F45</f>
        <v>33211</v>
      </c>
      <c r="G86" s="914"/>
    </row>
    <row r="87" spans="1:7" x14ac:dyDescent="0.2">
      <c r="A87" s="908" t="s">
        <v>481</v>
      </c>
      <c r="B87" s="908" t="s">
        <v>169</v>
      </c>
      <c r="C87" s="910">
        <v>1416</v>
      </c>
      <c r="D87" s="911" t="str">
        <f>'Revenues 9-14'!A46</f>
        <v>Regular Transp Fees from Other Sources (Out of State)</v>
      </c>
      <c r="E87" s="906"/>
      <c r="F87" s="1806">
        <f>'Revenues 9-14'!F46</f>
        <v>0</v>
      </c>
      <c r="G87" s="914"/>
    </row>
    <row r="88" spans="1:7" x14ac:dyDescent="0.2">
      <c r="A88" s="908" t="s">
        <v>481</v>
      </c>
      <c r="B88" s="908" t="s">
        <v>170</v>
      </c>
      <c r="C88" s="910">
        <f>'Revenues 9-14'!B51</f>
        <v>1431</v>
      </c>
      <c r="D88" s="911" t="str">
        <f>'Revenues 9-14'!A51</f>
        <v>CTE - Transp Fees from Pupils or Parents (In State)</v>
      </c>
      <c r="E88" s="906"/>
      <c r="F88" s="1806">
        <f>'Revenues 9-14'!F51</f>
        <v>0</v>
      </c>
      <c r="G88" s="914"/>
    </row>
    <row r="89" spans="1:7" x14ac:dyDescent="0.2">
      <c r="A89" s="908" t="s">
        <v>481</v>
      </c>
      <c r="B89" s="908" t="s">
        <v>171</v>
      </c>
      <c r="C89" s="910">
        <f>'Revenues 9-14'!B53</f>
        <v>1433</v>
      </c>
      <c r="D89" s="911" t="str">
        <f>'Revenues 9-14'!A53</f>
        <v>CTE - Transp Fees from Other Sources (In State)</v>
      </c>
      <c r="E89" s="906"/>
      <c r="F89" s="1806">
        <f>'Revenues 9-14'!F53</f>
        <v>0</v>
      </c>
      <c r="G89" s="914"/>
    </row>
    <row r="90" spans="1:7" x14ac:dyDescent="0.2">
      <c r="A90" s="908" t="s">
        <v>481</v>
      </c>
      <c r="B90" s="908" t="s">
        <v>172</v>
      </c>
      <c r="C90" s="910">
        <f>'Revenues 9-14'!B54</f>
        <v>1434</v>
      </c>
      <c r="D90" s="911" t="str">
        <f>'Revenues 9-14'!A54</f>
        <v>CTE - Transp Fees from Other Sources (Out of State)</v>
      </c>
      <c r="E90" s="906"/>
      <c r="F90" s="1806">
        <f>'Revenues 9-14'!F54</f>
        <v>0</v>
      </c>
      <c r="G90" s="914"/>
    </row>
    <row r="91" spans="1:7" x14ac:dyDescent="0.2">
      <c r="A91" s="908" t="s">
        <v>481</v>
      </c>
      <c r="B91" s="908" t="s">
        <v>173</v>
      </c>
      <c r="C91" s="915">
        <f>'Revenues 9-14'!B55</f>
        <v>1441</v>
      </c>
      <c r="D91" s="911" t="str">
        <f>'Revenues 9-14'!A55</f>
        <v>Special Ed - Transp Fees from Pupils or Parents (In State)</v>
      </c>
      <c r="E91" s="906"/>
      <c r="F91" s="1806">
        <f>'Revenues 9-14'!F55</f>
        <v>0</v>
      </c>
      <c r="G91" s="914"/>
    </row>
    <row r="92" spans="1:7" x14ac:dyDescent="0.2">
      <c r="A92" s="908" t="s">
        <v>481</v>
      </c>
      <c r="B92" s="908" t="s">
        <v>174</v>
      </c>
      <c r="C92" s="910">
        <f>'Revenues 9-14'!B57</f>
        <v>1443</v>
      </c>
      <c r="D92" s="911" t="str">
        <f>'Revenues 9-14'!A57</f>
        <v>Special Ed - Transp Fees from Other Sources (In State)</v>
      </c>
      <c r="E92" s="906"/>
      <c r="F92" s="1806">
        <f>'Revenues 9-14'!F57</f>
        <v>0</v>
      </c>
      <c r="G92" s="916"/>
    </row>
    <row r="93" spans="1:7" x14ac:dyDescent="0.2">
      <c r="A93" s="908" t="s">
        <v>481</v>
      </c>
      <c r="B93" s="908" t="s">
        <v>175</v>
      </c>
      <c r="C93" s="910">
        <f>'Revenues 9-14'!B58</f>
        <v>1444</v>
      </c>
      <c r="D93" s="911" t="str">
        <f>'Revenues 9-14'!A58</f>
        <v>Special Ed - Transp Fees from Other Sources (Out of State)</v>
      </c>
      <c r="E93" s="906"/>
      <c r="F93" s="1806">
        <f>'Revenues 9-14'!F58</f>
        <v>0</v>
      </c>
      <c r="G93" s="916"/>
    </row>
    <row r="94" spans="1:7" x14ac:dyDescent="0.2">
      <c r="A94" s="908" t="s">
        <v>479</v>
      </c>
      <c r="B94" s="908" t="s">
        <v>176</v>
      </c>
      <c r="C94" s="910">
        <v>1600</v>
      </c>
      <c r="D94" s="917" t="str">
        <f>'Revenues 9-14'!A75</f>
        <v>Total Food Service</v>
      </c>
      <c r="E94" s="906"/>
      <c r="F94" s="1806">
        <f>'Revenues 9-14'!C75</f>
        <v>325668</v>
      </c>
      <c r="G94" s="912"/>
    </row>
    <row r="95" spans="1:7" x14ac:dyDescent="0.2">
      <c r="A95" s="908" t="s">
        <v>142</v>
      </c>
      <c r="B95" s="908" t="s">
        <v>177</v>
      </c>
      <c r="C95" s="910">
        <v>1700</v>
      </c>
      <c r="D95" s="918" t="str">
        <f>'Revenues 9-14'!A82</f>
        <v>Total District/School Activity Income</v>
      </c>
      <c r="E95" s="906"/>
      <c r="F95" s="1806">
        <f>SUM('Revenues 9-14'!C82,'Revenues 9-14'!D82)</f>
        <v>314110</v>
      </c>
      <c r="G95" s="912"/>
    </row>
    <row r="96" spans="1:7" x14ac:dyDescent="0.2">
      <c r="A96" s="908" t="s">
        <v>479</v>
      </c>
      <c r="B96" s="908" t="s">
        <v>178</v>
      </c>
      <c r="C96" s="910">
        <f>'Revenues 9-14'!B84</f>
        <v>1811</v>
      </c>
      <c r="D96" s="911" t="str">
        <f>'Revenues 9-14'!A84</f>
        <v>Rentals - Regular Textbooks</v>
      </c>
      <c r="E96" s="906"/>
      <c r="F96" s="1806">
        <f>'Revenues 9-14'!C84</f>
        <v>190241</v>
      </c>
      <c r="G96" s="912"/>
    </row>
    <row r="97" spans="1:7" x14ac:dyDescent="0.2">
      <c r="A97" s="908" t="s">
        <v>479</v>
      </c>
      <c r="B97" s="908" t="s">
        <v>179</v>
      </c>
      <c r="C97" s="910">
        <f>'Revenues 9-14'!B87</f>
        <v>1819</v>
      </c>
      <c r="D97" s="911" t="str">
        <f>'Revenues 9-14'!A87</f>
        <v>Rentals - Other (Describe &amp; Itemize)</v>
      </c>
      <c r="E97" s="906"/>
      <c r="F97" s="1806">
        <f>'Revenues 9-14'!C87</f>
        <v>0</v>
      </c>
      <c r="G97" s="912"/>
    </row>
    <row r="98" spans="1:7" x14ac:dyDescent="0.2">
      <c r="A98" s="908" t="s">
        <v>479</v>
      </c>
      <c r="B98" s="908" t="s">
        <v>180</v>
      </c>
      <c r="C98" s="910">
        <f>'Revenues 9-14'!B88</f>
        <v>1821</v>
      </c>
      <c r="D98" s="911" t="str">
        <f>'Revenues 9-14'!A88</f>
        <v>Sales - Regular Textbooks</v>
      </c>
      <c r="E98" s="906"/>
      <c r="F98" s="1806">
        <f>'Revenues 9-14'!C88</f>
        <v>0</v>
      </c>
      <c r="G98" s="912"/>
    </row>
    <row r="99" spans="1:7" x14ac:dyDescent="0.2">
      <c r="A99" s="908" t="s">
        <v>479</v>
      </c>
      <c r="B99" s="908" t="s">
        <v>181</v>
      </c>
      <c r="C99" s="910">
        <f>'Revenues 9-14'!B91</f>
        <v>1829</v>
      </c>
      <c r="D99" s="911" t="str">
        <f>'Revenues 9-14'!A91</f>
        <v>Sales - Other (Describe &amp; Itemize)</v>
      </c>
      <c r="E99" s="906"/>
      <c r="F99" s="1806">
        <f>'Revenues 9-14'!C91</f>
        <v>39981</v>
      </c>
      <c r="G99" s="912"/>
    </row>
    <row r="100" spans="1:7" x14ac:dyDescent="0.2">
      <c r="A100" s="908" t="s">
        <v>479</v>
      </c>
      <c r="B100" s="908" t="s">
        <v>182</v>
      </c>
      <c r="C100" s="910">
        <f>'Revenues 9-14'!B92</f>
        <v>1890</v>
      </c>
      <c r="D100" s="911" t="str">
        <f>'Revenues 9-14'!A92</f>
        <v>Other (Describe &amp; Itemize)</v>
      </c>
      <c r="E100" s="906"/>
      <c r="F100" s="1806">
        <f>'Revenues 9-14'!C92</f>
        <v>0</v>
      </c>
      <c r="G100" s="912"/>
    </row>
    <row r="101" spans="1:7" x14ac:dyDescent="0.2">
      <c r="A101" s="908" t="s">
        <v>142</v>
      </c>
      <c r="B101" s="908" t="s">
        <v>183</v>
      </c>
      <c r="C101" s="910">
        <f>'Revenues 9-14'!B95</f>
        <v>1910</v>
      </c>
      <c r="D101" s="911" t="str">
        <f>'Revenues 9-14'!A95</f>
        <v>Rentals</v>
      </c>
      <c r="E101" s="906"/>
      <c r="F101" s="1806">
        <f>SUM('Revenues 9-14'!C95:D95)</f>
        <v>69850</v>
      </c>
      <c r="G101" s="912"/>
    </row>
    <row r="102" spans="1:7" x14ac:dyDescent="0.2">
      <c r="A102" s="908" t="s">
        <v>524</v>
      </c>
      <c r="B102" s="908" t="s">
        <v>184</v>
      </c>
      <c r="C102" s="910">
        <f>'Revenues 9-14'!B98</f>
        <v>1940</v>
      </c>
      <c r="D102" s="911" t="str">
        <f>'Revenues 9-14'!A98</f>
        <v>Services Provided Other Districts</v>
      </c>
      <c r="E102" s="906"/>
      <c r="F102" s="1806">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6">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6">
        <f>('Revenues 9-14'!C106)</f>
        <v>190986</v>
      </c>
      <c r="G104" s="912"/>
    </row>
    <row r="105" spans="1:7" x14ac:dyDescent="0.2">
      <c r="A105" s="908" t="s">
        <v>524</v>
      </c>
      <c r="B105" s="908" t="s">
        <v>842</v>
      </c>
      <c r="C105" s="913">
        <v>3100</v>
      </c>
      <c r="D105" s="919" t="str">
        <f>'Revenues 9-14'!A131</f>
        <v>Total Special Education</v>
      </c>
      <c r="E105" s="906"/>
      <c r="F105" s="1806">
        <f>SUM('Revenues 9-14'!C131:D131,'Revenues 9-14'!F131)</f>
        <v>810633</v>
      </c>
      <c r="G105" s="912"/>
    </row>
    <row r="106" spans="1:7" x14ac:dyDescent="0.2">
      <c r="A106" s="908" t="s">
        <v>694</v>
      </c>
      <c r="B106" s="908" t="s">
        <v>1483</v>
      </c>
      <c r="C106" s="920">
        <v>3200</v>
      </c>
      <c r="D106" s="911" t="str">
        <f>'Revenues 9-14'!A140</f>
        <v>Total Career and Technical Education</v>
      </c>
      <c r="E106" s="906"/>
      <c r="F106" s="1806">
        <f>SUM('Revenues 9-14'!C140,'Revenues 9-14'!D140,'Revenues 9-14'!G140)</f>
        <v>0</v>
      </c>
      <c r="G106" s="912"/>
    </row>
    <row r="107" spans="1:7" x14ac:dyDescent="0.2">
      <c r="A107" s="921" t="s">
        <v>685</v>
      </c>
      <c r="B107" s="908" t="s">
        <v>843</v>
      </c>
      <c r="C107" s="920">
        <v>3300</v>
      </c>
      <c r="D107" s="911" t="str">
        <f>'Revenues 9-14'!A144</f>
        <v>Total Bilingual Ed</v>
      </c>
      <c r="E107" s="906"/>
      <c r="F107" s="1806">
        <f>SUM('Revenues 9-14'!C144,'Revenues 9-14'!G144)</f>
        <v>219094</v>
      </c>
      <c r="G107" s="912"/>
    </row>
    <row r="108" spans="1:7" x14ac:dyDescent="0.2">
      <c r="A108" s="908" t="s">
        <v>479</v>
      </c>
      <c r="B108" s="908" t="s">
        <v>844</v>
      </c>
      <c r="C108" s="920">
        <f>'Revenues 9-14'!B145</f>
        <v>3360</v>
      </c>
      <c r="D108" s="911" t="str">
        <f>'Revenues 9-14'!A145</f>
        <v>State Free Lunch &amp; Breakfast</v>
      </c>
      <c r="E108" s="906"/>
      <c r="F108" s="1806">
        <f>'Revenues 9-14'!C145</f>
        <v>7175</v>
      </c>
      <c r="G108" s="912"/>
    </row>
    <row r="109" spans="1:7" x14ac:dyDescent="0.2">
      <c r="A109" s="908" t="s">
        <v>694</v>
      </c>
      <c r="B109" s="908" t="s">
        <v>845</v>
      </c>
      <c r="C109" s="920">
        <f>'Revenues 9-14'!B146</f>
        <v>3365</v>
      </c>
      <c r="D109" s="911" t="str">
        <f>'Revenues 9-14'!A146</f>
        <v>School Breakfast Initiative</v>
      </c>
      <c r="E109" s="906"/>
      <c r="F109" s="1806">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6">
        <f>SUM('Revenues 9-14'!C147,'Revenues 9-14'!D147)</f>
        <v>0</v>
      </c>
      <c r="G110" s="912"/>
    </row>
    <row r="111" spans="1:7" x14ac:dyDescent="0.2">
      <c r="A111" s="908" t="s">
        <v>689</v>
      </c>
      <c r="B111" s="908" t="s">
        <v>802</v>
      </c>
      <c r="C111" s="922">
        <v>3500</v>
      </c>
      <c r="D111" s="911" t="str">
        <f>'Revenues 9-14'!A154</f>
        <v>Total Transportation</v>
      </c>
      <c r="E111" s="906"/>
      <c r="F111" s="1806">
        <f>SUM('Revenues 9-14'!C154,'Revenues 9-14'!D154,'Revenues 9-14'!F154,'Revenues 9-14'!G154)</f>
        <v>1940810</v>
      </c>
      <c r="G111" s="912"/>
    </row>
    <row r="112" spans="1:7" x14ac:dyDescent="0.2">
      <c r="A112" s="908" t="s">
        <v>479</v>
      </c>
      <c r="B112" s="908" t="s">
        <v>847</v>
      </c>
      <c r="C112" s="920">
        <f>'Revenues 9-14'!B155</f>
        <v>3610</v>
      </c>
      <c r="D112" s="911" t="str">
        <f>'Revenues 9-14'!A155</f>
        <v>Learning Improvement - Change Grants</v>
      </c>
      <c r="E112" s="906"/>
      <c r="F112" s="1806">
        <f>'Revenues 9-14'!C155</f>
        <v>0</v>
      </c>
      <c r="G112" s="912"/>
    </row>
    <row r="113" spans="1:7" x14ac:dyDescent="0.2">
      <c r="A113" s="908" t="s">
        <v>689</v>
      </c>
      <c r="B113" s="908" t="s">
        <v>848</v>
      </c>
      <c r="C113" s="920">
        <f>'Revenues 9-14'!B156</f>
        <v>3660</v>
      </c>
      <c r="D113" s="911" t="str">
        <f>'Revenues 9-14'!A156</f>
        <v>Scientific Literacy</v>
      </c>
      <c r="E113" s="906"/>
      <c r="F113" s="1806">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6">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6">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6">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6">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7">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6">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6">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8">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8">
        <f>SUM('Revenues 9-14'!C166:G166)</f>
        <v>0</v>
      </c>
      <c r="G122" s="912"/>
    </row>
    <row r="123" spans="1:7" x14ac:dyDescent="0.2">
      <c r="A123" s="923" t="s">
        <v>525</v>
      </c>
      <c r="B123" s="923" t="s">
        <v>853</v>
      </c>
      <c r="C123" s="924">
        <f>'Revenues 9-14'!B167</f>
        <v>3815</v>
      </c>
      <c r="D123" s="925" t="str">
        <f>'Revenues 9-14'!A167</f>
        <v>State Charter Schools</v>
      </c>
      <c r="E123" s="906"/>
      <c r="F123" s="1928">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6">
        <f>'Revenues 9-14'!D170</f>
        <v>0</v>
      </c>
      <c r="G124" s="930"/>
    </row>
    <row r="125" spans="1:7" x14ac:dyDescent="0.2">
      <c r="A125" s="927" t="s">
        <v>521</v>
      </c>
      <c r="B125" s="927" t="s">
        <v>855</v>
      </c>
      <c r="C125" s="928">
        <f>'Revenues 9-14'!B171</f>
        <v>3999</v>
      </c>
      <c r="D125" s="929" t="s">
        <v>564</v>
      </c>
      <c r="E125" s="931"/>
      <c r="F125" s="1806">
        <f>SUM('Revenues 9-14'!C171:G171,'Revenues 9-14'!J171)</f>
        <v>5131</v>
      </c>
      <c r="G125" s="930"/>
    </row>
    <row r="126" spans="1:7" x14ac:dyDescent="0.2">
      <c r="A126" s="927" t="s">
        <v>479</v>
      </c>
      <c r="B126" s="927" t="s">
        <v>856</v>
      </c>
      <c r="C126" s="932">
        <f>'Revenues 9-14'!B180</f>
        <v>4045</v>
      </c>
      <c r="D126" s="929" t="str">
        <f>'Revenues 9-14'!A180 &amp; " (Subtract)"</f>
        <v>Head Start (Subtract)</v>
      </c>
      <c r="E126" s="906"/>
      <c r="F126" s="1806">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6">
        <f>SUM('Revenues 9-14'!C184,'Revenues 9-14'!D184,'Revenues 9-14'!F184,'Revenues 9-14'!G184)</f>
        <v>0</v>
      </c>
      <c r="G127" s="930"/>
    </row>
    <row r="128" spans="1:7" x14ac:dyDescent="0.2">
      <c r="A128" s="927" t="s">
        <v>689</v>
      </c>
      <c r="B128" s="927" t="s">
        <v>858</v>
      </c>
      <c r="C128" s="932">
        <v>4100</v>
      </c>
      <c r="D128" s="933" t="str">
        <f>'Revenues 9-14'!A191</f>
        <v>Total Title V</v>
      </c>
      <c r="E128" s="906"/>
      <c r="F128" s="1806">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6">
        <f>SUM('Revenues 9-14'!C201,'Revenues 9-14'!G201)</f>
        <v>485825</v>
      </c>
      <c r="G129" s="930"/>
    </row>
    <row r="130" spans="1:7" x14ac:dyDescent="0.2">
      <c r="A130" s="927" t="s">
        <v>689</v>
      </c>
      <c r="B130" s="927" t="s">
        <v>804</v>
      </c>
      <c r="C130" s="932">
        <v>4300</v>
      </c>
      <c r="D130" s="933" t="str">
        <f>'Revenues 9-14'!A211</f>
        <v>Total Title I</v>
      </c>
      <c r="E130" s="906"/>
      <c r="F130" s="1806">
        <f>SUM('Revenues 9-14'!C211,'Revenues 9-14'!D211,'Revenues 9-14'!F211,'Revenues 9-14'!G211)</f>
        <v>271555</v>
      </c>
      <c r="G130" s="930"/>
    </row>
    <row r="131" spans="1:7" x14ac:dyDescent="0.2">
      <c r="A131" s="927" t="s">
        <v>689</v>
      </c>
      <c r="B131" s="927" t="s">
        <v>805</v>
      </c>
      <c r="C131" s="932">
        <v>4400</v>
      </c>
      <c r="D131" s="933" t="str">
        <f>'Revenues 9-14'!A216</f>
        <v>Total Title IV</v>
      </c>
      <c r="E131" s="906"/>
      <c r="F131" s="1806">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6">
        <f>SUM('Revenues 9-14'!C220:D220,'Revenues 9-14'!F220:G220)</f>
        <v>379695</v>
      </c>
      <c r="G132" s="930"/>
    </row>
    <row r="133" spans="1:7" x14ac:dyDescent="0.2">
      <c r="A133" s="927" t="s">
        <v>689</v>
      </c>
      <c r="B133" s="927" t="s">
        <v>191</v>
      </c>
      <c r="C133" s="932">
        <f>'Revenues 9-14'!B221</f>
        <v>4625</v>
      </c>
      <c r="D133" s="933" t="str">
        <f>'Revenues 9-14'!A221</f>
        <v>Fed - Spec Education - IDEA - Room &amp; Board</v>
      </c>
      <c r="E133" s="906"/>
      <c r="F133" s="1806">
        <f>SUM('Revenues 9-14'!C221,'Revenues 9-14'!D221,'Revenues 9-14'!F221,'Revenues 9-14'!G221)</f>
        <v>39971</v>
      </c>
      <c r="G133" s="930"/>
    </row>
    <row r="134" spans="1:7" x14ac:dyDescent="0.2">
      <c r="A134" s="927" t="s">
        <v>689</v>
      </c>
      <c r="B134" s="927" t="s">
        <v>859</v>
      </c>
      <c r="C134" s="932">
        <f>'Revenues 9-14'!B222</f>
        <v>4630</v>
      </c>
      <c r="D134" s="933" t="str">
        <f>'Revenues 9-14'!A222</f>
        <v>Fed - Spec Education - IDEA - Discretionary</v>
      </c>
      <c r="E134" s="906"/>
      <c r="F134" s="1806">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6">
        <f>SUM('Revenues 9-14'!C223:D223,'Revenues 9-14'!F223:G223)</f>
        <v>0</v>
      </c>
      <c r="G135" s="930"/>
    </row>
    <row r="136" spans="1:7" x14ac:dyDescent="0.2">
      <c r="A136" s="927" t="s">
        <v>694</v>
      </c>
      <c r="B136" s="927" t="s">
        <v>807</v>
      </c>
      <c r="C136" s="932">
        <v>4700</v>
      </c>
      <c r="D136" s="929" t="str">
        <f>'Revenues 9-14'!A228</f>
        <v>Total CTE - Perkins</v>
      </c>
      <c r="E136" s="906"/>
      <c r="F136" s="1806">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8">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6">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6">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6">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6">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6">
        <v>0</v>
      </c>
      <c r="G142" s="905"/>
    </row>
    <row r="143" spans="1:7" s="867" customFormat="1" hidden="1" x14ac:dyDescent="0.2">
      <c r="A143" s="934" t="s">
        <v>215</v>
      </c>
      <c r="B143" s="934" t="s">
        <v>228</v>
      </c>
      <c r="C143" s="935" t="s">
        <v>225</v>
      </c>
      <c r="D143" s="936" t="str">
        <f>'Revenues 9-14'!A237</f>
        <v>ARRA - IDEA - Part B - Flow-Through</v>
      </c>
      <c r="E143" s="937"/>
      <c r="F143" s="1806">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6">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6">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6">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6">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6">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6">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6">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6">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6">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6">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6">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6">
        <v>0</v>
      </c>
      <c r="G155" s="905"/>
    </row>
    <row r="156" spans="1:7" s="867" customFormat="1" hidden="1" x14ac:dyDescent="0.2">
      <c r="A156" s="934" t="s">
        <v>215</v>
      </c>
      <c r="B156" s="934" t="s">
        <v>250</v>
      </c>
      <c r="C156" s="935" t="s">
        <v>247</v>
      </c>
      <c r="D156" s="936" t="str">
        <f>'Revenues 9-14'!A254</f>
        <v>Other ARRA Funds VII</v>
      </c>
      <c r="E156" s="937"/>
      <c r="F156" s="1806">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6">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6">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6">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6">
        <f>SUM('Revenues 9-14'!C258:G258,'Revenues 9-14'!J258)</f>
        <v>0</v>
      </c>
      <c r="G160" s="905"/>
    </row>
    <row r="161" spans="1:7" s="867" customFormat="1" x14ac:dyDescent="0.2">
      <c r="A161" s="938" t="s">
        <v>521</v>
      </c>
      <c r="B161" s="939" t="s">
        <v>1564</v>
      </c>
      <c r="C161" s="940" t="s">
        <v>896</v>
      </c>
      <c r="D161" s="941" t="s">
        <v>808</v>
      </c>
      <c r="E161" s="942"/>
      <c r="F161" s="1806">
        <f>SUM(F137:F160)</f>
        <v>0</v>
      </c>
      <c r="G161" s="905"/>
    </row>
    <row r="162" spans="1:7" s="867" customFormat="1" x14ac:dyDescent="0.2">
      <c r="A162" s="938" t="s">
        <v>479</v>
      </c>
      <c r="B162" s="939" t="s">
        <v>1501</v>
      </c>
      <c r="C162" s="940" t="s">
        <v>1499</v>
      </c>
      <c r="D162" s="941" t="s">
        <v>1500</v>
      </c>
      <c r="E162" s="942"/>
      <c r="F162" s="1806">
        <f>SUM('Revenues 9-14'!C260)</f>
        <v>0</v>
      </c>
      <c r="G162" s="905"/>
    </row>
    <row r="163" spans="1:7" s="867" customFormat="1" x14ac:dyDescent="0.2">
      <c r="A163" s="938" t="s">
        <v>521</v>
      </c>
      <c r="B163" s="939" t="s">
        <v>1541</v>
      </c>
      <c r="C163" s="940" t="s">
        <v>1542</v>
      </c>
      <c r="D163" s="941" t="s">
        <v>1543</v>
      </c>
      <c r="E163" s="942"/>
      <c r="F163" s="1806">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6">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6">
        <f>SUM('Revenues 9-14'!C263,'Revenues 9-14'!F263,'Revenues 9-14'!G263)</f>
        <v>377</v>
      </c>
      <c r="G165" s="943">
        <v>6306</v>
      </c>
    </row>
    <row r="166" spans="1:7" x14ac:dyDescent="0.2">
      <c r="A166" s="927" t="s">
        <v>5</v>
      </c>
      <c r="B166" s="927" t="s">
        <v>1502</v>
      </c>
      <c r="C166" s="932">
        <f>'Revenues 9-14'!B264</f>
        <v>4909</v>
      </c>
      <c r="D166" s="929" t="str">
        <f>'Revenues 9-14'!A264</f>
        <v>Title III - Language Inst Program - Limited Eng (LIPLEP)</v>
      </c>
      <c r="E166" s="906"/>
      <c r="F166" s="1806">
        <f>SUM('Revenues 9-14'!C264,'Revenues 9-14'!F264,'Revenues 9-14'!G264)</f>
        <v>59381</v>
      </c>
      <c r="G166" s="943"/>
    </row>
    <row r="167" spans="1:7" x14ac:dyDescent="0.2">
      <c r="A167" s="927" t="s">
        <v>5</v>
      </c>
      <c r="B167" s="927" t="s">
        <v>1557</v>
      </c>
      <c r="C167" s="932">
        <f>'Revenues 9-14'!B265</f>
        <v>4910</v>
      </c>
      <c r="D167" s="929" t="str">
        <f>'Revenues 9-14'!A265</f>
        <v>Learn &amp; Serve America</v>
      </c>
      <c r="E167" s="906"/>
      <c r="F167" s="1806">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6">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8">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8">
        <f>SUM('Revenues 9-14'!C268,'Revenues 9-14'!D268,'Revenues 9-14'!F268,'Revenues 9-14'!G268)</f>
        <v>97875</v>
      </c>
      <c r="G170" s="930"/>
    </row>
    <row r="171" spans="1:7" x14ac:dyDescent="0.2">
      <c r="A171" s="927" t="s">
        <v>689</v>
      </c>
      <c r="B171" s="927" t="s">
        <v>864</v>
      </c>
      <c r="C171" s="932">
        <f>'Revenues 9-14'!B269</f>
        <v>4960</v>
      </c>
      <c r="D171" s="929" t="str">
        <f>'Revenues 9-14'!A269</f>
        <v>Federal Charter Schools</v>
      </c>
      <c r="E171" s="906"/>
      <c r="F171" s="1806">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6">
        <f>SUM('Revenues 9-14'!C270:D270,'Revenues 9-14'!F270:G270)</f>
        <v>56897</v>
      </c>
      <c r="G172" s="947">
        <v>6320</v>
      </c>
    </row>
    <row r="173" spans="1:7" x14ac:dyDescent="0.2">
      <c r="A173" s="927" t="s">
        <v>689</v>
      </c>
      <c r="B173" s="927" t="s">
        <v>1503</v>
      </c>
      <c r="C173" s="932">
        <f>'Revenues 9-14'!B271</f>
        <v>4992</v>
      </c>
      <c r="D173" s="933" t="str">
        <f>'Revenues 9-14'!A271</f>
        <v>Medicaid Matching Funds - Fee-for-Service Program</v>
      </c>
      <c r="E173" s="906"/>
      <c r="F173" s="1806">
        <f>SUM('Revenues 9-14'!C271:D271,'Revenues 9-14'!F271:G271)</f>
        <v>426318</v>
      </c>
      <c r="G173" s="947"/>
    </row>
    <row r="174" spans="1:7" x14ac:dyDescent="0.2">
      <c r="A174" s="948" t="s">
        <v>689</v>
      </c>
      <c r="B174" s="944" t="s">
        <v>1558</v>
      </c>
      <c r="C174" s="945">
        <f>'Revenues 9-14'!B272</f>
        <v>4999</v>
      </c>
      <c r="D174" s="946" t="str">
        <f>'Revenues 9-14'!A272</f>
        <v>Other Restricted Revenue from Federal Sources (Describe &amp; Itemize)</v>
      </c>
      <c r="E174" s="906"/>
      <c r="F174" s="1806">
        <f>SUM('Revenues 9-14'!C272:D272,'Revenues 9-14'!F272:G272)</f>
        <v>0</v>
      </c>
      <c r="G174" s="927"/>
    </row>
    <row r="175" spans="1:7" x14ac:dyDescent="0.2">
      <c r="A175" s="1939" t="s">
        <v>5</v>
      </c>
      <c r="B175" s="1940" t="s">
        <v>2055</v>
      </c>
      <c r="C175" s="1941">
        <v>3100</v>
      </c>
      <c r="D175" s="1942" t="s">
        <v>2058</v>
      </c>
      <c r="E175" s="906"/>
      <c r="F175" s="1926">
        <v>1531827</v>
      </c>
      <c r="G175" s="927"/>
    </row>
    <row r="176" spans="1:7" x14ac:dyDescent="0.2">
      <c r="A176" s="1939" t="s">
        <v>685</v>
      </c>
      <c r="B176" s="1940" t="s">
        <v>2055</v>
      </c>
      <c r="C176" s="1941">
        <v>3300</v>
      </c>
      <c r="D176" s="1942" t="s">
        <v>2059</v>
      </c>
      <c r="E176" s="906"/>
      <c r="F176" s="1926">
        <v>235302</v>
      </c>
      <c r="G176" s="927"/>
    </row>
    <row r="177" spans="1:7" ht="6" customHeight="1" x14ac:dyDescent="0.2">
      <c r="A177" s="927"/>
      <c r="B177" s="927"/>
      <c r="C177" s="949"/>
      <c r="D177" s="927"/>
      <c r="E177" s="906"/>
      <c r="F177" s="950"/>
      <c r="G177" s="947"/>
    </row>
    <row r="178" spans="1:7" x14ac:dyDescent="0.2">
      <c r="A178" s="1787"/>
      <c r="B178" s="1801"/>
      <c r="C178" s="1802"/>
      <c r="D178" s="1803" t="s">
        <v>2011</v>
      </c>
      <c r="E178" s="1804" t="s">
        <v>1015</v>
      </c>
      <c r="F178" s="1805">
        <f>SUM(F84:F136,F161:F176)</f>
        <v>7731913</v>
      </c>
    </row>
    <row r="179" spans="1:7" ht="12" customHeight="1" x14ac:dyDescent="0.2">
      <c r="A179" s="1787"/>
      <c r="B179" s="1801"/>
      <c r="C179" s="1802"/>
      <c r="D179" s="1803" t="s">
        <v>2012</v>
      </c>
      <c r="E179" s="1804"/>
      <c r="F179" s="1806">
        <f>'PCTC-OEPP 27-28'!F77-F178</f>
        <v>38598926</v>
      </c>
    </row>
    <row r="180" spans="1:7" ht="12" customHeight="1" x14ac:dyDescent="0.2">
      <c r="A180" s="1787"/>
      <c r="B180" s="1801"/>
      <c r="C180" s="1802"/>
      <c r="D180" s="1803" t="s">
        <v>1921</v>
      </c>
      <c r="E180" s="1804"/>
      <c r="F180" s="1806">
        <f>'Cap Outlay Deprec 26'!I18</f>
        <v>3025733.1</v>
      </c>
    </row>
    <row r="181" spans="1:7" ht="12" customHeight="1" x14ac:dyDescent="0.2">
      <c r="A181" s="1787"/>
      <c r="B181" s="1801"/>
      <c r="C181" s="1802"/>
      <c r="D181" s="1803" t="s">
        <v>2013</v>
      </c>
      <c r="E181" s="1804"/>
      <c r="F181" s="1806">
        <f>F179+F180</f>
        <v>41624659.100000001</v>
      </c>
    </row>
    <row r="182" spans="1:7" ht="12" customHeight="1" x14ac:dyDescent="0.2">
      <c r="A182" s="1787"/>
      <c r="B182" s="1807"/>
      <c r="C182" s="1802"/>
      <c r="D182" s="1803" t="str">
        <f>D78</f>
        <v>9 Month ADA from District Average Daily Attendance/Prior General State Aid Inquiry 2017-2018</v>
      </c>
      <c r="E182" s="1804"/>
      <c r="F182" s="1808">
        <f>'PCTC-OEPP 27-28'!F78</f>
        <v>3328.54</v>
      </c>
      <c r="G182" s="930"/>
    </row>
    <row r="183" spans="1:7" ht="12" customHeight="1" thickBot="1" x14ac:dyDescent="0.25">
      <c r="A183" s="1787"/>
      <c r="B183" s="1807"/>
      <c r="C183" s="1802"/>
      <c r="D183" s="1803" t="s">
        <v>2014</v>
      </c>
      <c r="E183" s="1804" t="s">
        <v>1626</v>
      </c>
      <c r="F183" s="1809">
        <f>F181/F182</f>
        <v>12505.380467111707</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3" customFormat="1" ht="12.2" customHeight="1" x14ac:dyDescent="0.2">
      <c r="A186" s="1943" t="s">
        <v>2062</v>
      </c>
      <c r="B186" s="1944"/>
      <c r="C186" s="1945"/>
      <c r="D186" s="1944"/>
      <c r="E186" s="1945"/>
      <c r="F186" s="1944"/>
      <c r="G186" s="1944"/>
    </row>
    <row r="187" spans="1:7" s="1943" customFormat="1" ht="12.2" customHeight="1" x14ac:dyDescent="0.2">
      <c r="A187" s="1946" t="s">
        <v>2063</v>
      </c>
      <c r="C187" s="1945"/>
      <c r="D187" s="1944"/>
      <c r="E187" s="1945"/>
      <c r="F187" s="1944"/>
      <c r="G187" s="1944"/>
    </row>
    <row r="188" spans="1:7" ht="12" customHeight="1" x14ac:dyDescent="0.2">
      <c r="C188" s="949"/>
      <c r="D188" s="930"/>
      <c r="E188" s="949"/>
      <c r="F188" s="930"/>
      <c r="G188" s="930"/>
    </row>
    <row r="189" spans="1:7" x14ac:dyDescent="0.2">
      <c r="A189" s="1947" t="s">
        <v>2061</v>
      </c>
      <c r="B189" s="1948"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29" activePane="bottomLeft" state="frozen"/>
      <selection pane="bottomLeft" activeCell="G141" sqref="G141"/>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1937</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564" t="s">
        <v>1922</v>
      </c>
      <c r="B4" s="2565"/>
      <c r="C4" s="2565"/>
      <c r="D4" s="2565"/>
      <c r="E4" s="2565"/>
      <c r="F4" s="2565"/>
      <c r="G4" s="2566"/>
    </row>
    <row r="5" spans="1:7" x14ac:dyDescent="0.25">
      <c r="A5" s="2567"/>
      <c r="B5" s="2568"/>
      <c r="C5" s="2568"/>
      <c r="D5" s="2568"/>
      <c r="E5" s="2568"/>
      <c r="F5" s="2568"/>
      <c r="G5" s="2569"/>
    </row>
    <row r="6" spans="1:7" ht="18.75" x14ac:dyDescent="0.25">
      <c r="A6" s="1551" t="s">
        <v>1923</v>
      </c>
      <c r="B6" s="1552"/>
      <c r="C6" s="1552"/>
      <c r="D6" s="1552"/>
      <c r="E6" s="1552"/>
      <c r="F6" s="1552"/>
      <c r="G6" s="1553"/>
    </row>
    <row r="7" spans="1:7" ht="30.75" customHeight="1" x14ac:dyDescent="0.25">
      <c r="A7" s="2570" t="s">
        <v>2072</v>
      </c>
      <c r="B7" s="2571"/>
      <c r="C7" s="2571"/>
      <c r="D7" s="2571"/>
      <c r="E7" s="2571"/>
      <c r="F7" s="2571"/>
      <c r="G7" s="2572"/>
    </row>
    <row r="8" spans="1:7" ht="15.75" customHeight="1" x14ac:dyDescent="0.25">
      <c r="A8" s="2573" t="s">
        <v>2021</v>
      </c>
      <c r="B8" s="2574"/>
      <c r="C8" s="2574"/>
      <c r="D8" s="2574"/>
      <c r="E8" s="2574"/>
      <c r="F8" s="2574"/>
      <c r="G8" s="2575"/>
    </row>
    <row r="9" spans="1:7" ht="35.25" customHeight="1" x14ac:dyDescent="0.25">
      <c r="A9" s="2570" t="s">
        <v>2020</v>
      </c>
      <c r="B9" s="2571"/>
      <c r="C9" s="2571"/>
      <c r="D9" s="2571"/>
      <c r="E9" s="2571"/>
      <c r="F9" s="2571"/>
      <c r="G9" s="2572"/>
    </row>
    <row r="10" spans="1:7" ht="15" customHeight="1" x14ac:dyDescent="0.25">
      <c r="A10" s="1554" t="s">
        <v>1924</v>
      </c>
      <c r="B10" s="1555"/>
      <c r="C10" s="1555"/>
      <c r="D10" s="1555"/>
      <c r="E10" s="1555"/>
      <c r="F10" s="1555"/>
      <c r="G10" s="1556"/>
    </row>
    <row r="11" spans="1:7" ht="17.25" customHeight="1" x14ac:dyDescent="0.25">
      <c r="A11" s="2570" t="s">
        <v>1938</v>
      </c>
      <c r="B11" s="2571"/>
      <c r="C11" s="2571"/>
      <c r="D11" s="2571"/>
      <c r="E11" s="2571"/>
      <c r="F11" s="2571"/>
      <c r="G11" s="2572"/>
    </row>
    <row r="12" spans="1:7" ht="15" customHeight="1" x14ac:dyDescent="0.25">
      <c r="A12" s="1554" t="s">
        <v>1929</v>
      </c>
      <c r="B12" s="1555"/>
      <c r="C12" s="1555"/>
      <c r="D12" s="1555"/>
      <c r="E12" s="1555"/>
      <c r="F12" s="1555"/>
      <c r="G12" s="1556"/>
    </row>
    <row r="13" spans="1:7" ht="32.25" customHeight="1" x14ac:dyDescent="0.25">
      <c r="A13" s="2561" t="s">
        <v>1930</v>
      </c>
      <c r="B13" s="2562"/>
      <c r="C13" s="2562"/>
      <c r="D13" s="2562"/>
      <c r="E13" s="2562"/>
      <c r="F13" s="2562"/>
      <c r="G13" s="2563"/>
    </row>
    <row r="14" spans="1:7" x14ac:dyDescent="0.25">
      <c r="A14" s="1678" t="s">
        <v>1939</v>
      </c>
      <c r="B14" s="1679"/>
      <c r="C14" s="1679"/>
      <c r="D14" s="1679"/>
      <c r="E14" s="1679"/>
      <c r="F14" s="1679"/>
      <c r="G14" s="1680"/>
    </row>
    <row r="15" spans="1:7" ht="61.5" customHeight="1" x14ac:dyDescent="0.25">
      <c r="A15" s="1563" t="s">
        <v>1931</v>
      </c>
      <c r="B15" s="1563" t="s">
        <v>1932</v>
      </c>
      <c r="C15" s="1563" t="s">
        <v>1933</v>
      </c>
      <c r="D15" s="1564" t="s">
        <v>1934</v>
      </c>
      <c r="E15" s="1564" t="s">
        <v>1925</v>
      </c>
      <c r="F15" s="1564" t="s">
        <v>1935</v>
      </c>
      <c r="G15" s="1564" t="s">
        <v>1936</v>
      </c>
    </row>
    <row r="16" spans="1:7" x14ac:dyDescent="0.25">
      <c r="A16" s="1665" t="s">
        <v>1940</v>
      </c>
      <c r="B16" s="1666" t="s">
        <v>1928</v>
      </c>
      <c r="C16" s="1667" t="s">
        <v>1926</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65" t="s">
        <v>2096</v>
      </c>
      <c r="B17" s="1968" t="s">
        <v>2097</v>
      </c>
      <c r="C17" s="1966" t="s">
        <v>2098</v>
      </c>
      <c r="D17" s="1967">
        <v>608035</v>
      </c>
      <c r="E17" s="1557">
        <f t="shared" ref="E17:E141" si="1">IF(D17&lt;=25000,D17,IF(D17&gt;25000,25000,0))</f>
        <v>25000</v>
      </c>
      <c r="F17" s="1810">
        <f t="shared" si="0"/>
        <v>25000</v>
      </c>
      <c r="G17" s="1811">
        <f>IF(F17=0,0,D17-F17)</f>
        <v>583035</v>
      </c>
      <c r="H17" s="1664"/>
    </row>
    <row r="18" spans="1:8" x14ac:dyDescent="0.25">
      <c r="A18" s="1965" t="s">
        <v>2099</v>
      </c>
      <c r="B18" s="1968" t="s">
        <v>2100</v>
      </c>
      <c r="C18" s="1966" t="s">
        <v>2101</v>
      </c>
      <c r="D18" s="1967">
        <v>62096</v>
      </c>
      <c r="E18" s="1557">
        <f t="shared" ref="E18:E140" si="2">IF(D18&lt;=25000,D18,IF(D18&gt;25000,25000,0))</f>
        <v>25000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140" si="4">IF(F18=0,0,D18-F18)</f>
        <v>37096</v>
      </c>
    </row>
    <row r="19" spans="1:8" x14ac:dyDescent="0.25">
      <c r="A19" s="1965" t="s">
        <v>2096</v>
      </c>
      <c r="B19" s="1968" t="s">
        <v>2102</v>
      </c>
      <c r="C19" s="1966" t="s">
        <v>2103</v>
      </c>
      <c r="D19" s="1967">
        <v>33392</v>
      </c>
      <c r="E19" s="1557">
        <f t="shared" si="2"/>
        <v>25000</v>
      </c>
      <c r="F19" s="1810">
        <f t="shared" si="3"/>
        <v>25000</v>
      </c>
      <c r="G19" s="1811">
        <f t="shared" si="4"/>
        <v>8392</v>
      </c>
    </row>
    <row r="20" spans="1:8" ht="30" x14ac:dyDescent="0.25">
      <c r="A20" s="1965" t="s">
        <v>2104</v>
      </c>
      <c r="B20" s="1968" t="s">
        <v>2105</v>
      </c>
      <c r="C20" s="1966" t="s">
        <v>2106</v>
      </c>
      <c r="D20" s="1967">
        <v>2961623</v>
      </c>
      <c r="E20" s="1557">
        <f t="shared" si="2"/>
        <v>25000</v>
      </c>
      <c r="F20" s="1810">
        <f t="shared" si="3"/>
        <v>25000</v>
      </c>
      <c r="G20" s="1811">
        <f t="shared" si="4"/>
        <v>2936623</v>
      </c>
    </row>
    <row r="21" spans="1:8" ht="30" x14ac:dyDescent="0.25">
      <c r="A21" s="1965" t="s">
        <v>2107</v>
      </c>
      <c r="B21" s="1968" t="s">
        <v>2108</v>
      </c>
      <c r="C21" s="1966" t="s">
        <v>2109</v>
      </c>
      <c r="D21" s="1967">
        <v>45040</v>
      </c>
      <c r="E21" s="1557">
        <f t="shared" si="2"/>
        <v>25000</v>
      </c>
      <c r="F21" s="1810">
        <f t="shared" si="3"/>
        <v>25000</v>
      </c>
      <c r="G21" s="1811">
        <f t="shared" si="4"/>
        <v>20040</v>
      </c>
    </row>
    <row r="22" spans="1:8" x14ac:dyDescent="0.25">
      <c r="A22" s="1965" t="s">
        <v>2096</v>
      </c>
      <c r="B22" s="1968" t="s">
        <v>2102</v>
      </c>
      <c r="C22" s="1966" t="s">
        <v>2110</v>
      </c>
      <c r="D22" s="1967">
        <v>115474</v>
      </c>
      <c r="E22" s="1557">
        <f t="shared" si="2"/>
        <v>25000</v>
      </c>
      <c r="F22" s="1810">
        <f t="shared" si="3"/>
        <v>25000</v>
      </c>
      <c r="G22" s="1811">
        <f t="shared" si="4"/>
        <v>90474</v>
      </c>
    </row>
    <row r="23" spans="1:8" x14ac:dyDescent="0.25">
      <c r="A23" s="1965" t="s">
        <v>2111</v>
      </c>
      <c r="B23" s="1968" t="s">
        <v>2112</v>
      </c>
      <c r="C23" s="1966" t="s">
        <v>2113</v>
      </c>
      <c r="D23" s="1967">
        <v>342865</v>
      </c>
      <c r="E23" s="1557">
        <f t="shared" si="2"/>
        <v>25000</v>
      </c>
      <c r="F23" s="1810">
        <f t="shared" si="3"/>
        <v>25000</v>
      </c>
      <c r="G23" s="1811">
        <f t="shared" si="4"/>
        <v>317865</v>
      </c>
    </row>
    <row r="24" spans="1:8" x14ac:dyDescent="0.25">
      <c r="A24" s="1670"/>
      <c r="B24" s="1864"/>
      <c r="C24" s="1673"/>
      <c r="D24" s="1862"/>
      <c r="E24" s="1557">
        <f t="shared" si="2"/>
        <v>0</v>
      </c>
      <c r="F24" s="1810">
        <f t="shared" si="3"/>
        <v>0</v>
      </c>
      <c r="G24" s="1811">
        <f t="shared" si="4"/>
        <v>0</v>
      </c>
    </row>
    <row r="25" spans="1:8" x14ac:dyDescent="0.25">
      <c r="A25" s="1670"/>
      <c r="B25" s="1863"/>
      <c r="C25" s="1673"/>
      <c r="D25" s="1862"/>
      <c r="E25" s="1557">
        <f t="shared" si="2"/>
        <v>0</v>
      </c>
      <c r="F25" s="1810">
        <f t="shared" si="3"/>
        <v>0</v>
      </c>
      <c r="G25" s="1811">
        <f t="shared" si="4"/>
        <v>0</v>
      </c>
    </row>
    <row r="26" spans="1:8" x14ac:dyDescent="0.25">
      <c r="A26" s="1670"/>
      <c r="B26" s="1864"/>
      <c r="C26" s="1671"/>
      <c r="D26" s="1862"/>
      <c r="E26" s="1557">
        <f t="shared" si="2"/>
        <v>0</v>
      </c>
      <c r="F26" s="1810">
        <f t="shared" si="3"/>
        <v>0</v>
      </c>
      <c r="G26" s="1811">
        <f t="shared" si="4"/>
        <v>0</v>
      </c>
    </row>
    <row r="27" spans="1:8" x14ac:dyDescent="0.25">
      <c r="A27" s="1670"/>
      <c r="B27" s="1864"/>
      <c r="C27" s="1671"/>
      <c r="D27" s="1862"/>
      <c r="E27" s="1557">
        <f t="shared" si="2"/>
        <v>0</v>
      </c>
      <c r="F27" s="1810">
        <f t="shared" si="3"/>
        <v>0</v>
      </c>
      <c r="G27" s="1811">
        <f t="shared" si="4"/>
        <v>0</v>
      </c>
    </row>
    <row r="28" spans="1:8" x14ac:dyDescent="0.25">
      <c r="A28" s="1670"/>
      <c r="B28" s="1864"/>
      <c r="C28" s="1671"/>
      <c r="D28" s="1862"/>
      <c r="E28" s="1557">
        <f t="shared" si="2"/>
        <v>0</v>
      </c>
      <c r="F28" s="1810">
        <f t="shared" si="3"/>
        <v>0</v>
      </c>
      <c r="G28" s="1811">
        <f t="shared" si="4"/>
        <v>0</v>
      </c>
    </row>
    <row r="29" spans="1:8" x14ac:dyDescent="0.25">
      <c r="A29" s="1670"/>
      <c r="B29" s="1864"/>
      <c r="C29" s="1671"/>
      <c r="D29" s="1862"/>
      <c r="E29" s="1557">
        <f t="shared" si="2"/>
        <v>0</v>
      </c>
      <c r="F29" s="1810">
        <f t="shared" si="3"/>
        <v>0</v>
      </c>
      <c r="G29" s="1811">
        <f t="shared" si="4"/>
        <v>0</v>
      </c>
    </row>
    <row r="30" spans="1:8" x14ac:dyDescent="0.25">
      <c r="A30" s="1670"/>
      <c r="B30" s="1864"/>
      <c r="C30" s="1671"/>
      <c r="D30" s="1862"/>
      <c r="E30" s="1557">
        <f t="shared" si="2"/>
        <v>0</v>
      </c>
      <c r="F30" s="1810">
        <f t="shared" si="3"/>
        <v>0</v>
      </c>
      <c r="G30" s="1811">
        <f t="shared" si="4"/>
        <v>0</v>
      </c>
    </row>
    <row r="31" spans="1:8" x14ac:dyDescent="0.25">
      <c r="A31" s="1670"/>
      <c r="B31" s="1864"/>
      <c r="C31" s="1671"/>
      <c r="D31" s="1862"/>
      <c r="E31" s="1557">
        <f t="shared" si="2"/>
        <v>0</v>
      </c>
      <c r="F31" s="1810">
        <f t="shared" si="3"/>
        <v>0</v>
      </c>
      <c r="G31" s="1811">
        <f t="shared" si="4"/>
        <v>0</v>
      </c>
    </row>
    <row r="32" spans="1:8" x14ac:dyDescent="0.25">
      <c r="A32" s="1670"/>
      <c r="B32" s="1864"/>
      <c r="C32" s="1671"/>
      <c r="D32" s="1862"/>
      <c r="E32" s="1557">
        <f t="shared" si="2"/>
        <v>0</v>
      </c>
      <c r="F32" s="1810">
        <f t="shared" si="3"/>
        <v>0</v>
      </c>
      <c r="G32" s="1811">
        <f t="shared" si="4"/>
        <v>0</v>
      </c>
    </row>
    <row r="33" spans="1:7" x14ac:dyDescent="0.25">
      <c r="A33" s="1670"/>
      <c r="B33" s="1864"/>
      <c r="C33" s="1671"/>
      <c r="D33" s="1862"/>
      <c r="E33" s="1557">
        <f t="shared" si="2"/>
        <v>0</v>
      </c>
      <c r="F33" s="1810">
        <f t="shared" si="3"/>
        <v>0</v>
      </c>
      <c r="G33" s="1811">
        <f t="shared" si="4"/>
        <v>0</v>
      </c>
    </row>
    <row r="34" spans="1:7" x14ac:dyDescent="0.25">
      <c r="A34" s="1670"/>
      <c r="B34" s="1864"/>
      <c r="C34" s="1671"/>
      <c r="D34" s="1862"/>
      <c r="E34" s="1557">
        <f t="shared" si="2"/>
        <v>0</v>
      </c>
      <c r="F34" s="1810">
        <f t="shared" si="3"/>
        <v>0</v>
      </c>
      <c r="G34" s="1811">
        <f t="shared" si="4"/>
        <v>0</v>
      </c>
    </row>
    <row r="35" spans="1:7" x14ac:dyDescent="0.25">
      <c r="A35" s="1670"/>
      <c r="B35" s="1864"/>
      <c r="C35" s="1671"/>
      <c r="D35" s="1862"/>
      <c r="E35" s="1557">
        <f t="shared" si="2"/>
        <v>0</v>
      </c>
      <c r="F35" s="1810">
        <f t="shared" si="3"/>
        <v>0</v>
      </c>
      <c r="G35" s="1811">
        <f t="shared" si="4"/>
        <v>0</v>
      </c>
    </row>
    <row r="36" spans="1:7" x14ac:dyDescent="0.25">
      <c r="A36" s="1670"/>
      <c r="B36" s="1864"/>
      <c r="C36" s="1671"/>
      <c r="D36" s="1862"/>
      <c r="E36" s="1557">
        <f t="shared" si="2"/>
        <v>0</v>
      </c>
      <c r="F36" s="1810">
        <f t="shared" si="3"/>
        <v>0</v>
      </c>
      <c r="G36" s="1811">
        <f t="shared" si="4"/>
        <v>0</v>
      </c>
    </row>
    <row r="37" spans="1:7" x14ac:dyDescent="0.25">
      <c r="A37" s="1670"/>
      <c r="B37" s="1864"/>
      <c r="C37" s="1671"/>
      <c r="D37" s="1862"/>
      <c r="E37" s="1557">
        <f t="shared" si="2"/>
        <v>0</v>
      </c>
      <c r="F37" s="1810">
        <f t="shared" si="3"/>
        <v>0</v>
      </c>
      <c r="G37" s="1811">
        <f t="shared" si="4"/>
        <v>0</v>
      </c>
    </row>
    <row r="38" spans="1:7" x14ac:dyDescent="0.25">
      <c r="A38" s="1670"/>
      <c r="B38" s="1684"/>
      <c r="C38" s="1671"/>
      <c r="D38" s="1862"/>
      <c r="E38" s="1557">
        <f t="shared" si="2"/>
        <v>0</v>
      </c>
      <c r="F38" s="1810">
        <f t="shared" si="3"/>
        <v>0</v>
      </c>
      <c r="G38" s="1811">
        <f t="shared" si="4"/>
        <v>0</v>
      </c>
    </row>
    <row r="39" spans="1:7" x14ac:dyDescent="0.25">
      <c r="A39" s="1670"/>
      <c r="B39" s="1684"/>
      <c r="C39" s="1671"/>
      <c r="D39" s="1862"/>
      <c r="E39" s="1557">
        <f t="shared" si="2"/>
        <v>0</v>
      </c>
      <c r="F39" s="1810">
        <f t="shared" si="3"/>
        <v>0</v>
      </c>
      <c r="G39" s="1811">
        <f t="shared" si="4"/>
        <v>0</v>
      </c>
    </row>
    <row r="40" spans="1:7" x14ac:dyDescent="0.25">
      <c r="A40" s="1670"/>
      <c r="B40" s="1684"/>
      <c r="C40" s="1671"/>
      <c r="D40" s="1862"/>
      <c r="E40" s="1557">
        <f t="shared" si="2"/>
        <v>0</v>
      </c>
      <c r="F40" s="1810">
        <f t="shared" si="3"/>
        <v>0</v>
      </c>
      <c r="G40" s="1811">
        <f t="shared" si="4"/>
        <v>0</v>
      </c>
    </row>
    <row r="41" spans="1:7" x14ac:dyDescent="0.25">
      <c r="A41" s="1670"/>
      <c r="B41" s="1684"/>
      <c r="C41" s="1671"/>
      <c r="D41" s="1862"/>
      <c r="E41" s="1557">
        <f t="shared" si="2"/>
        <v>0</v>
      </c>
      <c r="F41" s="1810">
        <f t="shared" si="3"/>
        <v>0</v>
      </c>
      <c r="G41" s="1811">
        <f t="shared" si="4"/>
        <v>0</v>
      </c>
    </row>
    <row r="42" spans="1:7" x14ac:dyDescent="0.25">
      <c r="A42" s="1670"/>
      <c r="B42" s="1684"/>
      <c r="C42" s="1671"/>
      <c r="D42" s="1862"/>
      <c r="E42" s="1557">
        <f t="shared" si="2"/>
        <v>0</v>
      </c>
      <c r="F42" s="1810">
        <f t="shared" si="3"/>
        <v>0</v>
      </c>
      <c r="G42" s="1811">
        <f t="shared" si="4"/>
        <v>0</v>
      </c>
    </row>
    <row r="43" spans="1:7" x14ac:dyDescent="0.25">
      <c r="A43" s="1670"/>
      <c r="B43" s="1684"/>
      <c r="C43" s="1671"/>
      <c r="D43" s="1862"/>
      <c r="E43" s="1557">
        <f t="shared" si="2"/>
        <v>0</v>
      </c>
      <c r="F43" s="1810">
        <f t="shared" si="3"/>
        <v>0</v>
      </c>
      <c r="G43" s="1811">
        <f t="shared" si="4"/>
        <v>0</v>
      </c>
    </row>
    <row r="44" spans="1:7" x14ac:dyDescent="0.25">
      <c r="A44" s="1670"/>
      <c r="B44" s="1684"/>
      <c r="C44" s="1671"/>
      <c r="D44" s="1862"/>
      <c r="E44" s="1557">
        <f t="shared" si="2"/>
        <v>0</v>
      </c>
      <c r="F44" s="1810">
        <f t="shared" si="3"/>
        <v>0</v>
      </c>
      <c r="G44" s="1811">
        <f t="shared" si="4"/>
        <v>0</v>
      </c>
    </row>
    <row r="45" spans="1:7" x14ac:dyDescent="0.25">
      <c r="A45" s="1670"/>
      <c r="B45" s="1684"/>
      <c r="C45" s="1671"/>
      <c r="D45" s="1862"/>
      <c r="E45" s="1557">
        <f t="shared" si="2"/>
        <v>0</v>
      </c>
      <c r="F45" s="1810">
        <f t="shared" si="3"/>
        <v>0</v>
      </c>
      <c r="G45" s="1811">
        <f t="shared" si="4"/>
        <v>0</v>
      </c>
    </row>
    <row r="46" spans="1:7" x14ac:dyDescent="0.25">
      <c r="A46" s="1670"/>
      <c r="B46" s="1684"/>
      <c r="C46" s="1671"/>
      <c r="D46" s="1862"/>
      <c r="E46" s="1557">
        <f t="shared" si="2"/>
        <v>0</v>
      </c>
      <c r="F46" s="1810">
        <f t="shared" si="3"/>
        <v>0</v>
      </c>
      <c r="G46" s="1811">
        <f t="shared" si="4"/>
        <v>0</v>
      </c>
    </row>
    <row r="47" spans="1:7" x14ac:dyDescent="0.25">
      <c r="A47" s="1670"/>
      <c r="B47" s="1684"/>
      <c r="C47" s="1671"/>
      <c r="D47" s="1862"/>
      <c r="E47" s="1557">
        <f t="shared" si="2"/>
        <v>0</v>
      </c>
      <c r="F47" s="1810">
        <f t="shared" si="3"/>
        <v>0</v>
      </c>
      <c r="G47" s="1811">
        <f t="shared" si="4"/>
        <v>0</v>
      </c>
    </row>
    <row r="48" spans="1:7" x14ac:dyDescent="0.25">
      <c r="A48" s="1670"/>
      <c r="B48" s="1684"/>
      <c r="C48" s="1671"/>
      <c r="D48" s="1862"/>
      <c r="E48" s="1557">
        <f t="shared" si="2"/>
        <v>0</v>
      </c>
      <c r="F48" s="1810">
        <f t="shared" si="3"/>
        <v>0</v>
      </c>
      <c r="G48" s="1811">
        <f t="shared" si="4"/>
        <v>0</v>
      </c>
    </row>
    <row r="49" spans="1:7" x14ac:dyDescent="0.25">
      <c r="A49" s="1670"/>
      <c r="B49" s="1684"/>
      <c r="C49" s="1671"/>
      <c r="D49" s="1862"/>
      <c r="E49" s="1557">
        <f t="shared" si="2"/>
        <v>0</v>
      </c>
      <c r="F49" s="1810">
        <f t="shared" si="3"/>
        <v>0</v>
      </c>
      <c r="G49" s="1811">
        <f t="shared" si="4"/>
        <v>0</v>
      </c>
    </row>
    <row r="50" spans="1:7" x14ac:dyDescent="0.25">
      <c r="A50" s="1670"/>
      <c r="B50" s="1684"/>
      <c r="C50" s="1671"/>
      <c r="D50" s="1862"/>
      <c r="E50" s="1557">
        <f t="shared" si="2"/>
        <v>0</v>
      </c>
      <c r="F50" s="1810">
        <f t="shared" si="3"/>
        <v>0</v>
      </c>
      <c r="G50" s="1811">
        <f t="shared" si="4"/>
        <v>0</v>
      </c>
    </row>
    <row r="51" spans="1:7" x14ac:dyDescent="0.25">
      <c r="A51" s="1670"/>
      <c r="B51" s="1684"/>
      <c r="C51" s="1671"/>
      <c r="D51" s="1862"/>
      <c r="E51" s="1557">
        <f t="shared" si="2"/>
        <v>0</v>
      </c>
      <c r="F51" s="1810">
        <f t="shared" si="3"/>
        <v>0</v>
      </c>
      <c r="G51" s="1811">
        <f t="shared" si="4"/>
        <v>0</v>
      </c>
    </row>
    <row r="52" spans="1:7" x14ac:dyDescent="0.25">
      <c r="A52" s="1670"/>
      <c r="B52" s="1684"/>
      <c r="C52" s="1671"/>
      <c r="D52" s="1862"/>
      <c r="E52" s="1557">
        <f t="shared" si="2"/>
        <v>0</v>
      </c>
      <c r="F52" s="1810">
        <f t="shared" si="3"/>
        <v>0</v>
      </c>
      <c r="G52" s="1811">
        <f t="shared" si="4"/>
        <v>0</v>
      </c>
    </row>
    <row r="53" spans="1:7" x14ac:dyDescent="0.25">
      <c r="A53" s="1670"/>
      <c r="B53" s="1684"/>
      <c r="C53" s="1671"/>
      <c r="D53" s="1862"/>
      <c r="E53" s="1557">
        <f t="shared" si="2"/>
        <v>0</v>
      </c>
      <c r="F53" s="1810">
        <f t="shared" si="3"/>
        <v>0</v>
      </c>
      <c r="G53" s="1811">
        <f t="shared" si="4"/>
        <v>0</v>
      </c>
    </row>
    <row r="54" spans="1:7" x14ac:dyDescent="0.25">
      <c r="A54" s="1670"/>
      <c r="B54" s="1684"/>
      <c r="C54" s="1671"/>
      <c r="D54" s="1862"/>
      <c r="E54" s="1557">
        <f t="shared" si="2"/>
        <v>0</v>
      </c>
      <c r="F54" s="1810">
        <f t="shared" si="3"/>
        <v>0</v>
      </c>
      <c r="G54" s="1811">
        <f t="shared" si="4"/>
        <v>0</v>
      </c>
    </row>
    <row r="55" spans="1:7" x14ac:dyDescent="0.25">
      <c r="A55" s="1670"/>
      <c r="B55" s="1684"/>
      <c r="C55" s="1671"/>
      <c r="D55" s="1862"/>
      <c r="E55" s="1557">
        <f t="shared" si="2"/>
        <v>0</v>
      </c>
      <c r="F55" s="1810">
        <f t="shared" si="3"/>
        <v>0</v>
      </c>
      <c r="G55" s="1811">
        <f t="shared" si="4"/>
        <v>0</v>
      </c>
    </row>
    <row r="56" spans="1:7" x14ac:dyDescent="0.25">
      <c r="A56" s="1670"/>
      <c r="B56" s="1684"/>
      <c r="C56" s="1671"/>
      <c r="D56" s="1862"/>
      <c r="E56" s="1557">
        <f t="shared" si="2"/>
        <v>0</v>
      </c>
      <c r="F56" s="1810">
        <f t="shared" si="3"/>
        <v>0</v>
      </c>
      <c r="G56" s="1811">
        <f t="shared" si="4"/>
        <v>0</v>
      </c>
    </row>
    <row r="57" spans="1:7" x14ac:dyDescent="0.25">
      <c r="A57" s="1670"/>
      <c r="B57" s="1684"/>
      <c r="C57" s="1671"/>
      <c r="D57" s="1862"/>
      <c r="E57" s="1557">
        <f t="shared" si="2"/>
        <v>0</v>
      </c>
      <c r="F57" s="1810">
        <f t="shared" si="3"/>
        <v>0</v>
      </c>
      <c r="G57" s="1811">
        <f t="shared" si="4"/>
        <v>0</v>
      </c>
    </row>
    <row r="58" spans="1:7" x14ac:dyDescent="0.25">
      <c r="A58" s="1670"/>
      <c r="B58" s="1684"/>
      <c r="C58" s="1671"/>
      <c r="D58" s="1862"/>
      <c r="E58" s="1557">
        <f t="shared" si="2"/>
        <v>0</v>
      </c>
      <c r="F58" s="1810">
        <f t="shared" si="3"/>
        <v>0</v>
      </c>
      <c r="G58" s="1811">
        <f t="shared" si="4"/>
        <v>0</v>
      </c>
    </row>
    <row r="59" spans="1:7" x14ac:dyDescent="0.25">
      <c r="A59" s="1670"/>
      <c r="B59" s="1684"/>
      <c r="C59" s="1671"/>
      <c r="D59" s="1862"/>
      <c r="E59" s="1557">
        <f t="shared" si="2"/>
        <v>0</v>
      </c>
      <c r="F59" s="1810">
        <f t="shared" si="3"/>
        <v>0</v>
      </c>
      <c r="G59" s="1811">
        <f t="shared" si="4"/>
        <v>0</v>
      </c>
    </row>
    <row r="60" spans="1:7" x14ac:dyDescent="0.25">
      <c r="A60" s="1670"/>
      <c r="B60" s="1684"/>
      <c r="C60" s="1671"/>
      <c r="D60" s="1862"/>
      <c r="E60" s="1557">
        <f t="shared" si="2"/>
        <v>0</v>
      </c>
      <c r="F60" s="1810">
        <f t="shared" si="3"/>
        <v>0</v>
      </c>
      <c r="G60" s="1811">
        <f t="shared" si="4"/>
        <v>0</v>
      </c>
    </row>
    <row r="61" spans="1:7" x14ac:dyDescent="0.25">
      <c r="A61" s="1670"/>
      <c r="B61" s="1684"/>
      <c r="C61" s="1671"/>
      <c r="D61" s="1862"/>
      <c r="E61" s="1557">
        <f t="shared" si="2"/>
        <v>0</v>
      </c>
      <c r="F61" s="1810">
        <f t="shared" si="3"/>
        <v>0</v>
      </c>
      <c r="G61" s="1811">
        <f t="shared" si="4"/>
        <v>0</v>
      </c>
    </row>
    <row r="62" spans="1:7" x14ac:dyDescent="0.25">
      <c r="A62" s="1670"/>
      <c r="B62" s="1684"/>
      <c r="C62" s="1671"/>
      <c r="D62" s="1862"/>
      <c r="E62" s="1557">
        <f t="shared" si="2"/>
        <v>0</v>
      </c>
      <c r="F62" s="1810">
        <f t="shared" si="3"/>
        <v>0</v>
      </c>
      <c r="G62" s="1811">
        <f t="shared" si="4"/>
        <v>0</v>
      </c>
    </row>
    <row r="63" spans="1:7" x14ac:dyDescent="0.25">
      <c r="A63" s="1670"/>
      <c r="B63" s="1684"/>
      <c r="C63" s="1671"/>
      <c r="D63" s="1862"/>
      <c r="E63" s="1557">
        <f t="shared" si="2"/>
        <v>0</v>
      </c>
      <c r="F63" s="1810">
        <f t="shared" si="3"/>
        <v>0</v>
      </c>
      <c r="G63" s="1811">
        <f t="shared" si="4"/>
        <v>0</v>
      </c>
    </row>
    <row r="64" spans="1:7" x14ac:dyDescent="0.25">
      <c r="A64" s="1672"/>
      <c r="B64" s="1684"/>
      <c r="C64" s="1673"/>
      <c r="D64" s="1862"/>
      <c r="E64" s="1557">
        <f t="shared" si="2"/>
        <v>0</v>
      </c>
      <c r="F64" s="1810">
        <f t="shared" si="3"/>
        <v>0</v>
      </c>
      <c r="G64" s="1811">
        <f t="shared" si="4"/>
        <v>0</v>
      </c>
    </row>
    <row r="65" spans="1:7" x14ac:dyDescent="0.25">
      <c r="A65" s="1670"/>
      <c r="B65" s="1684"/>
      <c r="C65" s="1671"/>
      <c r="D65" s="1862"/>
      <c r="E65" s="1557">
        <f t="shared" si="2"/>
        <v>0</v>
      </c>
      <c r="F65" s="1810">
        <f t="shared" si="3"/>
        <v>0</v>
      </c>
      <c r="G65" s="1811">
        <f t="shared" si="4"/>
        <v>0</v>
      </c>
    </row>
    <row r="66" spans="1:7" x14ac:dyDescent="0.25">
      <c r="A66" s="1670"/>
      <c r="B66" s="1684"/>
      <c r="C66" s="1671"/>
      <c r="D66" s="1862"/>
      <c r="E66" s="1557">
        <f t="shared" si="2"/>
        <v>0</v>
      </c>
      <c r="F66" s="1810">
        <f t="shared" si="3"/>
        <v>0</v>
      </c>
      <c r="G66" s="1811">
        <f t="shared" si="4"/>
        <v>0</v>
      </c>
    </row>
    <row r="67" spans="1:7" x14ac:dyDescent="0.25">
      <c r="A67" s="1670"/>
      <c r="B67" s="1684"/>
      <c r="C67" s="1671"/>
      <c r="D67" s="1862"/>
      <c r="E67" s="1557">
        <f t="shared" si="2"/>
        <v>0</v>
      </c>
      <c r="F67" s="1810">
        <f t="shared" si="3"/>
        <v>0</v>
      </c>
      <c r="G67" s="1811">
        <f t="shared" si="4"/>
        <v>0</v>
      </c>
    </row>
    <row r="68" spans="1:7" x14ac:dyDescent="0.25">
      <c r="A68" s="1670"/>
      <c r="B68" s="1684"/>
      <c r="C68" s="1671"/>
      <c r="D68" s="1862"/>
      <c r="E68" s="1557">
        <f t="shared" si="2"/>
        <v>0</v>
      </c>
      <c r="F68" s="1810">
        <f t="shared" si="3"/>
        <v>0</v>
      </c>
      <c r="G68" s="1811">
        <f t="shared" si="4"/>
        <v>0</v>
      </c>
    </row>
    <row r="69" spans="1:7" x14ac:dyDescent="0.25">
      <c r="A69" s="1670"/>
      <c r="B69" s="1684"/>
      <c r="C69" s="1671"/>
      <c r="D69" s="1862"/>
      <c r="E69" s="1557">
        <f t="shared" si="2"/>
        <v>0</v>
      </c>
      <c r="F69" s="1810">
        <f t="shared" si="3"/>
        <v>0</v>
      </c>
      <c r="G69" s="1811">
        <f t="shared" si="4"/>
        <v>0</v>
      </c>
    </row>
    <row r="70" spans="1:7" x14ac:dyDescent="0.25">
      <c r="A70" s="1670"/>
      <c r="B70" s="1684"/>
      <c r="C70" s="1671"/>
      <c r="D70" s="1862"/>
      <c r="E70" s="1557">
        <f t="shared" si="2"/>
        <v>0</v>
      </c>
      <c r="F70" s="1810">
        <f t="shared" si="3"/>
        <v>0</v>
      </c>
      <c r="G70" s="1811">
        <f t="shared" si="4"/>
        <v>0</v>
      </c>
    </row>
    <row r="71" spans="1:7" x14ac:dyDescent="0.25">
      <c r="A71" s="1670"/>
      <c r="B71" s="1684"/>
      <c r="C71" s="1671"/>
      <c r="D71" s="1862"/>
      <c r="E71" s="1557">
        <f t="shared" si="2"/>
        <v>0</v>
      </c>
      <c r="F71" s="1810">
        <f t="shared" si="3"/>
        <v>0</v>
      </c>
      <c r="G71" s="1811">
        <f t="shared" si="4"/>
        <v>0</v>
      </c>
    </row>
    <row r="72" spans="1:7" x14ac:dyDescent="0.25">
      <c r="A72" s="1670"/>
      <c r="B72" s="1684"/>
      <c r="C72" s="1671"/>
      <c r="D72" s="1862"/>
      <c r="E72" s="1557">
        <f t="shared" si="2"/>
        <v>0</v>
      </c>
      <c r="F72" s="1810">
        <f t="shared" si="3"/>
        <v>0</v>
      </c>
      <c r="G72" s="1811">
        <f t="shared" si="4"/>
        <v>0</v>
      </c>
    </row>
    <row r="73" spans="1:7"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x14ac:dyDescent="0.25">
      <c r="A74" s="1670"/>
      <c r="B74" s="1684"/>
      <c r="C74" s="1671"/>
      <c r="D74" s="1862"/>
      <c r="E74" s="1557">
        <f t="shared" si="5"/>
        <v>0</v>
      </c>
      <c r="F74" s="1810">
        <f t="shared" si="6"/>
        <v>0</v>
      </c>
      <c r="G74" s="1811">
        <f t="shared" si="7"/>
        <v>0</v>
      </c>
    </row>
    <row r="75" spans="1:7" x14ac:dyDescent="0.25">
      <c r="A75" s="1670"/>
      <c r="B75" s="1684"/>
      <c r="C75" s="1671"/>
      <c r="D75" s="1862"/>
      <c r="E75" s="1557">
        <f t="shared" si="5"/>
        <v>0</v>
      </c>
      <c r="F75" s="1810">
        <f t="shared" si="6"/>
        <v>0</v>
      </c>
      <c r="G75" s="1811">
        <f t="shared" si="7"/>
        <v>0</v>
      </c>
    </row>
    <row r="76" spans="1:7" x14ac:dyDescent="0.25">
      <c r="A76" s="1670"/>
      <c r="B76" s="1684"/>
      <c r="C76" s="1671"/>
      <c r="D76" s="1862"/>
      <c r="E76" s="1557">
        <f t="shared" si="5"/>
        <v>0</v>
      </c>
      <c r="F76" s="1810">
        <f t="shared" si="6"/>
        <v>0</v>
      </c>
      <c r="G76" s="1811">
        <f t="shared" si="7"/>
        <v>0</v>
      </c>
    </row>
    <row r="77" spans="1:7" x14ac:dyDescent="0.25">
      <c r="A77" s="1670"/>
      <c r="B77" s="1684"/>
      <c r="C77" s="1671"/>
      <c r="D77" s="1862"/>
      <c r="E77" s="1557">
        <f t="shared" si="5"/>
        <v>0</v>
      </c>
      <c r="F77" s="1810">
        <f t="shared" si="6"/>
        <v>0</v>
      </c>
      <c r="G77" s="1811">
        <f t="shared" si="7"/>
        <v>0</v>
      </c>
    </row>
    <row r="78" spans="1:7" x14ac:dyDescent="0.25">
      <c r="A78" s="1670"/>
      <c r="B78" s="1684"/>
      <c r="C78" s="1671"/>
      <c r="D78" s="1862"/>
      <c r="E78" s="1557">
        <f t="shared" si="5"/>
        <v>0</v>
      </c>
      <c r="F78" s="1810">
        <f t="shared" si="6"/>
        <v>0</v>
      </c>
      <c r="G78" s="1811">
        <f t="shared" si="7"/>
        <v>0</v>
      </c>
    </row>
    <row r="79" spans="1:7" x14ac:dyDescent="0.25">
      <c r="A79" s="1670"/>
      <c r="B79" s="1684"/>
      <c r="C79" s="1671"/>
      <c r="D79" s="1862"/>
      <c r="E79" s="1557">
        <f t="shared" si="5"/>
        <v>0</v>
      </c>
      <c r="F79" s="1810">
        <f t="shared" si="6"/>
        <v>0</v>
      </c>
      <c r="G79" s="1811">
        <f t="shared" si="7"/>
        <v>0</v>
      </c>
    </row>
    <row r="80" spans="1:7" x14ac:dyDescent="0.25">
      <c r="A80" s="1670"/>
      <c r="B80" s="1684"/>
      <c r="C80" s="1671"/>
      <c r="D80" s="1862"/>
      <c r="E80" s="1557">
        <f t="shared" si="5"/>
        <v>0</v>
      </c>
      <c r="F80" s="1810">
        <f t="shared" si="6"/>
        <v>0</v>
      </c>
      <c r="G80" s="1811">
        <f t="shared" si="7"/>
        <v>0</v>
      </c>
    </row>
    <row r="81" spans="1:7" x14ac:dyDescent="0.25">
      <c r="A81" s="1670"/>
      <c r="B81" s="1684"/>
      <c r="C81" s="1671"/>
      <c r="D81" s="1862"/>
      <c r="E81" s="1557">
        <f t="shared" si="5"/>
        <v>0</v>
      </c>
      <c r="F81" s="1810">
        <f t="shared" si="6"/>
        <v>0</v>
      </c>
      <c r="G81" s="1811">
        <f t="shared" si="7"/>
        <v>0</v>
      </c>
    </row>
    <row r="82" spans="1:7" x14ac:dyDescent="0.25">
      <c r="A82" s="1670"/>
      <c r="B82" s="1684"/>
      <c r="C82" s="1671"/>
      <c r="D82" s="1862"/>
      <c r="E82" s="1557">
        <f t="shared" si="5"/>
        <v>0</v>
      </c>
      <c r="F82" s="1810">
        <f t="shared" si="6"/>
        <v>0</v>
      </c>
      <c r="G82" s="1811">
        <f t="shared" si="7"/>
        <v>0</v>
      </c>
    </row>
    <row r="83" spans="1:7" x14ac:dyDescent="0.25">
      <c r="A83" s="1670"/>
      <c r="B83" s="1684"/>
      <c r="C83" s="1671"/>
      <c r="D83" s="1862"/>
      <c r="E83" s="1557">
        <f t="shared" si="5"/>
        <v>0</v>
      </c>
      <c r="F83" s="1810">
        <f t="shared" si="6"/>
        <v>0</v>
      </c>
      <c r="G83" s="1811">
        <f t="shared" si="7"/>
        <v>0</v>
      </c>
    </row>
    <row r="84" spans="1:7" x14ac:dyDescent="0.25">
      <c r="A84" s="1670"/>
      <c r="B84" s="1684"/>
      <c r="C84" s="1671"/>
      <c r="D84" s="1862"/>
      <c r="E84" s="1557">
        <f t="shared" si="5"/>
        <v>0</v>
      </c>
      <c r="F84" s="1810">
        <f t="shared" si="6"/>
        <v>0</v>
      </c>
      <c r="G84" s="1811">
        <f t="shared" si="7"/>
        <v>0</v>
      </c>
    </row>
    <row r="85" spans="1:7" x14ac:dyDescent="0.25">
      <c r="A85" s="1670"/>
      <c r="B85" s="1684"/>
      <c r="C85" s="1671"/>
      <c r="D85" s="1862"/>
      <c r="E85" s="1557">
        <f t="shared" si="2"/>
        <v>0</v>
      </c>
      <c r="F85" s="1810">
        <f t="shared" si="3"/>
        <v>0</v>
      </c>
      <c r="G85" s="1811">
        <f t="shared" si="4"/>
        <v>0</v>
      </c>
    </row>
    <row r="86" spans="1:7" x14ac:dyDescent="0.25">
      <c r="A86" s="1670"/>
      <c r="B86" s="1684"/>
      <c r="C86" s="1671"/>
      <c r="D86" s="1862"/>
      <c r="E86" s="1557">
        <f t="shared" si="2"/>
        <v>0</v>
      </c>
      <c r="F86" s="1810">
        <f t="shared" si="3"/>
        <v>0</v>
      </c>
      <c r="G86" s="1811">
        <f t="shared" si="4"/>
        <v>0</v>
      </c>
    </row>
    <row r="87" spans="1:7" x14ac:dyDescent="0.25">
      <c r="A87" s="1670"/>
      <c r="B87" s="1684"/>
      <c r="C87" s="1671"/>
      <c r="D87" s="1862"/>
      <c r="E87" s="1557">
        <f t="shared" si="2"/>
        <v>0</v>
      </c>
      <c r="F87" s="1810">
        <f t="shared" si="3"/>
        <v>0</v>
      </c>
      <c r="G87" s="1811">
        <f t="shared" si="4"/>
        <v>0</v>
      </c>
    </row>
    <row r="88" spans="1:7" x14ac:dyDescent="0.25">
      <c r="A88" s="1670"/>
      <c r="B88" s="1684"/>
      <c r="C88" s="1671"/>
      <c r="D88" s="1862"/>
      <c r="E88" s="1557">
        <f t="shared" si="2"/>
        <v>0</v>
      </c>
      <c r="F88" s="1810">
        <f t="shared" si="3"/>
        <v>0</v>
      </c>
      <c r="G88" s="1811">
        <f t="shared" si="4"/>
        <v>0</v>
      </c>
    </row>
    <row r="89" spans="1:7" x14ac:dyDescent="0.25">
      <c r="A89" s="1670"/>
      <c r="B89" s="1684"/>
      <c r="C89" s="1671"/>
      <c r="D89" s="1862"/>
      <c r="E89" s="1557">
        <f t="shared" si="2"/>
        <v>0</v>
      </c>
      <c r="F89" s="1810">
        <f t="shared" si="3"/>
        <v>0</v>
      </c>
      <c r="G89" s="1811">
        <f t="shared" si="4"/>
        <v>0</v>
      </c>
    </row>
    <row r="90" spans="1:7" x14ac:dyDescent="0.25">
      <c r="A90" s="1670"/>
      <c r="B90" s="1684"/>
      <c r="C90" s="1671"/>
      <c r="D90" s="1862"/>
      <c r="E90" s="1557">
        <f t="shared" si="2"/>
        <v>0</v>
      </c>
      <c r="F90" s="1810">
        <f t="shared" si="3"/>
        <v>0</v>
      </c>
      <c r="G90" s="1811">
        <f t="shared" si="4"/>
        <v>0</v>
      </c>
    </row>
    <row r="91" spans="1:7" x14ac:dyDescent="0.25">
      <c r="A91" s="1670"/>
      <c r="B91" s="1684"/>
      <c r="C91" s="1671"/>
      <c r="D91" s="1862"/>
      <c r="E91" s="1557">
        <f t="shared" si="2"/>
        <v>0</v>
      </c>
      <c r="F91" s="1810">
        <f t="shared" si="3"/>
        <v>0</v>
      </c>
      <c r="G91" s="1811">
        <f t="shared" si="4"/>
        <v>0</v>
      </c>
    </row>
    <row r="92" spans="1:7" x14ac:dyDescent="0.25">
      <c r="A92" s="1670"/>
      <c r="B92" s="1684"/>
      <c r="C92" s="1671"/>
      <c r="D92" s="1862"/>
      <c r="E92" s="1557">
        <f t="shared" si="2"/>
        <v>0</v>
      </c>
      <c r="F92" s="1810">
        <f t="shared" si="3"/>
        <v>0</v>
      </c>
      <c r="G92" s="1811">
        <f t="shared" si="4"/>
        <v>0</v>
      </c>
    </row>
    <row r="93" spans="1:7"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x14ac:dyDescent="0.25">
      <c r="A94" s="1670"/>
      <c r="B94" s="1684"/>
      <c r="C94" s="1671"/>
      <c r="D94" s="1862"/>
      <c r="E94" s="1557">
        <f t="shared" si="2"/>
        <v>0</v>
      </c>
      <c r="F94" s="1810">
        <f t="shared" si="3"/>
        <v>0</v>
      </c>
      <c r="G94" s="1811">
        <f t="shared" si="4"/>
        <v>0</v>
      </c>
    </row>
    <row r="95" spans="1:7"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x14ac:dyDescent="0.25">
      <c r="A96" s="1670"/>
      <c r="B96" s="1684"/>
      <c r="C96" s="1671"/>
      <c r="D96" s="1862"/>
      <c r="E96" s="1557">
        <f t="shared" si="11"/>
        <v>0</v>
      </c>
      <c r="F96" s="1810">
        <f t="shared" si="12"/>
        <v>0</v>
      </c>
      <c r="G96" s="1811">
        <f t="shared" si="13"/>
        <v>0</v>
      </c>
    </row>
    <row r="97" spans="1:7" x14ac:dyDescent="0.25">
      <c r="A97" s="1670"/>
      <c r="B97" s="1684"/>
      <c r="C97" s="1671"/>
      <c r="D97" s="1862"/>
      <c r="E97" s="1557">
        <f t="shared" si="11"/>
        <v>0</v>
      </c>
      <c r="F97" s="1810">
        <f t="shared" si="12"/>
        <v>0</v>
      </c>
      <c r="G97" s="1811">
        <f t="shared" si="13"/>
        <v>0</v>
      </c>
    </row>
    <row r="98" spans="1:7" x14ac:dyDescent="0.25">
      <c r="A98" s="1670"/>
      <c r="B98" s="1684"/>
      <c r="C98" s="1671"/>
      <c r="D98" s="1862"/>
      <c r="E98" s="1557">
        <f t="shared" si="11"/>
        <v>0</v>
      </c>
      <c r="F98" s="1810">
        <f t="shared" si="12"/>
        <v>0</v>
      </c>
      <c r="G98" s="1811">
        <f t="shared" si="13"/>
        <v>0</v>
      </c>
    </row>
    <row r="99" spans="1:7"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x14ac:dyDescent="0.25">
      <c r="A101" s="1670"/>
      <c r="B101" s="1684"/>
      <c r="C101" s="1671"/>
      <c r="D101" s="1862"/>
      <c r="E101" s="1557">
        <f t="shared" si="17"/>
        <v>0</v>
      </c>
      <c r="F101" s="1810">
        <f t="shared" si="18"/>
        <v>0</v>
      </c>
      <c r="G101" s="1811">
        <f t="shared" si="19"/>
        <v>0</v>
      </c>
    </row>
    <row r="102" spans="1:7" x14ac:dyDescent="0.25">
      <c r="A102" s="1670"/>
      <c r="B102" s="1684"/>
      <c r="C102" s="1671"/>
      <c r="D102" s="1862"/>
      <c r="E102" s="1557">
        <f t="shared" si="17"/>
        <v>0</v>
      </c>
      <c r="F102" s="1810">
        <f t="shared" si="18"/>
        <v>0</v>
      </c>
      <c r="G102" s="1811">
        <f t="shared" si="19"/>
        <v>0</v>
      </c>
    </row>
    <row r="103" spans="1:7" x14ac:dyDescent="0.25">
      <c r="A103" s="1670"/>
      <c r="B103" s="1684"/>
      <c r="C103" s="1671"/>
      <c r="D103" s="1862"/>
      <c r="E103" s="1557">
        <f t="shared" si="17"/>
        <v>0</v>
      </c>
      <c r="F103" s="1810">
        <f t="shared" si="18"/>
        <v>0</v>
      </c>
      <c r="G103" s="1811">
        <f t="shared" si="19"/>
        <v>0</v>
      </c>
    </row>
    <row r="104" spans="1:7" x14ac:dyDescent="0.25">
      <c r="A104" s="1670"/>
      <c r="B104" s="1684"/>
      <c r="C104" s="1671"/>
      <c r="D104" s="1862"/>
      <c r="E104" s="1557">
        <f t="shared" si="17"/>
        <v>0</v>
      </c>
      <c r="F104" s="1810">
        <f t="shared" si="18"/>
        <v>0</v>
      </c>
      <c r="G104" s="1811">
        <f t="shared" si="19"/>
        <v>0</v>
      </c>
    </row>
    <row r="105" spans="1:7" x14ac:dyDescent="0.25">
      <c r="A105" s="1670"/>
      <c r="B105" s="1684"/>
      <c r="C105" s="1671"/>
      <c r="D105" s="1862"/>
      <c r="E105" s="1557">
        <f t="shared" si="17"/>
        <v>0</v>
      </c>
      <c r="F105" s="1810">
        <f t="shared" si="18"/>
        <v>0</v>
      </c>
      <c r="G105" s="1811">
        <f t="shared" si="19"/>
        <v>0</v>
      </c>
    </row>
    <row r="106" spans="1:7" x14ac:dyDescent="0.25">
      <c r="A106" s="1670"/>
      <c r="B106" s="1684"/>
      <c r="C106" s="1671"/>
      <c r="D106" s="1862"/>
      <c r="E106" s="1557">
        <f t="shared" si="17"/>
        <v>0</v>
      </c>
      <c r="F106" s="1810">
        <f t="shared" si="18"/>
        <v>0</v>
      </c>
      <c r="G106" s="1811">
        <f t="shared" si="19"/>
        <v>0</v>
      </c>
    </row>
    <row r="107" spans="1:7" x14ac:dyDescent="0.25">
      <c r="A107" s="1670"/>
      <c r="B107" s="1684"/>
      <c r="C107" s="1671"/>
      <c r="D107" s="1862"/>
      <c r="E107" s="1557">
        <f t="shared" si="17"/>
        <v>0</v>
      </c>
      <c r="F107" s="1810">
        <f t="shared" si="18"/>
        <v>0</v>
      </c>
      <c r="G107" s="1811">
        <f t="shared" si="19"/>
        <v>0</v>
      </c>
    </row>
    <row r="108" spans="1:7" x14ac:dyDescent="0.25">
      <c r="A108" s="1670"/>
      <c r="B108" s="1684"/>
      <c r="C108" s="1671"/>
      <c r="D108" s="1862"/>
      <c r="E108" s="1557">
        <f t="shared" si="17"/>
        <v>0</v>
      </c>
      <c r="F108" s="1810">
        <f t="shared" si="18"/>
        <v>0</v>
      </c>
      <c r="G108" s="1811">
        <f t="shared" si="19"/>
        <v>0</v>
      </c>
    </row>
    <row r="109" spans="1:7" x14ac:dyDescent="0.25">
      <c r="A109" s="1670"/>
      <c r="B109" s="1684"/>
      <c r="C109" s="1671"/>
      <c r="D109" s="1862"/>
      <c r="E109" s="1557">
        <f t="shared" si="17"/>
        <v>0</v>
      </c>
      <c r="F109" s="1810">
        <f t="shared" si="18"/>
        <v>0</v>
      </c>
      <c r="G109" s="1811">
        <f t="shared" si="19"/>
        <v>0</v>
      </c>
    </row>
    <row r="110" spans="1:7" x14ac:dyDescent="0.25">
      <c r="A110" s="1670"/>
      <c r="B110" s="1684"/>
      <c r="C110" s="1671"/>
      <c r="D110" s="1862"/>
      <c r="E110" s="1557">
        <f t="shared" si="17"/>
        <v>0</v>
      </c>
      <c r="F110" s="1810">
        <f t="shared" si="18"/>
        <v>0</v>
      </c>
      <c r="G110" s="1811">
        <f t="shared" si="19"/>
        <v>0</v>
      </c>
    </row>
    <row r="111" spans="1:7" x14ac:dyDescent="0.25">
      <c r="A111" s="1670"/>
      <c r="B111" s="1684"/>
      <c r="C111" s="1671"/>
      <c r="D111" s="1862"/>
      <c r="E111" s="1557">
        <f t="shared" si="17"/>
        <v>0</v>
      </c>
      <c r="F111" s="1810">
        <f t="shared" si="18"/>
        <v>0</v>
      </c>
      <c r="G111" s="1811">
        <f t="shared" si="19"/>
        <v>0</v>
      </c>
    </row>
    <row r="112" spans="1:7" x14ac:dyDescent="0.25">
      <c r="A112" s="1670"/>
      <c r="B112" s="1684"/>
      <c r="C112" s="1671"/>
      <c r="D112" s="1862"/>
      <c r="E112" s="1557">
        <f t="shared" si="17"/>
        <v>0</v>
      </c>
      <c r="F112" s="1810">
        <f t="shared" si="18"/>
        <v>0</v>
      </c>
      <c r="G112" s="1811">
        <f t="shared" si="19"/>
        <v>0</v>
      </c>
    </row>
    <row r="113" spans="1:7"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x14ac:dyDescent="0.25">
      <c r="A114" s="1670"/>
      <c r="B114" s="1684"/>
      <c r="C114" s="1671"/>
      <c r="D114" s="1862"/>
      <c r="E114" s="1557">
        <f t="shared" si="20"/>
        <v>0</v>
      </c>
      <c r="F114" s="1810">
        <f t="shared" si="21"/>
        <v>0</v>
      </c>
      <c r="G114" s="1811">
        <f t="shared" si="22"/>
        <v>0</v>
      </c>
    </row>
    <row r="115" spans="1:7" x14ac:dyDescent="0.25">
      <c r="A115" s="1670"/>
      <c r="B115" s="1684"/>
      <c r="C115" s="1671"/>
      <c r="D115" s="1862"/>
      <c r="E115" s="1557">
        <f t="shared" si="20"/>
        <v>0</v>
      </c>
      <c r="F115" s="1810">
        <f t="shared" si="21"/>
        <v>0</v>
      </c>
      <c r="G115" s="1811">
        <f t="shared" si="22"/>
        <v>0</v>
      </c>
    </row>
    <row r="116" spans="1:7" x14ac:dyDescent="0.25">
      <c r="A116" s="1670"/>
      <c r="B116" s="1684"/>
      <c r="C116" s="1671"/>
      <c r="D116" s="1862"/>
      <c r="E116" s="1557">
        <f t="shared" si="20"/>
        <v>0</v>
      </c>
      <c r="F116" s="1810">
        <f t="shared" si="21"/>
        <v>0</v>
      </c>
      <c r="G116" s="1811">
        <f t="shared" si="22"/>
        <v>0</v>
      </c>
    </row>
    <row r="117" spans="1:7" x14ac:dyDescent="0.25">
      <c r="A117" s="1670"/>
      <c r="B117" s="1684"/>
      <c r="C117" s="1671"/>
      <c r="D117" s="1862"/>
      <c r="E117" s="1557">
        <f t="shared" si="20"/>
        <v>0</v>
      </c>
      <c r="F117" s="1810">
        <f t="shared" si="21"/>
        <v>0</v>
      </c>
      <c r="G117" s="1811">
        <f t="shared" si="22"/>
        <v>0</v>
      </c>
    </row>
    <row r="118" spans="1:7" x14ac:dyDescent="0.25">
      <c r="A118" s="1670"/>
      <c r="B118" s="1684"/>
      <c r="C118" s="1671"/>
      <c r="D118" s="1862"/>
      <c r="E118" s="1557">
        <f t="shared" si="20"/>
        <v>0</v>
      </c>
      <c r="F118" s="1810">
        <f t="shared" si="21"/>
        <v>0</v>
      </c>
      <c r="G118" s="1811">
        <f t="shared" si="22"/>
        <v>0</v>
      </c>
    </row>
    <row r="119" spans="1:7" x14ac:dyDescent="0.25">
      <c r="A119" s="1670"/>
      <c r="B119" s="1684"/>
      <c r="C119" s="1671"/>
      <c r="D119" s="1862"/>
      <c r="E119" s="1557">
        <f t="shared" si="20"/>
        <v>0</v>
      </c>
      <c r="F119" s="1810">
        <f t="shared" si="21"/>
        <v>0</v>
      </c>
      <c r="G119" s="1811">
        <f t="shared" si="22"/>
        <v>0</v>
      </c>
    </row>
    <row r="120" spans="1:7" x14ac:dyDescent="0.25">
      <c r="A120" s="1670"/>
      <c r="B120" s="1684"/>
      <c r="C120" s="1671"/>
      <c r="D120" s="1862"/>
      <c r="E120" s="1557">
        <f t="shared" si="20"/>
        <v>0</v>
      </c>
      <c r="F120" s="1810">
        <f t="shared" si="21"/>
        <v>0</v>
      </c>
      <c r="G120" s="1811">
        <f t="shared" si="22"/>
        <v>0</v>
      </c>
    </row>
    <row r="121" spans="1:7" x14ac:dyDescent="0.25">
      <c r="A121" s="1670"/>
      <c r="B121" s="1684"/>
      <c r="C121" s="1671"/>
      <c r="D121" s="1862"/>
      <c r="E121" s="1557">
        <f t="shared" si="20"/>
        <v>0</v>
      </c>
      <c r="F121" s="1810">
        <f t="shared" si="21"/>
        <v>0</v>
      </c>
      <c r="G121" s="1811">
        <f t="shared" si="22"/>
        <v>0</v>
      </c>
    </row>
    <row r="122" spans="1:7" x14ac:dyDescent="0.25">
      <c r="A122" s="1670"/>
      <c r="B122" s="1684"/>
      <c r="C122" s="1671"/>
      <c r="D122" s="1862"/>
      <c r="E122" s="1557">
        <f t="shared" si="20"/>
        <v>0</v>
      </c>
      <c r="F122" s="1810">
        <f t="shared" si="21"/>
        <v>0</v>
      </c>
      <c r="G122" s="1811">
        <f t="shared" si="22"/>
        <v>0</v>
      </c>
    </row>
    <row r="123" spans="1:7" x14ac:dyDescent="0.25">
      <c r="A123" s="1670"/>
      <c r="B123" s="1684"/>
      <c r="C123" s="1671"/>
      <c r="D123" s="1862"/>
      <c r="E123" s="1557">
        <f t="shared" si="20"/>
        <v>0</v>
      </c>
      <c r="F123" s="1810">
        <f t="shared" si="21"/>
        <v>0</v>
      </c>
      <c r="G123" s="1811">
        <f t="shared" si="22"/>
        <v>0</v>
      </c>
    </row>
    <row r="124" spans="1:7" x14ac:dyDescent="0.25">
      <c r="A124" s="1670"/>
      <c r="B124" s="1684"/>
      <c r="C124" s="1671"/>
      <c r="D124" s="1862"/>
      <c r="E124" s="1557">
        <f t="shared" si="20"/>
        <v>0</v>
      </c>
      <c r="F124" s="1810">
        <f t="shared" si="21"/>
        <v>0</v>
      </c>
      <c r="G124" s="1811">
        <f t="shared" si="22"/>
        <v>0</v>
      </c>
    </row>
    <row r="125" spans="1:7" x14ac:dyDescent="0.25">
      <c r="A125" s="1670"/>
      <c r="B125" s="1684"/>
      <c r="C125" s="1671"/>
      <c r="D125" s="1862"/>
      <c r="E125" s="1557">
        <f t="shared" si="20"/>
        <v>0</v>
      </c>
      <c r="F125" s="1810">
        <f t="shared" si="21"/>
        <v>0</v>
      </c>
      <c r="G125" s="1811">
        <f t="shared" si="22"/>
        <v>0</v>
      </c>
    </row>
    <row r="126" spans="1:7"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x14ac:dyDescent="0.25">
      <c r="A127" s="1670"/>
      <c r="B127" s="1684"/>
      <c r="C127" s="1671"/>
      <c r="D127" s="1862"/>
      <c r="E127" s="1557">
        <f t="shared" si="23"/>
        <v>0</v>
      </c>
      <c r="F127" s="1810">
        <f t="shared" si="24"/>
        <v>0</v>
      </c>
      <c r="G127" s="1811">
        <f t="shared" si="25"/>
        <v>0</v>
      </c>
    </row>
    <row r="128" spans="1:7" x14ac:dyDescent="0.25">
      <c r="A128" s="1670"/>
      <c r="B128" s="1684"/>
      <c r="C128" s="1671"/>
      <c r="D128" s="1862"/>
      <c r="E128" s="1557">
        <f t="shared" si="23"/>
        <v>0</v>
      </c>
      <c r="F128" s="1810">
        <f t="shared" si="24"/>
        <v>0</v>
      </c>
      <c r="G128" s="1811">
        <f t="shared" si="25"/>
        <v>0</v>
      </c>
    </row>
    <row r="129" spans="1:7" x14ac:dyDescent="0.25">
      <c r="A129" s="1670"/>
      <c r="B129" s="1684"/>
      <c r="C129" s="1671"/>
      <c r="D129" s="1862"/>
      <c r="E129" s="1557">
        <f t="shared" si="23"/>
        <v>0</v>
      </c>
      <c r="F129" s="1810">
        <f t="shared" si="24"/>
        <v>0</v>
      </c>
      <c r="G129" s="1811">
        <f t="shared" si="25"/>
        <v>0</v>
      </c>
    </row>
    <row r="130" spans="1:7" x14ac:dyDescent="0.25">
      <c r="A130" s="1670"/>
      <c r="B130" s="1684"/>
      <c r="C130" s="1671"/>
      <c r="D130" s="1862"/>
      <c r="E130" s="1557">
        <f t="shared" si="23"/>
        <v>0</v>
      </c>
      <c r="F130" s="1810">
        <f t="shared" si="24"/>
        <v>0</v>
      </c>
      <c r="G130" s="1811">
        <f t="shared" si="25"/>
        <v>0</v>
      </c>
    </row>
    <row r="131" spans="1:7" x14ac:dyDescent="0.25">
      <c r="A131" s="1670"/>
      <c r="B131" s="1855"/>
      <c r="C131" s="1671"/>
      <c r="D131" s="1862"/>
      <c r="E131" s="1557">
        <f t="shared" si="23"/>
        <v>0</v>
      </c>
      <c r="F131" s="1810">
        <f t="shared" si="24"/>
        <v>0</v>
      </c>
      <c r="G131" s="1811">
        <f t="shared" si="25"/>
        <v>0</v>
      </c>
    </row>
    <row r="132" spans="1:7" x14ac:dyDescent="0.25">
      <c r="A132" s="1670"/>
      <c r="B132" s="1855"/>
      <c r="C132" s="1671"/>
      <c r="D132" s="1862"/>
      <c r="E132" s="1557">
        <f t="shared" si="23"/>
        <v>0</v>
      </c>
      <c r="F132" s="1810">
        <f t="shared" si="24"/>
        <v>0</v>
      </c>
      <c r="G132" s="1811">
        <f t="shared" si="25"/>
        <v>0</v>
      </c>
    </row>
    <row r="133" spans="1:7" x14ac:dyDescent="0.25">
      <c r="A133" s="1670"/>
      <c r="B133" s="1684"/>
      <c r="C133" s="1671"/>
      <c r="D133" s="1862"/>
      <c r="E133" s="1557">
        <f t="shared" si="23"/>
        <v>0</v>
      </c>
      <c r="F133" s="1810">
        <f t="shared" si="24"/>
        <v>0</v>
      </c>
      <c r="G133" s="1811">
        <f t="shared" si="25"/>
        <v>0</v>
      </c>
    </row>
    <row r="134" spans="1:7" x14ac:dyDescent="0.25">
      <c r="A134" s="1670"/>
      <c r="B134" s="1684"/>
      <c r="C134" s="1671"/>
      <c r="D134" s="1862"/>
      <c r="E134" s="1557">
        <f t="shared" si="23"/>
        <v>0</v>
      </c>
      <c r="F134" s="1810">
        <f t="shared" si="24"/>
        <v>0</v>
      </c>
      <c r="G134" s="1811">
        <f t="shared" si="25"/>
        <v>0</v>
      </c>
    </row>
    <row r="135" spans="1:7"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x14ac:dyDescent="0.25">
      <c r="A136" s="1670"/>
      <c r="B136" s="1684"/>
      <c r="C136" s="1671"/>
      <c r="D136" s="1862"/>
      <c r="E136" s="1557">
        <f t="shared" si="26"/>
        <v>0</v>
      </c>
      <c r="F136" s="1810">
        <f t="shared" si="27"/>
        <v>0</v>
      </c>
      <c r="G136" s="1811">
        <f t="shared" si="28"/>
        <v>0</v>
      </c>
    </row>
    <row r="137" spans="1:7" x14ac:dyDescent="0.25">
      <c r="A137" s="1670"/>
      <c r="B137" s="1684"/>
      <c r="C137" s="1671"/>
      <c r="D137" s="1862"/>
      <c r="E137" s="1557">
        <f t="shared" si="26"/>
        <v>0</v>
      </c>
      <c r="F137" s="1810">
        <f t="shared" si="27"/>
        <v>0</v>
      </c>
      <c r="G137" s="1811">
        <f t="shared" si="28"/>
        <v>0</v>
      </c>
    </row>
    <row r="138" spans="1:7" x14ac:dyDescent="0.25">
      <c r="A138" s="1670"/>
      <c r="B138" s="1684"/>
      <c r="C138" s="1671"/>
      <c r="D138" s="1862"/>
      <c r="E138" s="1557">
        <f t="shared" si="26"/>
        <v>0</v>
      </c>
      <c r="F138" s="1810">
        <f t="shared" si="27"/>
        <v>0</v>
      </c>
      <c r="G138" s="1811">
        <f t="shared" si="28"/>
        <v>0</v>
      </c>
    </row>
    <row r="139" spans="1:7" x14ac:dyDescent="0.25">
      <c r="A139" s="1670"/>
      <c r="B139" s="1684"/>
      <c r="C139" s="1671"/>
      <c r="D139" s="1862"/>
      <c r="E139" s="1557">
        <f t="shared" si="26"/>
        <v>0</v>
      </c>
      <c r="F139" s="1810">
        <f t="shared" si="27"/>
        <v>0</v>
      </c>
      <c r="G139" s="1811">
        <f t="shared" si="28"/>
        <v>0</v>
      </c>
    </row>
    <row r="140" spans="1:7"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4168525</v>
      </c>
      <c r="E141" s="1558">
        <f t="shared" si="1"/>
        <v>25000</v>
      </c>
      <c r="F141" s="1812">
        <f>SUM(F17:F140)</f>
        <v>175000</v>
      </c>
      <c r="G141" s="1813">
        <f>SUM(G17:G140)</f>
        <v>3993525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9"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576" t="s">
        <v>1778</v>
      </c>
      <c r="B5" s="2577"/>
      <c r="C5" s="2577"/>
      <c r="D5" s="2577"/>
      <c r="E5" s="2577"/>
      <c r="F5" s="2577"/>
      <c r="G5" s="2578"/>
      <c r="H5" s="252"/>
      <c r="I5" s="610"/>
    </row>
    <row r="6" spans="1:9" s="669" customFormat="1" x14ac:dyDescent="0.2">
      <c r="A6" s="1654" t="s">
        <v>214</v>
      </c>
      <c r="B6" s="966"/>
      <c r="C6" s="966"/>
      <c r="D6" s="967"/>
      <c r="E6" s="967"/>
      <c r="F6" s="968"/>
      <c r="G6" s="969"/>
      <c r="H6" s="162"/>
      <c r="I6" s="162"/>
    </row>
    <row r="7" spans="1:9" s="669" customFormat="1" ht="12" customHeight="1" x14ac:dyDescent="0.2">
      <c r="A7" s="970" t="s">
        <v>964</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2073</v>
      </c>
      <c r="B10" s="971"/>
      <c r="C10" s="976"/>
      <c r="D10" s="972"/>
      <c r="E10" s="973">
        <v>547803</v>
      </c>
      <c r="F10" s="974"/>
      <c r="G10" s="975"/>
      <c r="H10" s="162"/>
      <c r="I10" s="162"/>
    </row>
    <row r="11" spans="1:9" s="669" customFormat="1" ht="22.5" customHeight="1" x14ac:dyDescent="0.2">
      <c r="A11" s="2581" t="s">
        <v>1942</v>
      </c>
      <c r="B11" s="2582"/>
      <c r="C11" s="2582"/>
      <c r="D11" s="2583"/>
      <c r="E11" s="977">
        <v>61977</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389</v>
      </c>
      <c r="B15" s="967"/>
      <c r="C15" s="967"/>
      <c r="D15" s="967"/>
      <c r="E15" s="967"/>
      <c r="F15" s="967"/>
      <c r="G15" s="981"/>
      <c r="H15" s="162"/>
      <c r="I15" s="162"/>
    </row>
    <row r="16" spans="1:9" s="669" customFormat="1" x14ac:dyDescent="0.2">
      <c r="A16" s="982" t="s">
        <v>1443</v>
      </c>
      <c r="B16" s="983"/>
      <c r="C16" s="984"/>
      <c r="D16" s="963"/>
      <c r="E16" s="958"/>
      <c r="F16" s="958"/>
      <c r="G16" s="959"/>
      <c r="H16" s="162"/>
      <c r="I16" s="162"/>
    </row>
    <row r="17" spans="1:9" s="669"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9" customFormat="1" ht="12" customHeight="1" x14ac:dyDescent="0.2">
      <c r="A19" s="990" t="s">
        <v>476</v>
      </c>
      <c r="B19" s="991"/>
      <c r="C19" s="992" t="s">
        <v>591</v>
      </c>
      <c r="D19" s="1817"/>
      <c r="E19" s="1818">
        <f>'Expenditures 15-22'!K33-SUM('Expenditures 15-22'!G33,'Expenditures 15-22'!I33)+'Expenditures 15-22'!D229</f>
        <v>25177057</v>
      </c>
      <c r="F19" s="1817"/>
      <c r="G19" s="1819">
        <f>'Expenditures 15-22'!K33-SUM('Expenditures 15-22'!G33,'Expenditures 15-22'!I33)+'Expenditures 15-22'!D229</f>
        <v>25177057</v>
      </c>
      <c r="H19" s="987"/>
      <c r="I19" s="162"/>
    </row>
    <row r="20" spans="1:9" s="669" customFormat="1" ht="12" customHeight="1" x14ac:dyDescent="0.2">
      <c r="A20" s="990" t="s">
        <v>56</v>
      </c>
      <c r="B20" s="991"/>
      <c r="C20" s="993"/>
      <c r="D20" s="1820"/>
      <c r="E20" s="1820"/>
      <c r="F20" s="1820"/>
      <c r="G20" s="1821"/>
      <c r="H20" s="987"/>
      <c r="I20" s="162"/>
    </row>
    <row r="21" spans="1:9" s="669" customFormat="1" ht="12" customHeight="1" x14ac:dyDescent="0.2">
      <c r="A21" s="994" t="s">
        <v>421</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3561781</v>
      </c>
      <c r="F21" s="1820"/>
      <c r="G21" s="1823">
        <f>'Expenditures 15-22'!K42-SUM('Expenditures 15-22'!G42,'Expenditures 15-22'!I42)+'Expenditures 15-22'!K120-SUM('Expenditures 15-22'!G120,'Expenditures 15-22'!I120)+'Expenditures 15-22'!K180-SUM('Expenditures 15-22'!G180,'Expenditures 15-22'!I180)+'Expenditures 15-22'!D238</f>
        <v>3561781</v>
      </c>
      <c r="H21" s="987"/>
      <c r="I21" s="162"/>
    </row>
    <row r="22" spans="1:9" s="669" customFormat="1" ht="12" customHeight="1" x14ac:dyDescent="0.2">
      <c r="A22" s="994" t="s">
        <v>585</v>
      </c>
      <c r="B22" s="995"/>
      <c r="C22" s="993">
        <v>2200</v>
      </c>
      <c r="D22" s="1820"/>
      <c r="E22" s="1822">
        <f>'Expenditures 15-22'!K47-SUM('Expenditures 15-22'!G47,'Expenditures 15-22'!I47)+'Expenditures 15-22'!D243</f>
        <v>2012237</v>
      </c>
      <c r="F22" s="1820"/>
      <c r="G22" s="1823">
        <f>'Expenditures 15-22'!K47-SUM('Expenditures 15-22'!G47,'Expenditures 15-22'!I47)+'Expenditures 15-22'!D243</f>
        <v>2012237</v>
      </c>
      <c r="H22" s="987"/>
      <c r="I22" s="162"/>
    </row>
    <row r="23" spans="1:9" s="669" customFormat="1" ht="12" customHeight="1" x14ac:dyDescent="0.2">
      <c r="A23" s="994" t="s">
        <v>586</v>
      </c>
      <c r="B23" s="995"/>
      <c r="C23" s="993">
        <v>2300</v>
      </c>
      <c r="D23" s="1820"/>
      <c r="E23" s="1822">
        <f>'Expenditures 15-22'!K53-SUM('Expenditures 15-22'!G53,'Expenditures 15-22'!I53)+'Expenditures 15-22'!D257+'Expenditures 15-22'!K330-SUM('Expenditures 15-22'!G330,'Expenditures 15-22'!I330)</f>
        <v>1318156</v>
      </c>
      <c r="F23" s="1820"/>
      <c r="G23" s="1822">
        <f>'Expenditures 15-22'!K53-SUM('Expenditures 15-22'!G53,'Expenditures 15-22'!I53)+'Expenditures 15-22'!D257+'Expenditures 15-22'!K330-SUM('Expenditures 15-22'!G330,'Expenditures 15-22'!I330)</f>
        <v>1318156</v>
      </c>
      <c r="H23" s="987"/>
      <c r="I23" s="162"/>
    </row>
    <row r="24" spans="1:9" s="669" customFormat="1" ht="12" customHeight="1" x14ac:dyDescent="0.2">
      <c r="A24" s="994" t="s">
        <v>587</v>
      </c>
      <c r="B24" s="995"/>
      <c r="C24" s="993">
        <v>2400</v>
      </c>
      <c r="D24" s="1820"/>
      <c r="E24" s="1822">
        <f>'Expenditures 15-22'!K57-SUM('Expenditures 15-22'!G57,'Expenditures 15-22'!I57)+'Expenditures 15-22'!D261</f>
        <v>1838154</v>
      </c>
      <c r="F24" s="1820"/>
      <c r="G24" s="1823">
        <f>'Expenditures 15-22'!K57-SUM('Expenditures 15-22'!G57,'Expenditures 15-22'!I57)+'Expenditures 15-22'!D261</f>
        <v>1838154</v>
      </c>
      <c r="H24" s="987"/>
      <c r="I24" s="162"/>
    </row>
    <row r="25" spans="1:9" s="669" customFormat="1" ht="12" customHeight="1" x14ac:dyDescent="0.2">
      <c r="A25" s="990" t="s">
        <v>588</v>
      </c>
      <c r="B25" s="996"/>
      <c r="C25" s="993"/>
      <c r="D25" s="1820"/>
      <c r="E25" s="1822"/>
      <c r="F25" s="1820"/>
      <c r="G25" s="1823"/>
      <c r="H25" s="987"/>
      <c r="I25" s="162"/>
    </row>
    <row r="26" spans="1:9" s="669" customFormat="1" ht="12" customHeight="1" x14ac:dyDescent="0.2">
      <c r="A26" s="994" t="s">
        <v>536</v>
      </c>
      <c r="B26" s="997"/>
      <c r="C26" s="993">
        <v>2510</v>
      </c>
      <c r="D26" s="1822">
        <f>'Expenditures 15-22'!K59-SUM('Expenditures 15-22'!G59,'Expenditures 15-22'!I59)+'Expenditures 15-22'!D263-E7</f>
        <v>169011</v>
      </c>
      <c r="E26" s="1822">
        <f>'Expenditures 15-22'!K122-SUM('Expenditures 15-22'!G122,'Expenditures 15-22'!I122)+E7</f>
        <v>0</v>
      </c>
      <c r="F26" s="1822">
        <f>'Expenditures 15-22'!K59-SUM('Expenditures 15-22'!G59,'Expenditures 15-22'!I59)+'Expenditures 15-22'!D263-E7</f>
        <v>169011</v>
      </c>
      <c r="G26" s="1823">
        <f>'Expenditures 15-22'!K122-SUM('Expenditures 15-22'!G122,'Expenditures 15-22'!I122)+E7</f>
        <v>0</v>
      </c>
      <c r="H26" s="987"/>
      <c r="I26" s="162"/>
    </row>
    <row r="27" spans="1:9" s="669" customFormat="1" ht="12" customHeight="1" x14ac:dyDescent="0.2">
      <c r="A27" s="994" t="s">
        <v>483</v>
      </c>
      <c r="B27" s="997"/>
      <c r="C27" s="993">
        <v>2520</v>
      </c>
      <c r="D27" s="1822">
        <f>'Expenditures 15-22'!K60-SUM('Expenditures 15-22'!G60,'Expenditures 15-22'!I60)+'Expenditures 15-22'!D264-E8</f>
        <v>516617</v>
      </c>
      <c r="E27" s="1822">
        <f>E8</f>
        <v>0</v>
      </c>
      <c r="F27" s="1822">
        <f>'Expenditures 15-22'!K60-SUM('Expenditures 15-22'!G60,'Expenditures 15-22'!I60)+'Expenditures 15-22'!D264-E8</f>
        <v>516617</v>
      </c>
      <c r="G27" s="1823">
        <f>E8</f>
        <v>0</v>
      </c>
      <c r="H27" s="987"/>
      <c r="I27" s="162"/>
    </row>
    <row r="28" spans="1:9" s="669" customFormat="1" ht="12" customHeight="1" x14ac:dyDescent="0.2">
      <c r="A28" s="994" t="s">
        <v>537</v>
      </c>
      <c r="B28" s="997"/>
      <c r="C28" s="993">
        <v>2540</v>
      </c>
      <c r="D28" s="1824"/>
      <c r="E28" s="1822">
        <f>'Expenditures 15-22'!K61-SUM('Expenditures 15-22'!G61,'Expenditures 15-22'!I61)+'Expenditures 15-22'!K124-SUM('Expenditures 15-22'!G124,'Expenditures 15-22'!I124)+'Expenditures 15-22'!D266</f>
        <v>3307039</v>
      </c>
      <c r="F28" s="1824">
        <f>'Expenditures 15-22'!K61-SUM('Expenditures 15-22'!G61,'Expenditures 15-22'!I61)+'Expenditures 15-22'!K124-SUM('Expenditures 15-22'!G124,'Expenditures 15-22'!I124)+'Expenditures 15-22'!D266-E9</f>
        <v>3307039</v>
      </c>
      <c r="G28" s="1823">
        <f>E9</f>
        <v>0</v>
      </c>
      <c r="H28" s="987"/>
      <c r="I28" s="162"/>
    </row>
    <row r="29" spans="1:9" ht="12" customHeight="1" x14ac:dyDescent="0.2">
      <c r="A29" s="994" t="s">
        <v>538</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3207975</v>
      </c>
      <c r="F29" s="1820"/>
      <c r="G29" s="1823">
        <f>'Expenditures 15-22'!K62-SUM('Expenditures 15-22'!G62,'Expenditures 15-22'!I62)+'Expenditures 15-22'!K125-SUM('Expenditures 15-22'!G125,'Expenditures 15-22'!I125)+'Expenditures 15-22'!K182-SUM('Expenditures 15-22'!G182,'Expenditures 15-22'!I182)+'Expenditures 15-22'!D267</f>
        <v>3207975</v>
      </c>
      <c r="H29" s="985"/>
    </row>
    <row r="30" spans="1:9" ht="12" customHeight="1" x14ac:dyDescent="0.2">
      <c r="A30" s="994" t="s">
        <v>102</v>
      </c>
      <c r="B30" s="997"/>
      <c r="C30" s="993">
        <v>2560</v>
      </c>
      <c r="D30" s="1820"/>
      <c r="E30" s="1822">
        <f>'Expenditures 15-22'!K63-SUM('Expenditures 15-22'!G63,'Expenditures 15-22'!I63)+'Expenditures 15-22'!D268-E10</f>
        <v>127699</v>
      </c>
      <c r="F30" s="1820"/>
      <c r="G30" s="1822">
        <f>'Expenditures 15-22'!K63-SUM('Expenditures 15-22'!G63,'Expenditures 15-22'!I63)+'Expenditures 15-22'!D268-E10</f>
        <v>127699</v>
      </c>
    </row>
    <row r="31" spans="1:9" ht="12" customHeight="1" x14ac:dyDescent="0.2">
      <c r="A31" s="994" t="s">
        <v>103</v>
      </c>
      <c r="B31" s="997"/>
      <c r="C31" s="993">
        <v>2570</v>
      </c>
      <c r="D31" s="1822">
        <f>'Expenditures 15-22'!K64-SUM('Expenditures 15-22'!G64,'Expenditures 15-22'!I64)+'Expenditures 15-22'!D269-E12</f>
        <v>261755</v>
      </c>
      <c r="E31" s="1822">
        <f>E12</f>
        <v>0</v>
      </c>
      <c r="F31" s="1822">
        <f>'Expenditures 15-22'!K64-SUM('Expenditures 15-22'!G64,'Expenditures 15-22'!I64)+'Expenditures 15-22'!D269-E12</f>
        <v>261755</v>
      </c>
      <c r="G31" s="1822">
        <f>E12</f>
        <v>0</v>
      </c>
    </row>
    <row r="32" spans="1:9" ht="12" customHeight="1" x14ac:dyDescent="0.2">
      <c r="A32" s="990" t="s">
        <v>539</v>
      </c>
      <c r="B32" s="996"/>
      <c r="C32" s="993"/>
      <c r="D32" s="1820"/>
      <c r="E32" s="1820"/>
      <c r="F32" s="1820"/>
      <c r="G32" s="1820"/>
    </row>
    <row r="33" spans="1:7" ht="12" customHeight="1" x14ac:dyDescent="0.2">
      <c r="A33" s="994" t="s">
        <v>540</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541</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1121</v>
      </c>
      <c r="B35" s="997"/>
      <c r="C35" s="993">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4" t="s">
        <v>423</v>
      </c>
      <c r="B36" s="997"/>
      <c r="C36" s="993">
        <v>2640</v>
      </c>
      <c r="D36" s="1822">
        <f>'Expenditures 15-22'!K70-SUM('Expenditures 15-22'!G70,'Expenditures 15-22'!I70)+'Expenditures 15-22'!D275-E13</f>
        <v>106533</v>
      </c>
      <c r="E36" s="1822">
        <f>E13</f>
        <v>0</v>
      </c>
      <c r="F36" s="1822">
        <f>'Expenditures 15-22'!K70-SUM('Expenditures 15-22'!G70,'Expenditures 15-22'!I70)+'Expenditures 15-22'!D275-E13</f>
        <v>106533</v>
      </c>
      <c r="G36" s="1822">
        <f>E13</f>
        <v>0</v>
      </c>
    </row>
    <row r="37" spans="1:7" ht="12" customHeight="1" x14ac:dyDescent="0.2">
      <c r="A37" s="994" t="s">
        <v>424</v>
      </c>
      <c r="B37" s="997"/>
      <c r="C37" s="993">
        <v>2660</v>
      </c>
      <c r="D37" s="1822">
        <f>'Expenditures 15-22'!K71-SUM('Expenditures 15-22'!G71,'Expenditures 15-22'!I71)+'Expenditures 15-22'!D276-E14</f>
        <v>820854</v>
      </c>
      <c r="E37" s="1822">
        <f>E14</f>
        <v>0</v>
      </c>
      <c r="F37" s="1822">
        <f>'Expenditures 15-22'!K71-SUM('Expenditures 15-22'!G71,'Expenditures 15-22'!I71)+'Expenditures 15-22'!D276-E14</f>
        <v>820854</v>
      </c>
      <c r="G37" s="1822">
        <f>E14</f>
        <v>0</v>
      </c>
    </row>
    <row r="38" spans="1:7" ht="12" customHeight="1" x14ac:dyDescent="0.2">
      <c r="A38" s="990" t="s">
        <v>542</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53849</v>
      </c>
      <c r="F39" s="1820"/>
      <c r="G39" s="1822">
        <f>'Expenditures 15-22'!K75-SUM('Expenditures 15-22'!G75,'Expenditures 15-22'!I75)+'Expenditures 15-22'!K130-SUM('Expenditures 15-22'!G130,'Expenditures 15-22'!I130)+'Expenditures 15-22'!K185-SUM('Expenditures 15-22'!G185,'Expenditures 15-22'!I185)+'Expenditures 15-22'!D280</f>
        <v>53849</v>
      </c>
    </row>
    <row r="40" spans="1:7" ht="12" customHeight="1" x14ac:dyDescent="0.2">
      <c r="A40" s="990" t="s">
        <v>1927</v>
      </c>
      <c r="B40" s="991"/>
      <c r="C40" s="993"/>
      <c r="D40" s="1820"/>
      <c r="E40" s="1824">
        <f>-'Contracts Paid in CY 29'!G141</f>
        <v>-3993525</v>
      </c>
      <c r="F40" s="1820"/>
      <c r="G40" s="1824">
        <f>-'Contracts Paid in CY 29'!G141</f>
        <v>-3993525</v>
      </c>
    </row>
    <row r="41" spans="1:7" ht="12" customHeight="1" x14ac:dyDescent="0.2">
      <c r="A41" s="998" t="s">
        <v>158</v>
      </c>
      <c r="B41" s="999"/>
      <c r="C41" s="1000"/>
      <c r="D41" s="1824">
        <f>SUM(D19:D39)</f>
        <v>1874770</v>
      </c>
      <c r="E41" s="1824">
        <f>SUM(E19:E40)</f>
        <v>36610422</v>
      </c>
      <c r="F41" s="1824">
        <f>SUM(F19:F39)</f>
        <v>5181809</v>
      </c>
      <c r="G41" s="1824">
        <f>SUM(G19:G40)</f>
        <v>33303383</v>
      </c>
    </row>
    <row r="42" spans="1:7" x14ac:dyDescent="0.2">
      <c r="A42" s="987"/>
      <c r="B42" s="162"/>
      <c r="C42" s="1001"/>
      <c r="D42" s="2579" t="s">
        <v>543</v>
      </c>
      <c r="E42" s="2580"/>
      <c r="F42" s="1002" t="s">
        <v>544</v>
      </c>
      <c r="G42" s="1003"/>
    </row>
    <row r="43" spans="1:7" ht="12" customHeight="1" x14ac:dyDescent="0.2">
      <c r="A43" s="987"/>
      <c r="B43" s="162"/>
      <c r="C43" s="1001"/>
      <c r="D43" s="1825" t="s">
        <v>493</v>
      </c>
      <c r="E43" s="1826">
        <f>D41</f>
        <v>1874770</v>
      </c>
      <c r="F43" s="1825" t="s">
        <v>495</v>
      </c>
      <c r="G43" s="1826">
        <f>F41</f>
        <v>5181809</v>
      </c>
    </row>
    <row r="44" spans="1:7" ht="12" customHeight="1" x14ac:dyDescent="0.2">
      <c r="A44" s="987"/>
      <c r="B44" s="162"/>
      <c r="C44" s="1001"/>
      <c r="D44" s="1825" t="s">
        <v>494</v>
      </c>
      <c r="E44" s="1826">
        <f>E41</f>
        <v>36610422</v>
      </c>
      <c r="F44" s="1825" t="s">
        <v>494</v>
      </c>
      <c r="G44" s="1826">
        <f>G41</f>
        <v>33303383</v>
      </c>
    </row>
    <row r="45" spans="1:7" ht="12" customHeight="1" x14ac:dyDescent="0.2">
      <c r="A45" s="987"/>
      <c r="B45" s="162"/>
      <c r="C45" s="162"/>
      <c r="D45" s="1827" t="s">
        <v>1063</v>
      </c>
      <c r="E45" s="1828">
        <f>(E43/E44)</f>
        <v>5.1208642172985604E-2</v>
      </c>
      <c r="F45" s="1827" t="s">
        <v>1063</v>
      </c>
      <c r="G45" s="1828">
        <f>(G43/G44)</f>
        <v>0.15559407283037882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5" activePane="bottomLeft" state="frozen"/>
      <selection pane="bottomLeft" activeCell="A37" sqref="A37:F37"/>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7109375" style="1898" bestFit="1" customWidth="1"/>
    <col min="9" max="9" width="3" style="1898" bestFit="1" customWidth="1"/>
    <col min="10" max="10" width="2.140625" style="1898" bestFit="1" customWidth="1"/>
    <col min="11" max="11" width="9" style="1898" customWidth="1"/>
    <col min="12" max="16384" width="9.140625" style="1867"/>
  </cols>
  <sheetData>
    <row r="1" spans="1:10" x14ac:dyDescent="0.2">
      <c r="A1" s="2598" t="s">
        <v>1446</v>
      </c>
      <c r="B1" s="2598"/>
      <c r="C1" s="2598"/>
      <c r="D1" s="2598"/>
      <c r="E1" s="2598"/>
      <c r="F1" s="2598"/>
    </row>
    <row r="2" spans="1:10" x14ac:dyDescent="0.2">
      <c r="A2" s="1907" t="s">
        <v>2045</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599" t="s">
        <v>1627</v>
      </c>
      <c r="B5" s="2600"/>
      <c r="C5" s="2601"/>
      <c r="D5" s="2601"/>
      <c r="E5" s="2601"/>
      <c r="F5" s="2601"/>
    </row>
    <row r="6" spans="1:10" ht="12" customHeight="1" x14ac:dyDescent="0.25">
      <c r="A6" s="1870"/>
      <c r="B6" s="1871"/>
      <c r="C6" s="2602" t="str">
        <f>COVER!A17</f>
        <v>Grayslake  CCSD 46</v>
      </c>
      <c r="D6" s="2602"/>
      <c r="E6" s="2602"/>
      <c r="F6" s="1872"/>
    </row>
    <row r="7" spans="1:10" ht="11.25" customHeight="1" thickBot="1" x14ac:dyDescent="0.3">
      <c r="A7" s="1870"/>
      <c r="B7" s="1871"/>
      <c r="C7" s="2603">
        <f>COVER!A13</f>
        <v>34049046004</v>
      </c>
      <c r="D7" s="2603"/>
      <c r="E7" s="2603"/>
      <c r="F7" s="1872"/>
    </row>
    <row r="8" spans="1:10" ht="25.5" customHeight="1" thickBot="1" x14ac:dyDescent="0.25">
      <c r="A8" s="1913" t="s">
        <v>2022</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969" t="s">
        <v>2074</v>
      </c>
      <c r="D15" s="1969" t="s">
        <v>2074</v>
      </c>
      <c r="E15" s="1971"/>
      <c r="F15" s="1970" t="s">
        <v>2114</v>
      </c>
      <c r="H15" s="1898">
        <f t="shared" si="0"/>
        <v>5</v>
      </c>
      <c r="I15" s="1898">
        <f t="shared" si="1"/>
        <v>5</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972" t="s">
        <v>2074</v>
      </c>
      <c r="D19" s="1972" t="s">
        <v>2074</v>
      </c>
      <c r="E19" s="1974"/>
      <c r="F19" s="1973" t="s">
        <v>2115</v>
      </c>
      <c r="H19" s="1898">
        <f t="shared" si="0"/>
        <v>5</v>
      </c>
      <c r="I19" s="1898">
        <f t="shared" si="1"/>
        <v>5</v>
      </c>
      <c r="J19" s="1898">
        <f t="shared" si="2"/>
        <v>0</v>
      </c>
    </row>
    <row r="20" spans="1:12" ht="12" customHeight="1" x14ac:dyDescent="0.2">
      <c r="A20" s="1883" t="s">
        <v>1609</v>
      </c>
      <c r="B20" s="1884"/>
      <c r="C20" s="1972" t="s">
        <v>2074</v>
      </c>
      <c r="D20" s="1972" t="s">
        <v>2074</v>
      </c>
      <c r="E20" s="1974"/>
      <c r="F20" s="1973" t="s">
        <v>2116</v>
      </c>
      <c r="H20" s="1898">
        <f t="shared" si="0"/>
        <v>5</v>
      </c>
      <c r="I20" s="1898">
        <f t="shared" si="1"/>
        <v>5</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975" t="s">
        <v>2074</v>
      </c>
      <c r="D26" s="1975" t="s">
        <v>2074</v>
      </c>
      <c r="E26" s="1977"/>
      <c r="F26" s="1976" t="s">
        <v>2117</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978" t="s">
        <v>2074</v>
      </c>
      <c r="D30" s="1978" t="s">
        <v>2074</v>
      </c>
      <c r="E30" s="1980"/>
      <c r="F30" s="1979" t="s">
        <v>2118</v>
      </c>
      <c r="H30" s="1898">
        <f t="shared" si="0"/>
        <v>5</v>
      </c>
      <c r="I30" s="1898">
        <f t="shared" si="1"/>
        <v>5</v>
      </c>
      <c r="J30" s="1898">
        <f t="shared" si="2"/>
        <v>0</v>
      </c>
    </row>
    <row r="31" spans="1:12" ht="12" customHeight="1" x14ac:dyDescent="0.2">
      <c r="A31" s="1883" t="s">
        <v>1620</v>
      </c>
      <c r="B31" s="1884"/>
      <c r="C31" s="1885"/>
      <c r="D31" s="1885"/>
      <c r="E31" s="1888"/>
      <c r="F31" s="1887"/>
      <c r="H31" s="1898">
        <f t="shared" si="0"/>
        <v>0</v>
      </c>
      <c r="I31" s="1898">
        <f t="shared" si="1"/>
        <v>0</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25</v>
      </c>
      <c r="I34" s="1898">
        <f>SUM(I11:I32)</f>
        <v>25</v>
      </c>
      <c r="J34" s="1898">
        <f>SUM(J11:J32)</f>
        <v>0</v>
      </c>
      <c r="K34" s="1898">
        <f>SUM(H34:J34)</f>
        <v>50</v>
      </c>
    </row>
    <row r="35" spans="1:11" ht="12" customHeight="1" x14ac:dyDescent="0.2">
      <c r="A35" s="1891" t="s">
        <v>1459</v>
      </c>
      <c r="B35" s="1892"/>
      <c r="C35" s="2604"/>
      <c r="D35" s="2604"/>
      <c r="E35" s="2604"/>
      <c r="F35" s="2605"/>
    </row>
    <row r="36" spans="1:11" ht="12" customHeight="1" x14ac:dyDescent="0.2">
      <c r="A36" s="2587"/>
      <c r="B36" s="2588"/>
      <c r="C36" s="2588"/>
      <c r="D36" s="2588"/>
      <c r="E36" s="2588"/>
      <c r="F36" s="2589"/>
    </row>
    <row r="37" spans="1:11" ht="12" customHeight="1" x14ac:dyDescent="0.2">
      <c r="A37" s="2587"/>
      <c r="B37" s="2588"/>
      <c r="C37" s="2588"/>
      <c r="D37" s="2588"/>
      <c r="E37" s="2588"/>
      <c r="F37" s="2589"/>
    </row>
    <row r="38" spans="1:11" ht="12" customHeight="1" x14ac:dyDescent="0.2">
      <c r="A38" s="2590"/>
      <c r="B38" s="2591"/>
      <c r="C38" s="2591"/>
      <c r="D38" s="2591"/>
      <c r="E38" s="2591"/>
      <c r="F38" s="2592"/>
    </row>
    <row r="39" spans="1:11" ht="4.5" hidden="1" customHeight="1" x14ac:dyDescent="0.2">
      <c r="A39" s="1893"/>
      <c r="B39" s="1893"/>
      <c r="C39" s="1893"/>
      <c r="D39" s="1893"/>
      <c r="E39" s="1893"/>
      <c r="F39" s="1893"/>
    </row>
    <row r="40" spans="1:11" s="1890" customFormat="1" ht="12" customHeight="1" x14ac:dyDescent="0.25">
      <c r="A40" s="1894" t="s">
        <v>1458</v>
      </c>
      <c r="B40" s="1895"/>
      <c r="C40" s="2593"/>
      <c r="D40" s="2593"/>
      <c r="E40" s="2593"/>
      <c r="F40" s="2594"/>
      <c r="H40" s="1899"/>
      <c r="I40" s="1899"/>
      <c r="J40" s="1899"/>
      <c r="K40" s="1899"/>
    </row>
    <row r="41" spans="1:11" s="1890" customFormat="1" ht="12" customHeight="1" x14ac:dyDescent="0.25">
      <c r="A41" s="2595"/>
      <c r="B41" s="2596"/>
      <c r="C41" s="2596"/>
      <c r="D41" s="2596"/>
      <c r="E41" s="2596"/>
      <c r="F41" s="2597"/>
      <c r="H41" s="1899"/>
      <c r="I41" s="1899"/>
      <c r="J41" s="1899"/>
      <c r="K41" s="1899"/>
    </row>
    <row r="42" spans="1:11" s="1890" customFormat="1" ht="12" customHeight="1" x14ac:dyDescent="0.25">
      <c r="A42" s="2595"/>
      <c r="B42" s="2596"/>
      <c r="C42" s="2596"/>
      <c r="D42" s="2596"/>
      <c r="E42" s="2596"/>
      <c r="F42" s="2597"/>
      <c r="H42" s="1899"/>
      <c r="I42" s="1899"/>
      <c r="J42" s="1899"/>
      <c r="K42" s="1899"/>
    </row>
    <row r="43" spans="1:11" s="1890" customFormat="1" ht="15" x14ac:dyDescent="0.25">
      <c r="A43" s="2584"/>
      <c r="B43" s="2585"/>
      <c r="C43" s="2585"/>
      <c r="D43" s="2585"/>
      <c r="E43" s="2585"/>
      <c r="F43" s="2586"/>
      <c r="H43" s="1899"/>
      <c r="I43" s="1899"/>
      <c r="J43" s="1899"/>
      <c r="K43" s="1899"/>
    </row>
    <row r="44" spans="1:11" s="1890" customFormat="1" ht="12" hidden="1" customHeight="1" x14ac:dyDescent="0.25">
      <c r="A44" s="2584"/>
      <c r="B44" s="2585"/>
      <c r="C44" s="2585"/>
      <c r="D44" s="2585"/>
      <c r="E44" s="2585"/>
      <c r="F44" s="2586"/>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12" sqref="J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4" t="s">
        <v>693</v>
      </c>
      <c r="B6" s="1659"/>
      <c r="C6" s="1659"/>
      <c r="D6" s="1659"/>
      <c r="E6" s="1660"/>
      <c r="F6" s="1015"/>
      <c r="G6" s="1009"/>
      <c r="H6" s="1016" t="s">
        <v>1086</v>
      </c>
      <c r="I6" s="2611" t="str">
        <f>COVER!A17</f>
        <v>Grayslake  CCSD 46</v>
      </c>
      <c r="J6" s="2612"/>
      <c r="Q6" s="1681"/>
    </row>
    <row r="7" spans="1:17" x14ac:dyDescent="0.2">
      <c r="A7" s="2613" t="s">
        <v>924</v>
      </c>
      <c r="B7" s="2614"/>
      <c r="C7" s="2614"/>
      <c r="D7" s="2614"/>
      <c r="E7" s="2615"/>
      <c r="F7" s="1017"/>
      <c r="G7" s="1009"/>
      <c r="H7" s="1016" t="s">
        <v>390</v>
      </c>
      <c r="I7" s="2616">
        <f>COVER!A13</f>
        <v>34049046004</v>
      </c>
      <c r="J7" s="2616"/>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5" t="s">
        <v>1701</v>
      </c>
      <c r="F9" s="1023"/>
      <c r="G9" s="1023"/>
      <c r="H9" s="1916"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617" t="s">
        <v>502</v>
      </c>
      <c r="B11" s="2618"/>
      <c r="C11" s="261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9">
        <f>'Expenditures 15-22'!K50</f>
        <v>258981</v>
      </c>
      <c r="F12" s="1039"/>
      <c r="G12" s="1829">
        <f t="shared" ref="G12:G18" si="0">SUM(E12:F12)</f>
        <v>258981</v>
      </c>
      <c r="H12" s="1040">
        <v>313363</v>
      </c>
      <c r="I12" s="1039"/>
      <c r="J12" s="1829">
        <f t="shared" ref="J12:J18" si="1">SUM(H12:I12)</f>
        <v>313363</v>
      </c>
    </row>
    <row r="13" spans="1:17" ht="15" customHeight="1" x14ac:dyDescent="0.2">
      <c r="A13" s="1035">
        <v>2</v>
      </c>
      <c r="B13" s="1036" t="s">
        <v>44</v>
      </c>
      <c r="C13" s="1037"/>
      <c r="D13" s="1038">
        <v>2330</v>
      </c>
      <c r="E13" s="1829">
        <f>'Expenditures 15-22'!K51</f>
        <v>475388</v>
      </c>
      <c r="F13" s="1039"/>
      <c r="G13" s="1829">
        <f t="shared" si="0"/>
        <v>475388</v>
      </c>
      <c r="H13" s="1040">
        <v>484554</v>
      </c>
      <c r="I13" s="1039"/>
      <c r="J13" s="1829">
        <f t="shared" si="1"/>
        <v>484554</v>
      </c>
    </row>
    <row r="14" spans="1:17" ht="15" customHeight="1" x14ac:dyDescent="0.2">
      <c r="A14" s="1035">
        <v>3</v>
      </c>
      <c r="B14" s="1036" t="s">
        <v>45</v>
      </c>
      <c r="C14" s="1037"/>
      <c r="D14" s="1041">
        <v>2490</v>
      </c>
      <c r="E14" s="1829">
        <f>'Expenditures 15-22'!K56</f>
        <v>0</v>
      </c>
      <c r="F14" s="1039"/>
      <c r="G14" s="1829">
        <f t="shared" si="0"/>
        <v>0</v>
      </c>
      <c r="H14" s="1040">
        <v>0</v>
      </c>
      <c r="I14" s="1039"/>
      <c r="J14" s="1829">
        <f t="shared" si="1"/>
        <v>0</v>
      </c>
    </row>
    <row r="15" spans="1:17" ht="15" customHeight="1" x14ac:dyDescent="0.2">
      <c r="A15" s="1035">
        <v>4</v>
      </c>
      <c r="B15" s="1036" t="s">
        <v>1128</v>
      </c>
      <c r="C15" s="1037"/>
      <c r="D15" s="1038">
        <v>2510</v>
      </c>
      <c r="E15" s="1829">
        <f>'Expenditures 15-22'!K59</f>
        <v>167036</v>
      </c>
      <c r="F15" s="1829">
        <f>'Expenditures 15-22'!K122</f>
        <v>0</v>
      </c>
      <c r="G15" s="1829">
        <f t="shared" si="0"/>
        <v>167036</v>
      </c>
      <c r="H15" s="1040">
        <v>123569</v>
      </c>
      <c r="I15" s="1040">
        <v>0</v>
      </c>
      <c r="J15" s="1829">
        <f t="shared" si="1"/>
        <v>123569</v>
      </c>
    </row>
    <row r="16" spans="1:17" ht="15" customHeight="1" x14ac:dyDescent="0.2">
      <c r="A16" s="1035">
        <v>5</v>
      </c>
      <c r="B16" s="1036" t="s">
        <v>103</v>
      </c>
      <c r="C16" s="1037"/>
      <c r="D16" s="1038">
        <v>2570</v>
      </c>
      <c r="E16" s="1829">
        <f>'Expenditures 15-22'!K64</f>
        <v>261755</v>
      </c>
      <c r="F16" s="1039"/>
      <c r="G16" s="1829">
        <f t="shared" si="0"/>
        <v>261755</v>
      </c>
      <c r="H16" s="1040">
        <v>254700</v>
      </c>
      <c r="I16" s="1039"/>
      <c r="J16" s="1829">
        <f t="shared" si="1"/>
        <v>254700</v>
      </c>
    </row>
    <row r="17" spans="1:10" ht="15" customHeight="1" x14ac:dyDescent="0.2">
      <c r="A17" s="1035">
        <v>6</v>
      </c>
      <c r="B17" s="1036" t="s">
        <v>1120</v>
      </c>
      <c r="C17" s="1037"/>
      <c r="D17" s="1038">
        <v>2610</v>
      </c>
      <c r="E17" s="1829">
        <f>'Expenditures 15-22'!K67</f>
        <v>0</v>
      </c>
      <c r="F17" s="1039"/>
      <c r="G17" s="1829">
        <f t="shared" si="0"/>
        <v>0</v>
      </c>
      <c r="H17" s="1040">
        <v>0</v>
      </c>
      <c r="I17" s="1039"/>
      <c r="J17" s="1829">
        <f t="shared" si="1"/>
        <v>0</v>
      </c>
    </row>
    <row r="18" spans="1:10" ht="22.5" customHeight="1" x14ac:dyDescent="0.2">
      <c r="A18" s="1042">
        <v>7</v>
      </c>
      <c r="B18" s="2620" t="s">
        <v>7</v>
      </c>
      <c r="C18" s="2621"/>
      <c r="D18" s="2622"/>
      <c r="E18" s="1043"/>
      <c r="F18" s="1043"/>
      <c r="G18" s="1830">
        <f t="shared" si="0"/>
        <v>0</v>
      </c>
      <c r="H18" s="1040">
        <v>0</v>
      </c>
      <c r="I18" s="1040"/>
      <c r="J18" s="1829">
        <f t="shared" si="1"/>
        <v>0</v>
      </c>
    </row>
    <row r="19" spans="1:10" ht="12.75" customHeight="1" thickBot="1" x14ac:dyDescent="0.25">
      <c r="A19" s="1035">
        <v>8</v>
      </c>
      <c r="B19" s="1044" t="s">
        <v>1223</v>
      </c>
      <c r="D19" s="1045"/>
      <c r="E19" s="1831">
        <f t="shared" ref="E19:J19" si="2">SUM(E12:E17)-E18</f>
        <v>1163160</v>
      </c>
      <c r="F19" s="1831">
        <f t="shared" si="2"/>
        <v>0</v>
      </c>
      <c r="G19" s="1831">
        <f t="shared" si="2"/>
        <v>1163160</v>
      </c>
      <c r="H19" s="1831">
        <f t="shared" si="2"/>
        <v>1176186</v>
      </c>
      <c r="I19" s="1831">
        <f t="shared" si="2"/>
        <v>0</v>
      </c>
      <c r="J19" s="1831">
        <f t="shared" si="2"/>
        <v>1176186</v>
      </c>
    </row>
    <row r="20" spans="1:10" ht="13.5" thickTop="1" x14ac:dyDescent="0.2">
      <c r="A20" s="1035">
        <v>9</v>
      </c>
      <c r="B20" s="2623" t="s">
        <v>1703</v>
      </c>
      <c r="C20" s="2623"/>
      <c r="D20" s="2624"/>
      <c r="E20" s="1046"/>
      <c r="F20" s="1046"/>
      <c r="G20" s="1046"/>
      <c r="H20" s="1046"/>
      <c r="I20" s="1046"/>
      <c r="J20" s="1832">
        <f>IF(AND(G19&gt;0,J19&gt;0),(((J19-G19)/G19)),"Enter Budget Data")</f>
        <v>1.1198803260084596E-2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629"/>
      <c r="D26" s="2629"/>
      <c r="E26" s="1050"/>
      <c r="F26" s="2628"/>
      <c r="G26" s="2628"/>
    </row>
    <row r="27" spans="1:10" x14ac:dyDescent="0.2">
      <c r="B27" s="1047"/>
      <c r="C27" s="1051" t="s">
        <v>1093</v>
      </c>
      <c r="D27" s="1052"/>
      <c r="E27" s="1053"/>
      <c r="F27" s="2625" t="s">
        <v>1589</v>
      </c>
      <c r="G27" s="2625"/>
    </row>
    <row r="28" spans="1:10" ht="28.5" customHeight="1" x14ac:dyDescent="0.2">
      <c r="B28" s="1047"/>
      <c r="C28" s="2627"/>
      <c r="D28" s="2627"/>
      <c r="E28" s="1054"/>
      <c r="F28" s="2627"/>
      <c r="G28" s="2627"/>
    </row>
    <row r="29" spans="1:10" x14ac:dyDescent="0.2">
      <c r="B29" s="1047"/>
      <c r="C29" s="1055" t="s">
        <v>1642</v>
      </c>
      <c r="E29" s="1056"/>
      <c r="F29" s="2626" t="s">
        <v>1590</v>
      </c>
      <c r="G29" s="262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608" t="s">
        <v>134</v>
      </c>
      <c r="D33" s="2609"/>
      <c r="E33" s="2609"/>
      <c r="F33" s="2609"/>
      <c r="G33" s="2609"/>
      <c r="H33" s="2609"/>
      <c r="I33" s="2609"/>
    </row>
    <row r="34" spans="1:10" ht="10.35" customHeight="1" x14ac:dyDescent="0.2">
      <c r="C34" s="2609"/>
      <c r="D34" s="2609"/>
      <c r="E34" s="2609"/>
      <c r="F34" s="2609"/>
      <c r="G34" s="2609"/>
      <c r="H34" s="2609"/>
      <c r="I34" s="2609"/>
    </row>
    <row r="35" spans="1:10" ht="7.5" customHeight="1" x14ac:dyDescent="0.2">
      <c r="C35" s="1062"/>
    </row>
    <row r="36" spans="1:10" ht="13.5" customHeight="1" x14ac:dyDescent="0.2">
      <c r="B36" s="1061"/>
      <c r="C36" s="2610" t="s">
        <v>1941</v>
      </c>
      <c r="D36" s="2609"/>
      <c r="E36" s="2609"/>
      <c r="F36" s="2609"/>
      <c r="G36" s="2609"/>
      <c r="H36" s="2609"/>
      <c r="I36" s="2609"/>
      <c r="J36" s="1063"/>
    </row>
    <row r="37" spans="1:10" ht="22.5" customHeight="1" x14ac:dyDescent="0.2">
      <c r="C37" s="2609"/>
      <c r="D37" s="2609"/>
      <c r="E37" s="2609"/>
      <c r="F37" s="2609"/>
      <c r="G37" s="2609"/>
      <c r="H37" s="2609"/>
      <c r="I37" s="2609"/>
      <c r="J37" s="1063"/>
    </row>
    <row r="38" spans="1:10" ht="7.5" customHeight="1" x14ac:dyDescent="0.2">
      <c r="C38" s="1062"/>
      <c r="D38" s="1064"/>
      <c r="E38" s="1065"/>
      <c r="F38" s="1066"/>
      <c r="G38" s="1065"/>
    </row>
    <row r="39" spans="1:10" ht="13.5" customHeight="1" x14ac:dyDescent="0.2">
      <c r="B39" s="1061"/>
      <c r="C39" s="2606" t="s">
        <v>937</v>
      </c>
      <c r="D39" s="2607"/>
      <c r="E39" s="2607"/>
      <c r="F39" s="2607"/>
      <c r="G39" s="2607"/>
      <c r="H39" s="2607"/>
      <c r="I39" s="260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F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76.140625" style="329" customWidth="1"/>
    <col min="3" max="3" width="3.140625" style="329" customWidth="1"/>
    <col min="4" max="6" width="9.140625" style="329"/>
    <col min="7" max="7" width="21.28515625" style="329" customWidth="1"/>
    <col min="8" max="16384" width="9.140625" style="329"/>
  </cols>
  <sheetData>
    <row r="2" spans="1:6" x14ac:dyDescent="0.2">
      <c r="A2" s="389" t="s">
        <v>276</v>
      </c>
    </row>
    <row r="3" spans="1:6" x14ac:dyDescent="0.2">
      <c r="A3" s="329" t="s">
        <v>277</v>
      </c>
    </row>
    <row r="5" spans="1:6" x14ac:dyDescent="0.2">
      <c r="A5" s="1983">
        <v>1</v>
      </c>
      <c r="B5" s="1982" t="s">
        <v>2119</v>
      </c>
      <c r="C5" s="1982" t="s">
        <v>2120</v>
      </c>
      <c r="D5" s="1981"/>
      <c r="E5" s="1981"/>
      <c r="F5" s="1981"/>
    </row>
    <row r="6" spans="1:6" x14ac:dyDescent="0.2">
      <c r="A6" s="1983">
        <v>2</v>
      </c>
      <c r="B6" s="1982" t="s">
        <v>2121</v>
      </c>
      <c r="C6" s="1982" t="s">
        <v>2122</v>
      </c>
      <c r="D6" s="1981"/>
      <c r="E6" s="1981"/>
      <c r="F6" s="1981"/>
    </row>
    <row r="7" spans="1:6" x14ac:dyDescent="0.2">
      <c r="A7" s="1983">
        <v>3</v>
      </c>
      <c r="B7" s="1982" t="s">
        <v>2240</v>
      </c>
      <c r="C7" s="1982" t="s">
        <v>2123</v>
      </c>
      <c r="D7" s="1981"/>
      <c r="E7" s="1981"/>
      <c r="F7" s="1981"/>
    </row>
    <row r="8" spans="1:6" ht="42.75" customHeight="1" x14ac:dyDescent="0.2">
      <c r="A8" s="1985">
        <v>4</v>
      </c>
      <c r="B8" s="1984" t="s">
        <v>2124</v>
      </c>
      <c r="C8" s="2630" t="s">
        <v>2125</v>
      </c>
      <c r="D8" s="2630"/>
      <c r="E8" s="2630"/>
      <c r="F8" s="2630"/>
    </row>
    <row r="9" spans="1:6" ht="29.25" customHeight="1" x14ac:dyDescent="0.2">
      <c r="A9" s="1985">
        <v>5</v>
      </c>
      <c r="B9" s="1986" t="s">
        <v>2126</v>
      </c>
      <c r="C9" s="2633" t="s">
        <v>2127</v>
      </c>
      <c r="D9" s="2634"/>
      <c r="E9" s="2634"/>
      <c r="F9" s="2634"/>
    </row>
    <row r="10" spans="1:6" ht="30" customHeight="1" x14ac:dyDescent="0.2">
      <c r="A10" s="1985">
        <v>6</v>
      </c>
      <c r="B10" s="1986" t="s">
        <v>2128</v>
      </c>
      <c r="C10" s="2633" t="s">
        <v>2129</v>
      </c>
      <c r="D10" s="2634"/>
      <c r="E10" s="2634"/>
      <c r="F10" s="2634"/>
    </row>
    <row r="11" spans="1:6" x14ac:dyDescent="0.2">
      <c r="A11" s="1983">
        <v>7</v>
      </c>
      <c r="B11" s="1982" t="s">
        <v>2236</v>
      </c>
      <c r="C11" s="1982" t="s">
        <v>2130</v>
      </c>
      <c r="D11" s="1981"/>
      <c r="E11" s="1981"/>
      <c r="F11" s="1981"/>
    </row>
    <row r="12" spans="1:6" x14ac:dyDescent="0.2">
      <c r="A12" s="1985">
        <v>8</v>
      </c>
      <c r="B12" s="1986" t="s">
        <v>2237</v>
      </c>
      <c r="C12" s="2631" t="s">
        <v>2131</v>
      </c>
      <c r="D12" s="2632"/>
      <c r="E12" s="2632"/>
      <c r="F12" s="2632"/>
    </row>
    <row r="13" spans="1:6" x14ac:dyDescent="0.2">
      <c r="A13" s="1983">
        <v>9</v>
      </c>
      <c r="B13" s="1982" t="s">
        <v>2238</v>
      </c>
      <c r="C13" s="1982" t="s">
        <v>2132</v>
      </c>
      <c r="D13" s="1981"/>
      <c r="E13" s="1981"/>
      <c r="F13" s="1981"/>
    </row>
    <row r="14" spans="1:6" x14ac:dyDescent="0.2">
      <c r="A14" s="1983">
        <v>10</v>
      </c>
      <c r="B14" s="1982" t="s">
        <v>2239</v>
      </c>
      <c r="C14" s="1982" t="s">
        <v>2133</v>
      </c>
      <c r="D14" s="1981"/>
      <c r="E14" s="1981"/>
      <c r="F14" s="1981"/>
    </row>
    <row r="15" spans="1:6" x14ac:dyDescent="0.2">
      <c r="A15" s="1983">
        <v>11</v>
      </c>
      <c r="B15" s="1982" t="s">
        <v>2134</v>
      </c>
      <c r="C15" s="1982" t="s">
        <v>2120</v>
      </c>
      <c r="D15" s="1981"/>
      <c r="E15" s="1981"/>
      <c r="F15" s="1981"/>
    </row>
    <row r="16" spans="1:6" x14ac:dyDescent="0.2">
      <c r="A16" s="1983">
        <v>12</v>
      </c>
      <c r="B16" s="1982" t="s">
        <v>2135</v>
      </c>
      <c r="C16" s="1982" t="s">
        <v>2136</v>
      </c>
      <c r="D16" s="1981"/>
      <c r="E16" s="1981"/>
      <c r="F16" s="1981"/>
    </row>
    <row r="17" spans="1:2" x14ac:dyDescent="0.2">
      <c r="A17" s="1983"/>
      <c r="B17" s="1982"/>
    </row>
    <row r="18" spans="1:2" x14ac:dyDescent="0.2">
      <c r="A18" s="1983" t="s">
        <v>42</v>
      </c>
      <c r="B18" s="1982"/>
    </row>
    <row r="19" spans="1:2" x14ac:dyDescent="0.2">
      <c r="A19" s="1983"/>
      <c r="B19" s="1982" t="s">
        <v>2137</v>
      </c>
    </row>
    <row r="20" spans="1:2" x14ac:dyDescent="0.2">
      <c r="A20" s="1983"/>
      <c r="B20" s="1982" t="s">
        <v>2138</v>
      </c>
    </row>
    <row r="21" spans="1:2" x14ac:dyDescent="0.2">
      <c r="A21" s="1983"/>
      <c r="B21" s="1982" t="s">
        <v>2139</v>
      </c>
    </row>
    <row r="22" spans="1:2" x14ac:dyDescent="0.2">
      <c r="A22" s="1983"/>
      <c r="B22" s="1982" t="s">
        <v>2140</v>
      </c>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Grayslake  CCSD 46</v>
      </c>
    </row>
    <row r="65" spans="2:2" x14ac:dyDescent="0.2">
      <c r="B65" s="1069">
        <f>COVER!A13</f>
        <v>34049046004</v>
      </c>
    </row>
  </sheetData>
  <mergeCells count="4">
    <mergeCell ref="C8:F8"/>
    <mergeCell ref="C12:F12"/>
    <mergeCell ref="C10:F10"/>
    <mergeCell ref="C9:F9"/>
  </mergeCells>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C1"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635" t="s">
        <v>1784</v>
      </c>
      <c r="B18" s="26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238125</xdr:colOff>
                <xdr:row>5</xdr:row>
                <xdr:rowOff>66675</xdr:rowOff>
              </from>
              <to>
                <xdr:col>1</xdr:col>
                <xdr:colOff>1152525</xdr:colOff>
                <xdr:row>9</xdr:row>
                <xdr:rowOff>104775</xdr:rowOff>
              </to>
            </anchor>
          </objectPr>
        </oleObject>
      </mc:Choice>
      <mc:Fallback>
        <oleObject progId="Acrobat Document" dvAspect="DVASPECT_ICON" shapeId="3993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636" t="s">
        <v>1790</v>
      </c>
      <c r="B1" s="2637"/>
      <c r="C1" s="2637"/>
      <c r="D1" s="2637"/>
      <c r="E1" s="2637"/>
      <c r="F1" s="2638"/>
    </row>
    <row r="2" spans="1:8" ht="45" customHeight="1" x14ac:dyDescent="0.2">
      <c r="A2" s="2646" t="s">
        <v>1791</v>
      </c>
      <c r="B2" s="2647"/>
      <c r="C2" s="2647"/>
      <c r="D2" s="2647"/>
      <c r="E2" s="2647"/>
      <c r="F2" s="2648"/>
      <c r="G2" s="1073"/>
      <c r="H2" s="1073"/>
    </row>
    <row r="3" spans="1:8" ht="57" customHeight="1" x14ac:dyDescent="0.2">
      <c r="A3" s="2649" t="s">
        <v>1786</v>
      </c>
      <c r="B3" s="2650"/>
      <c r="C3" s="2650"/>
      <c r="D3" s="2650"/>
      <c r="E3" s="2650"/>
      <c r="F3" s="2651"/>
      <c r="G3" s="1073"/>
      <c r="H3" s="1073"/>
    </row>
    <row r="4" spans="1:8" ht="14.25" customHeight="1" x14ac:dyDescent="0.2">
      <c r="A4" s="2655" t="s">
        <v>2053</v>
      </c>
      <c r="B4" s="2656"/>
      <c r="C4" s="2656"/>
      <c r="D4" s="2656"/>
      <c r="E4" s="2656"/>
      <c r="F4" s="2657"/>
      <c r="G4" s="1073"/>
      <c r="H4" s="1073"/>
    </row>
    <row r="5" spans="1:8" ht="14.25" customHeight="1" x14ac:dyDescent="0.2">
      <c r="A5" s="2658" t="s">
        <v>2054</v>
      </c>
      <c r="B5" s="2659"/>
      <c r="C5" s="2659"/>
      <c r="D5" s="2659"/>
      <c r="E5" s="2659"/>
      <c r="F5" s="2660"/>
      <c r="G5" s="1073"/>
      <c r="H5" s="1073"/>
    </row>
    <row r="6" spans="1:8" s="1074" customFormat="1" ht="41.25" customHeight="1" x14ac:dyDescent="0.2">
      <c r="A6" s="2652" t="s">
        <v>1792</v>
      </c>
      <c r="B6" s="2653"/>
      <c r="C6" s="2653"/>
      <c r="D6" s="2653"/>
      <c r="E6" s="2653"/>
      <c r="F6" s="2654"/>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3">
        <f>'Acct Summary 7-8'!C8</f>
        <v>37742702</v>
      </c>
      <c r="C8" s="1833">
        <f>'Acct Summary 7-8'!D8</f>
        <v>3547347</v>
      </c>
      <c r="D8" s="1833">
        <f>'Acct Summary 7-8'!F8</f>
        <v>3254721</v>
      </c>
      <c r="E8" s="1833">
        <f>'Acct Summary 7-8'!I8</f>
        <v>64693</v>
      </c>
      <c r="F8" s="1833">
        <f>SUM(B8:E8)</f>
        <v>44609463</v>
      </c>
    </row>
    <row r="9" spans="1:8" s="1078" customFormat="1" ht="14.25" customHeight="1" thickBot="1" x14ac:dyDescent="0.25">
      <c r="A9" s="1077" t="s">
        <v>1436</v>
      </c>
      <c r="B9" s="1834">
        <f>'Acct Summary 7-8'!C17</f>
        <v>36906135</v>
      </c>
      <c r="C9" s="1834">
        <f>'Acct Summary 7-8'!D17</f>
        <v>3944508</v>
      </c>
      <c r="D9" s="1834">
        <f>'Acct Summary 7-8'!F17</f>
        <v>3202418</v>
      </c>
      <c r="E9" s="1833"/>
      <c r="F9" s="1833">
        <f>SUM(B9:E9)</f>
        <v>44053061</v>
      </c>
    </row>
    <row r="10" spans="1:8" s="1078" customFormat="1" ht="14.25" thickTop="1" thickBot="1" x14ac:dyDescent="0.25">
      <c r="A10" s="1079" t="s">
        <v>1437</v>
      </c>
      <c r="B10" s="1835">
        <f>(B8-B9)</f>
        <v>836567</v>
      </c>
      <c r="C10" s="1835">
        <f>(C8-C9)</f>
        <v>-397161</v>
      </c>
      <c r="D10" s="1835">
        <f>(D8-D9)</f>
        <v>52303</v>
      </c>
      <c r="E10" s="1834">
        <f>(E8-E9)</f>
        <v>64693</v>
      </c>
      <c r="F10" s="1836">
        <f>SUM(F8-F9)</f>
        <v>556402</v>
      </c>
    </row>
    <row r="11" spans="1:8" s="1078" customFormat="1" ht="14.25" thickTop="1" thickBot="1" x14ac:dyDescent="0.25">
      <c r="A11" s="1080" t="s">
        <v>1785</v>
      </c>
      <c r="B11" s="1837">
        <f>'Acct Summary 7-8'!C81</f>
        <v>10461169</v>
      </c>
      <c r="C11" s="1837">
        <f>'Acct Summary 7-8'!D81</f>
        <v>3893399</v>
      </c>
      <c r="D11" s="1837">
        <f>'Acct Summary 7-8'!F81</f>
        <v>501617</v>
      </c>
      <c r="E11" s="1837">
        <f>'Acct Summary 7-8'!I81</f>
        <v>3255097</v>
      </c>
      <c r="F11" s="1838">
        <f>SUM(B11:E11)</f>
        <v>18111282</v>
      </c>
    </row>
    <row r="12" spans="1:8" ht="16.5" customHeight="1" thickTop="1" x14ac:dyDescent="0.2">
      <c r="A12" s="1081"/>
      <c r="B12" s="1082"/>
      <c r="C12" s="2640" t="str">
        <f>IF(AND(F10&lt;0,F11&gt;=0,ABS(F10*3)&gt;ABS(F11)),A16,IF(AND(F10&lt;0,F11&gt;0,ABS(F10*3)&lt;=ABS(F11)),A17,IF(AND(F10&lt;0,F11&lt;0),A16,IF(F11=0,A19,A18))))</f>
        <v>Balanced - no deficit reduction plan is required.</v>
      </c>
      <c r="D12" s="2641"/>
      <c r="E12" s="2641"/>
      <c r="F12" s="2642"/>
    </row>
    <row r="13" spans="1:8" ht="19.5" customHeight="1" x14ac:dyDescent="0.2">
      <c r="A13" s="1083"/>
      <c r="B13" s="1084"/>
      <c r="C13" s="2640"/>
      <c r="D13" s="2641"/>
      <c r="E13" s="2641"/>
      <c r="F13" s="2642"/>
      <c r="H13" s="1073"/>
    </row>
    <row r="14" spans="1:8" ht="19.5" customHeight="1" x14ac:dyDescent="0.2">
      <c r="A14" s="1083"/>
      <c r="B14" s="1084"/>
      <c r="C14" s="2640"/>
      <c r="D14" s="2641"/>
      <c r="E14" s="2641"/>
      <c r="F14" s="2642"/>
      <c r="H14" s="1073"/>
    </row>
    <row r="15" spans="1:8" ht="17.25" customHeight="1" x14ac:dyDescent="0.2">
      <c r="A15" s="1083"/>
      <c r="B15" s="1084"/>
      <c r="C15" s="2643"/>
      <c r="D15" s="2644"/>
      <c r="E15" s="2644"/>
      <c r="F15" s="2645"/>
      <c r="H15" s="1073"/>
    </row>
    <row r="16" spans="1:8" s="310" customFormat="1" ht="51.75" hidden="1" customHeight="1" x14ac:dyDescent="0.2">
      <c r="A16" s="2639" t="s">
        <v>1787</v>
      </c>
      <c r="B16" s="2639"/>
      <c r="C16" s="2639"/>
      <c r="D16" s="2639"/>
      <c r="E16" s="2639"/>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69" sqref="D6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7"/>
      <c r="B2" s="1918"/>
      <c r="C2" s="1919"/>
      <c r="D2" s="1920"/>
    </row>
    <row r="3" spans="1:4" ht="36" customHeight="1" x14ac:dyDescent="0.2">
      <c r="A3" s="2661" t="s">
        <v>686</v>
      </c>
      <c r="B3" s="2662"/>
      <c r="C3" s="2662"/>
      <c r="D3" s="2663"/>
    </row>
    <row r="4" spans="1:4" x14ac:dyDescent="0.2">
      <c r="A4" s="1151" t="s">
        <v>1793</v>
      </c>
      <c r="B4" s="1152"/>
      <c r="C4" s="1153"/>
      <c r="D4" s="1154"/>
    </row>
    <row r="5" spans="1:4" ht="21" customHeight="1" x14ac:dyDescent="0.2">
      <c r="A5" s="1147"/>
      <c r="B5" s="1148">
        <v>1</v>
      </c>
      <c r="C5" s="1149" t="s">
        <v>1943</v>
      </c>
      <c r="D5" s="1150"/>
    </row>
    <row r="6" spans="1:4" s="669" customFormat="1" ht="14.25" customHeight="1" x14ac:dyDescent="0.2">
      <c r="A6" s="1137"/>
      <c r="B6" s="1092">
        <f t="shared" ref="B6:B13" si="0">B5+1</f>
        <v>2</v>
      </c>
      <c r="C6" s="1093" t="s">
        <v>919</v>
      </c>
      <c r="D6" s="1094"/>
    </row>
    <row r="7" spans="1:4" s="669" customFormat="1" ht="12.75" x14ac:dyDescent="0.2">
      <c r="A7" s="1137"/>
      <c r="B7" s="1092">
        <f t="shared" si="0"/>
        <v>3</v>
      </c>
      <c r="C7" s="2672" t="s">
        <v>1584</v>
      </c>
      <c r="D7" s="2673"/>
    </row>
    <row r="8" spans="1:4" s="669" customFormat="1" ht="12.75" x14ac:dyDescent="0.2">
      <c r="A8" s="1137"/>
      <c r="B8" s="1092"/>
      <c r="C8" s="1095" t="s">
        <v>1583</v>
      </c>
      <c r="D8" s="1096"/>
    </row>
    <row r="9" spans="1:4" s="669" customFormat="1" ht="14.25" customHeight="1" x14ac:dyDescent="0.2">
      <c r="A9" s="1137"/>
      <c r="B9" s="1092">
        <f>B7+1</f>
        <v>4</v>
      </c>
      <c r="C9" s="1093" t="s">
        <v>2046</v>
      </c>
      <c r="D9" s="1094"/>
    </row>
    <row r="10" spans="1:4" s="669" customFormat="1" ht="14.25" customHeight="1" x14ac:dyDescent="0.2">
      <c r="A10" s="1137"/>
      <c r="B10" s="1092">
        <f t="shared" si="0"/>
        <v>5</v>
      </c>
      <c r="C10" s="1093" t="s">
        <v>660</v>
      </c>
      <c r="D10" s="1094"/>
    </row>
    <row r="11" spans="1:4" s="669" customFormat="1" ht="14.25" customHeight="1" x14ac:dyDescent="0.2">
      <c r="A11" s="1137"/>
      <c r="B11" s="1092">
        <f t="shared" si="0"/>
        <v>6</v>
      </c>
      <c r="C11" s="1093" t="s">
        <v>811</v>
      </c>
      <c r="D11" s="1094"/>
    </row>
    <row r="12" spans="1:4" s="669" customFormat="1" ht="14.25" customHeight="1" x14ac:dyDescent="0.2">
      <c r="A12" s="1137"/>
      <c r="B12" s="1092">
        <f t="shared" si="0"/>
        <v>7</v>
      </c>
      <c r="C12" s="1093" t="s">
        <v>1122</v>
      </c>
      <c r="D12" s="1094"/>
    </row>
    <row r="13" spans="1:4" s="669" customFormat="1" ht="14.25" customHeight="1" x14ac:dyDescent="0.2">
      <c r="A13" s="1137"/>
      <c r="B13" s="1092">
        <f t="shared" si="0"/>
        <v>8</v>
      </c>
      <c r="C13" s="1133" t="s">
        <v>812</v>
      </c>
      <c r="D13" s="1094"/>
    </row>
    <row r="14" spans="1:4" s="669" customFormat="1" ht="14.25" customHeight="1" x14ac:dyDescent="0.2">
      <c r="A14" s="1137"/>
      <c r="B14" s="1134">
        <v>9</v>
      </c>
      <c r="C14" s="1135" t="s">
        <v>1585</v>
      </c>
      <c r="D14" s="1136"/>
    </row>
    <row r="15" spans="1:4" s="669" customFormat="1" ht="21.75" customHeight="1" x14ac:dyDescent="0.2">
      <c r="A15" s="2664" t="s">
        <v>1065</v>
      </c>
      <c r="B15" s="2665"/>
      <c r="C15" s="2665"/>
      <c r="D15" s="2666"/>
    </row>
    <row r="16" spans="1:4" s="669" customFormat="1" ht="24" customHeight="1" x14ac:dyDescent="0.2">
      <c r="A16" s="2667" t="s">
        <v>684</v>
      </c>
      <c r="B16" s="2668"/>
      <c r="C16" s="2668"/>
      <c r="D16" s="2669"/>
    </row>
    <row r="17" spans="1:10" s="669" customFormat="1" ht="12.75" customHeight="1" x14ac:dyDescent="0.2">
      <c r="A17" s="1155" t="s">
        <v>1794</v>
      </c>
      <c r="B17" s="1156"/>
      <c r="C17" s="1157"/>
      <c r="D17" s="1158"/>
    </row>
    <row r="18" spans="1:10" s="669"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676" t="s">
        <v>332</v>
      </c>
      <c r="D21" s="2677"/>
    </row>
    <row r="22" spans="1:10" ht="12.75" x14ac:dyDescent="0.2">
      <c r="A22" s="1138"/>
      <c r="B22" s="1139">
        <v>2</v>
      </c>
      <c r="C22" s="2674" t="s">
        <v>1605</v>
      </c>
      <c r="D22" s="2675"/>
    </row>
    <row r="23" spans="1:10" ht="12.2" customHeight="1" x14ac:dyDescent="0.2">
      <c r="A23" s="1138"/>
      <c r="B23" s="1139"/>
      <c r="C23" s="1140" t="s">
        <v>1011</v>
      </c>
      <c r="D23" s="1141" t="str">
        <f>IF(COVER!O11="X","CASH",IF(COVER!O12="X","ACCRUAL ","PLEASE CHECK AN ACCOUNTING BASIS."))</f>
        <v xml:space="preserve">ACCRUAL </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678" t="s">
        <v>557</v>
      </c>
      <c r="D43" s="267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670" t="s">
        <v>817</v>
      </c>
      <c r="D56" s="2671"/>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ERROR!</v>
      </c>
    </row>
    <row r="69" spans="1:4" x14ac:dyDescent="0.2">
      <c r="A69" s="1099"/>
      <c r="B69" s="1109"/>
      <c r="C69" s="1101" t="s">
        <v>2049</v>
      </c>
      <c r="D69" s="1123" t="str">
        <f>IF('Expenditures 15-22'!H170&lt;&gt;'Short-Term Long-Term Debt 24'!H49,"ERROR!","OK")</f>
        <v>ERROR!</v>
      </c>
    </row>
    <row r="70" spans="1:4" x14ac:dyDescent="0.2">
      <c r="A70" s="1097"/>
      <c r="B70" s="1119">
        <f>B66+1</f>
        <v>9</v>
      </c>
      <c r="C70" s="2670" t="s">
        <v>1797</v>
      </c>
      <c r="D70" s="2671"/>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34049046004</v>
      </c>
    </row>
    <row r="3" spans="1:2" x14ac:dyDescent="0.2">
      <c r="A3" t="s">
        <v>1013</v>
      </c>
      <c r="B3" s="138" t="str">
        <f>COVER!A15</f>
        <v>LAKE</v>
      </c>
    </row>
    <row r="4" spans="1:2" x14ac:dyDescent="0.2">
      <c r="A4" t="s">
        <v>1064</v>
      </c>
      <c r="B4" s="138" t="str">
        <f>COVER!A17</f>
        <v>Grayslake  CCSD 46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10264281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4251005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26293221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670354</v>
      </c>
      <c r="D86" s="2" t="str">
        <f t="shared" si="0"/>
        <v>Error?</v>
      </c>
    </row>
    <row r="87" spans="1:4" x14ac:dyDescent="0.2">
      <c r="A87" s="10">
        <v>26</v>
      </c>
      <c r="D87" s="2" t="str">
        <f t="shared" si="0"/>
        <v>OK</v>
      </c>
    </row>
    <row r="88" spans="1:4" x14ac:dyDescent="0.2">
      <c r="A88" s="5">
        <v>27</v>
      </c>
      <c r="B88" s="138">
        <f>'Assets-Liab 5-6'!C32</f>
        <v>10896661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15832052</v>
      </c>
      <c r="C91" s="2" t="s">
        <v>594</v>
      </c>
      <c r="D91" s="2" t="str">
        <f t="shared" si="0"/>
        <v>Error?</v>
      </c>
    </row>
    <row r="92" spans="1:4" x14ac:dyDescent="0.2">
      <c r="A92" s="5">
        <v>31</v>
      </c>
      <c r="B92" s="138">
        <f>'Assets-Liab 5-6'!C39</f>
        <v>10461169</v>
      </c>
      <c r="D92" s="2" t="str">
        <f t="shared" si="0"/>
        <v>Error?</v>
      </c>
    </row>
    <row r="93" spans="1:4" x14ac:dyDescent="0.2">
      <c r="A93" s="5">
        <v>32</v>
      </c>
      <c r="B93" s="138">
        <f>'Assets-Liab 5-6'!C41</f>
        <v>26293221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1573590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1105643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5584676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1670538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1691277</v>
      </c>
      <c r="C122" s="2" t="s">
        <v>594</v>
      </c>
      <c r="D122" s="2" t="str">
        <f t="shared" si="0"/>
        <v>Error?</v>
      </c>
    </row>
    <row r="123" spans="1:4" x14ac:dyDescent="0.2">
      <c r="A123" s="5">
        <v>62</v>
      </c>
      <c r="B123" s="138">
        <f>'Assets-Liab 5-6'!D39</f>
        <v>3893399</v>
      </c>
      <c r="D123" s="2" t="str">
        <f t="shared" si="0"/>
        <v>Error?</v>
      </c>
    </row>
    <row r="124" spans="1:4" x14ac:dyDescent="0.2">
      <c r="A124" s="5">
        <v>63</v>
      </c>
      <c r="B124" s="138">
        <f>'Assets-Liab 5-6'!D41</f>
        <v>5584676</v>
      </c>
      <c r="C124" s="2" t="s">
        <v>594</v>
      </c>
      <c r="D124" s="2" t="str">
        <f t="shared" si="0"/>
        <v>Error?</v>
      </c>
    </row>
    <row r="125" spans="1:4" x14ac:dyDescent="0.2">
      <c r="A125" s="10">
        <v>64</v>
      </c>
      <c r="D125" s="2" t="str">
        <f t="shared" si="0"/>
        <v>OK</v>
      </c>
    </row>
    <row r="126" spans="1:4" x14ac:dyDescent="0.2">
      <c r="A126" s="5">
        <v>65</v>
      </c>
      <c r="B126" s="138">
        <f>'Assets-Liab 5-6'!E6</f>
        <v>3643284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1401031</v>
      </c>
      <c r="D129" s="2" t="str">
        <f t="shared" si="1"/>
        <v>Error?</v>
      </c>
    </row>
    <row r="130" spans="1:4" x14ac:dyDescent="0.2">
      <c r="A130" s="5">
        <v>69</v>
      </c>
      <c r="B130" s="138">
        <f>'Assets-Liab 5-6'!E12</f>
        <v>0</v>
      </c>
      <c r="D130" s="2" t="str">
        <f t="shared" si="1"/>
        <v>Error?</v>
      </c>
    </row>
    <row r="131" spans="1:4" x14ac:dyDescent="0.2">
      <c r="A131" s="5">
        <v>70</v>
      </c>
      <c r="B131" s="138">
        <f>'Assets-Liab 5-6'!E13</f>
        <v>8660656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3867746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3867746</v>
      </c>
      <c r="C139" s="2" t="s">
        <v>594</v>
      </c>
      <c r="D139" s="2" t="str">
        <f t="shared" si="1"/>
        <v>Error?</v>
      </c>
    </row>
    <row r="140" spans="1:4" x14ac:dyDescent="0.2">
      <c r="A140" s="5">
        <v>79</v>
      </c>
      <c r="B140" s="138">
        <f>'Assets-Liab 5-6'!E39</f>
        <v>4792910</v>
      </c>
      <c r="D140" s="2" t="str">
        <f t="shared" si="1"/>
        <v>Error?</v>
      </c>
    </row>
    <row r="141" spans="1:4" x14ac:dyDescent="0.2">
      <c r="A141" s="5">
        <v>80</v>
      </c>
      <c r="B141" s="138">
        <f>'Assets-Liab 5-6'!E41</f>
        <v>8660656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534113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21864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1099795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567020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598178</v>
      </c>
      <c r="C169" s="2" t="s">
        <v>594</v>
      </c>
      <c r="D169" s="2" t="str">
        <f t="shared" si="1"/>
        <v>Error?</v>
      </c>
    </row>
    <row r="170" spans="1:4" x14ac:dyDescent="0.2">
      <c r="A170" s="5">
        <v>109</v>
      </c>
      <c r="B170" s="138">
        <f>'Assets-Liab 5-6'!F39</f>
        <v>501617</v>
      </c>
      <c r="D170" s="2" t="str">
        <f t="shared" si="1"/>
        <v>Error?</v>
      </c>
    </row>
    <row r="171" spans="1:4" x14ac:dyDescent="0.2">
      <c r="A171" s="5">
        <v>110</v>
      </c>
      <c r="B171" s="138">
        <f>'Assets-Liab 5-6'!F41</f>
        <v>1099795</v>
      </c>
      <c r="C171" s="2" t="s">
        <v>594</v>
      </c>
      <c r="D171" s="2" t="str">
        <f t="shared" si="1"/>
        <v>Error?</v>
      </c>
    </row>
    <row r="172" spans="1:4" x14ac:dyDescent="0.2">
      <c r="A172" s="10">
        <v>111</v>
      </c>
      <c r="D172" s="2" t="str">
        <f t="shared" si="1"/>
        <v>OK</v>
      </c>
    </row>
    <row r="173" spans="1:4" x14ac:dyDescent="0.2">
      <c r="A173" s="5">
        <v>112</v>
      </c>
      <c r="B173" s="138">
        <f>'Assets-Liab 5-6'!G6</f>
        <v>671772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184901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1351158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713160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736129</v>
      </c>
      <c r="C188" s="2" t="s">
        <v>594</v>
      </c>
      <c r="D188" s="2" t="str">
        <f t="shared" si="1"/>
        <v>Error?</v>
      </c>
    </row>
    <row r="189" spans="1:4" x14ac:dyDescent="0.2">
      <c r="A189" s="5">
        <v>128</v>
      </c>
      <c r="B189" s="138">
        <f>'Assets-Liab 5-6'!G39</f>
        <v>99651</v>
      </c>
      <c r="D189" s="2" t="str">
        <f t="shared" si="1"/>
        <v>Error?</v>
      </c>
    </row>
    <row r="190" spans="1:4" x14ac:dyDescent="0.2">
      <c r="A190" s="5">
        <v>129</v>
      </c>
      <c r="B190" s="138">
        <f>'Assets-Liab 5-6'!G41</f>
        <v>1351158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471774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1689516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806787</v>
      </c>
      <c r="C211" s="2" t="s">
        <v>594</v>
      </c>
      <c r="D211" s="2" t="str">
        <f t="shared" si="2"/>
        <v>Error?</v>
      </c>
    </row>
    <row r="212" spans="1:4" x14ac:dyDescent="0.2">
      <c r="A212" s="5">
        <v>151</v>
      </c>
      <c r="B212" s="138">
        <f>'Assets-Liab 5-6'!H39</f>
        <v>882729</v>
      </c>
      <c r="D212" s="2" t="str">
        <f t="shared" si="2"/>
        <v>Error?</v>
      </c>
    </row>
    <row r="213" spans="1:4" x14ac:dyDescent="0.2">
      <c r="A213" s="12">
        <v>152</v>
      </c>
      <c r="B213" s="138">
        <f>'Assets-Liab 5-6'!H41</f>
        <v>1689516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2265169</v>
      </c>
      <c r="D273" s="2" t="str">
        <f t="shared" si="3"/>
        <v>Error?</v>
      </c>
    </row>
    <row r="274" spans="1:4" x14ac:dyDescent="0.2">
      <c r="A274" s="5">
        <v>213</v>
      </c>
      <c r="B274" s="138">
        <f>'Assets-Liab 5-6'!M17</f>
        <v>92345720</v>
      </c>
      <c r="D274" s="2" t="str">
        <f t="shared" si="3"/>
        <v>Error?</v>
      </c>
    </row>
    <row r="275" spans="1:4" x14ac:dyDescent="0.2">
      <c r="A275" s="5">
        <v>214</v>
      </c>
      <c r="B275" s="138">
        <f>'Assets-Liab 5-6'!M18</f>
        <v>3828354</v>
      </c>
      <c r="D275" s="2" t="str">
        <f t="shared" si="3"/>
        <v>Error?</v>
      </c>
    </row>
    <row r="276" spans="1:4" x14ac:dyDescent="0.2">
      <c r="A276" s="5">
        <v>215</v>
      </c>
      <c r="B276" s="138">
        <f>'Assets-Liab 5-6'!M19</f>
        <v>5493707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106108083</v>
      </c>
      <c r="C279" s="2" t="s">
        <v>594</v>
      </c>
      <c r="D279" s="2" t="str">
        <f t="shared" si="3"/>
        <v>Error?</v>
      </c>
    </row>
    <row r="280" spans="1:4" x14ac:dyDescent="0.2">
      <c r="A280" s="5">
        <v>219</v>
      </c>
      <c r="B280" s="138">
        <f>'Assets-Liab 5-6'!M40</f>
        <v>106108083</v>
      </c>
      <c r="D280" s="2" t="str">
        <f t="shared" si="3"/>
        <v>Error?</v>
      </c>
    </row>
    <row r="281" spans="1:4" x14ac:dyDescent="0.2">
      <c r="A281" s="5">
        <v>220</v>
      </c>
      <c r="B281" s="138">
        <f>'Assets-Liab 5-6'!M41</f>
        <v>106108083</v>
      </c>
      <c r="C281" s="2" t="s">
        <v>594</v>
      </c>
      <c r="D281" s="2" t="str">
        <f t="shared" si="3"/>
        <v>Error?</v>
      </c>
    </row>
    <row r="282" spans="1:4" x14ac:dyDescent="0.2">
      <c r="A282" s="5">
        <v>221</v>
      </c>
      <c r="B282" s="138">
        <f>'Assets-Liab 5-6'!N21</f>
        <v>4792910</v>
      </c>
      <c r="D282" s="2" t="str">
        <f t="shared" si="3"/>
        <v>Error?</v>
      </c>
    </row>
    <row r="283" spans="1:4" x14ac:dyDescent="0.2">
      <c r="A283" s="5">
        <v>222</v>
      </c>
      <c r="B283" s="138">
        <f>'Assets-Liab 5-6'!N22</f>
        <v>47250616</v>
      </c>
      <c r="D283" s="2" t="str">
        <f t="shared" si="3"/>
        <v>Error?</v>
      </c>
    </row>
    <row r="284" spans="1:4" x14ac:dyDescent="0.2">
      <c r="A284" s="5">
        <v>223</v>
      </c>
      <c r="B284" s="138">
        <f>'Assets-Liab 5-6'!N23</f>
        <v>52043526</v>
      </c>
      <c r="C284" s="2" t="s">
        <v>594</v>
      </c>
      <c r="D284" s="2" t="str">
        <f t="shared" si="3"/>
        <v>Error?</v>
      </c>
    </row>
    <row r="285" spans="1:4" x14ac:dyDescent="0.2">
      <c r="A285" s="5">
        <v>224</v>
      </c>
      <c r="B285" s="138">
        <f>'Assets-Liab 5-6'!N36</f>
        <v>52043526</v>
      </c>
      <c r="D285" s="2" t="str">
        <f t="shared" si="3"/>
        <v>Error?</v>
      </c>
    </row>
    <row r="286" spans="1:4" x14ac:dyDescent="0.2">
      <c r="A286" s="10">
        <v>225</v>
      </c>
      <c r="D286" s="2" t="str">
        <f t="shared" si="3"/>
        <v>OK</v>
      </c>
    </row>
    <row r="287" spans="1:4" x14ac:dyDescent="0.2">
      <c r="A287" s="5">
        <v>226</v>
      </c>
      <c r="B287" s="138">
        <f>'Assets-Liab 5-6'!N37</f>
        <v>52043526</v>
      </c>
      <c r="C287" s="2" t="s">
        <v>594</v>
      </c>
      <c r="D287" s="2" t="str">
        <f t="shared" si="3"/>
        <v>Error?</v>
      </c>
    </row>
    <row r="288" spans="1:4" x14ac:dyDescent="0.2">
      <c r="A288" s="5">
        <v>227</v>
      </c>
      <c r="B288" s="138">
        <f>'Assets-Liab 5-6'!N41</f>
        <v>52043526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11184350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1449603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418000</v>
      </c>
      <c r="D718" s="2" t="str">
        <f t="shared" si="10"/>
        <v>Error?</v>
      </c>
    </row>
    <row r="719" spans="1:4" x14ac:dyDescent="0.2">
      <c r="A719" s="5">
        <v>658</v>
      </c>
      <c r="B719" s="138">
        <f>'Expenditures 15-22'!C15</f>
        <v>110998</v>
      </c>
      <c r="D719" s="2" t="str">
        <f t="shared" si="10"/>
        <v>Error?</v>
      </c>
    </row>
    <row r="720" spans="1:4" x14ac:dyDescent="0.2">
      <c r="A720" s="5">
        <v>659</v>
      </c>
      <c r="B720" s="138">
        <f>'Expenditures 15-22'!C33</f>
        <v>19374494</v>
      </c>
      <c r="C720" s="2" t="s">
        <v>594</v>
      </c>
      <c r="D720" s="2" t="str">
        <f t="shared" si="10"/>
        <v>Error?</v>
      </c>
    </row>
    <row r="721" spans="1:4" x14ac:dyDescent="0.2">
      <c r="A721" s="5">
        <v>660</v>
      </c>
      <c r="B721" s="138">
        <f>'Expenditures 15-22'!C36</f>
        <v>980594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305112</v>
      </c>
      <c r="D723" s="2" t="str">
        <f t="shared" si="10"/>
        <v>Error?</v>
      </c>
    </row>
    <row r="724" spans="1:4" x14ac:dyDescent="0.2">
      <c r="A724" s="5">
        <v>663</v>
      </c>
      <c r="B724" s="138">
        <f>'Expenditures 15-22'!C39</f>
        <v>310565</v>
      </c>
      <c r="D724" s="2" t="str">
        <f t="shared" si="10"/>
        <v>Error?</v>
      </c>
    </row>
    <row r="725" spans="1:4" x14ac:dyDescent="0.2">
      <c r="A725" s="5">
        <v>664</v>
      </c>
      <c r="B725" s="138">
        <f>'Expenditures 15-22'!C40</f>
        <v>764420</v>
      </c>
      <c r="D725" s="2" t="str">
        <f t="shared" si="10"/>
        <v>Error?</v>
      </c>
    </row>
    <row r="726" spans="1:4" x14ac:dyDescent="0.2">
      <c r="A726" s="5">
        <v>665</v>
      </c>
      <c r="B726" s="138">
        <f>'Expenditures 15-22'!C41</f>
        <v>442329</v>
      </c>
      <c r="D726" s="2" t="str">
        <f t="shared" si="10"/>
        <v>Error?</v>
      </c>
    </row>
    <row r="727" spans="1:4" x14ac:dyDescent="0.2">
      <c r="A727" s="5">
        <v>666</v>
      </c>
      <c r="B727" s="138">
        <f>'Expenditures 15-22'!C42</f>
        <v>2803020</v>
      </c>
      <c r="C727" s="2" t="s">
        <v>594</v>
      </c>
      <c r="D727" s="2" t="str">
        <f t="shared" si="10"/>
        <v>Error?</v>
      </c>
    </row>
    <row r="728" spans="1:4" x14ac:dyDescent="0.2">
      <c r="A728" s="5">
        <v>667</v>
      </c>
      <c r="B728" s="138">
        <f>'Expenditures 15-22'!C44</f>
        <v>729598</v>
      </c>
      <c r="D728" s="2" t="str">
        <f t="shared" si="10"/>
        <v>Error?</v>
      </c>
    </row>
    <row r="729" spans="1:4" x14ac:dyDescent="0.2">
      <c r="A729" s="5">
        <v>668</v>
      </c>
      <c r="B729" s="138">
        <f>'Expenditures 15-22'!C45</f>
        <v>754899</v>
      </c>
      <c r="D729" s="2" t="str">
        <f t="shared" si="10"/>
        <v>Error?</v>
      </c>
    </row>
    <row r="730" spans="1:4" x14ac:dyDescent="0.2">
      <c r="A730" s="5">
        <v>669</v>
      </c>
      <c r="B730" s="138">
        <f>'Expenditures 15-22'!C46</f>
        <v>601</v>
      </c>
      <c r="D730" s="2" t="str">
        <f t="shared" si="10"/>
        <v>Error?</v>
      </c>
    </row>
    <row r="731" spans="1:4" x14ac:dyDescent="0.2">
      <c r="A731" s="5">
        <v>670</v>
      </c>
      <c r="B731" s="138">
        <f>'Expenditures 15-22'!C47</f>
        <v>1485098</v>
      </c>
      <c r="C731" s="2" t="s">
        <v>594</v>
      </c>
      <c r="D731" s="2" t="str">
        <f t="shared" si="10"/>
        <v>Error?</v>
      </c>
    </row>
    <row r="732" spans="1:4" x14ac:dyDescent="0.2">
      <c r="A732" s="5">
        <v>671</v>
      </c>
      <c r="B732" s="138">
        <f>'Expenditures 15-22'!C49</f>
        <v>10331</v>
      </c>
      <c r="D732" s="2" t="str">
        <f t="shared" si="10"/>
        <v>Error?</v>
      </c>
    </row>
    <row r="733" spans="1:4" x14ac:dyDescent="0.2">
      <c r="A733" s="5">
        <v>672</v>
      </c>
      <c r="B733" s="138">
        <f>'Expenditures 15-22'!C50</f>
        <v>203543</v>
      </c>
      <c r="D733" s="2" t="str">
        <f t="shared" si="10"/>
        <v>Error?</v>
      </c>
    </row>
    <row r="734" spans="1:4" x14ac:dyDescent="0.2">
      <c r="A734" s="5">
        <v>673</v>
      </c>
      <c r="B734" s="138">
        <f>'Expenditures 15-22'!C53</f>
        <v>570678</v>
      </c>
      <c r="C734" s="2" t="s">
        <v>594</v>
      </c>
      <c r="D734" s="2" t="str">
        <f t="shared" si="10"/>
        <v>Error?</v>
      </c>
    </row>
    <row r="735" spans="1:4" x14ac:dyDescent="0.2">
      <c r="A735" s="5">
        <v>674</v>
      </c>
      <c r="B735" s="138">
        <f>'Expenditures 15-22'!C55</f>
        <v>1439082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1439082</v>
      </c>
      <c r="C737" s="2" t="s">
        <v>594</v>
      </c>
      <c r="D737" s="2" t="str">
        <f t="shared" si="10"/>
        <v>Error?</v>
      </c>
    </row>
    <row r="738" spans="1:4" x14ac:dyDescent="0.2">
      <c r="A738" s="5">
        <v>677</v>
      </c>
      <c r="B738" s="138">
        <f>'Expenditures 15-22'!C59</f>
        <v>139515</v>
      </c>
      <c r="D738" s="2" t="str">
        <f t="shared" si="10"/>
        <v>Error?</v>
      </c>
    </row>
    <row r="739" spans="1:4" x14ac:dyDescent="0.2">
      <c r="A739" s="5">
        <v>678</v>
      </c>
      <c r="B739" s="138">
        <f>'Expenditures 15-22'!C60</f>
        <v>313576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29085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482176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10000</v>
      </c>
      <c r="D749" s="2" t="str">
        <f t="shared" si="10"/>
        <v>Error?</v>
      </c>
    </row>
    <row r="750" spans="1:4" x14ac:dyDescent="0.2">
      <c r="A750" s="10">
        <v>689</v>
      </c>
      <c r="D750" s="2" t="str">
        <f t="shared" si="10"/>
        <v>OK</v>
      </c>
    </row>
    <row r="751" spans="1:4" x14ac:dyDescent="0.2">
      <c r="A751" s="5">
        <v>690</v>
      </c>
      <c r="B751" s="138">
        <f>'Expenditures 15-22'!C71</f>
        <v>506661</v>
      </c>
      <c r="D751" s="2" t="str">
        <f t="shared" si="10"/>
        <v>Error?</v>
      </c>
    </row>
    <row r="752" spans="1:4" x14ac:dyDescent="0.2">
      <c r="A752" s="10">
        <v>691</v>
      </c>
      <c r="D752" s="2" t="str">
        <f t="shared" si="10"/>
        <v>OK</v>
      </c>
    </row>
    <row r="753" spans="1:4" x14ac:dyDescent="0.2">
      <c r="A753" s="5">
        <v>692</v>
      </c>
      <c r="B753" s="138">
        <f>'Expenditures 15-22'!C72</f>
        <v>516661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7296715</v>
      </c>
      <c r="C755" s="2" t="s">
        <v>594</v>
      </c>
      <c r="D755" s="2" t="str">
        <f t="shared" si="10"/>
        <v>Error?</v>
      </c>
    </row>
    <row r="756" spans="1:4" x14ac:dyDescent="0.2">
      <c r="A756" s="5">
        <v>695</v>
      </c>
      <c r="B756" s="138">
        <f>'Expenditures 15-22'!C75</f>
        <v>854</v>
      </c>
      <c r="D756" s="2" t="str">
        <f t="shared" si="10"/>
        <v>Error?</v>
      </c>
    </row>
    <row r="757" spans="1:4" x14ac:dyDescent="0.2">
      <c r="A757" s="5">
        <v>696</v>
      </c>
      <c r="B757" s="138">
        <f>'Expenditures 15-22'!C114</f>
        <v>26672063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1641714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233688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8075</v>
      </c>
      <c r="D776" s="2" t="str">
        <f t="shared" si="11"/>
        <v>Error?</v>
      </c>
    </row>
    <row r="777" spans="1:4" x14ac:dyDescent="0.2">
      <c r="A777" s="5">
        <v>716</v>
      </c>
      <c r="B777" s="138">
        <f>'Expenditures 15-22'!D15</f>
        <v>1613</v>
      </c>
      <c r="D777" s="2" t="str">
        <f t="shared" si="11"/>
        <v>Error?</v>
      </c>
    </row>
    <row r="778" spans="1:4" x14ac:dyDescent="0.2">
      <c r="A778" s="5">
        <v>717</v>
      </c>
      <c r="B778" s="138">
        <f>'Expenditures 15-22'!D33</f>
        <v>3171016</v>
      </c>
      <c r="C778" s="2" t="s">
        <v>594</v>
      </c>
      <c r="D778" s="2" t="str">
        <f t="shared" si="11"/>
        <v>Error?</v>
      </c>
    </row>
    <row r="779" spans="1:4" x14ac:dyDescent="0.2">
      <c r="A779" s="5">
        <v>718</v>
      </c>
      <c r="B779" s="138">
        <f>'Expenditures 15-22'!D36</f>
        <v>104681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69015</v>
      </c>
      <c r="D781" s="2" t="str">
        <f t="shared" si="11"/>
        <v>Error?</v>
      </c>
    </row>
    <row r="782" spans="1:4" x14ac:dyDescent="0.2">
      <c r="A782" s="5">
        <v>721</v>
      </c>
      <c r="B782" s="138">
        <f>'Expenditures 15-22'!D39</f>
        <v>49314</v>
      </c>
      <c r="D782" s="2" t="str">
        <f t="shared" si="11"/>
        <v>Error?</v>
      </c>
    </row>
    <row r="783" spans="1:4" x14ac:dyDescent="0.2">
      <c r="A783" s="5">
        <v>722</v>
      </c>
      <c r="B783" s="138">
        <f>'Expenditures 15-22'!D40</f>
        <v>92466</v>
      </c>
      <c r="D783" s="2" t="str">
        <f t="shared" si="11"/>
        <v>Error?</v>
      </c>
    </row>
    <row r="784" spans="1:4" x14ac:dyDescent="0.2">
      <c r="A784" s="5">
        <v>723</v>
      </c>
      <c r="B784" s="138">
        <f>'Expenditures 15-22'!D41</f>
        <v>41010</v>
      </c>
      <c r="D784" s="2" t="str">
        <f t="shared" si="11"/>
        <v>Error?</v>
      </c>
    </row>
    <row r="785" spans="1:4" x14ac:dyDescent="0.2">
      <c r="A785" s="5">
        <v>724</v>
      </c>
      <c r="B785" s="138">
        <f>'Expenditures 15-22'!D42</f>
        <v>356486</v>
      </c>
      <c r="C785" s="2" t="s">
        <v>594</v>
      </c>
      <c r="D785" s="2" t="str">
        <f t="shared" si="11"/>
        <v>Error?</v>
      </c>
    </row>
    <row r="786" spans="1:4" x14ac:dyDescent="0.2">
      <c r="A786" s="5">
        <v>725</v>
      </c>
      <c r="B786" s="138">
        <f>'Expenditures 15-22'!D44</f>
        <v>136515</v>
      </c>
      <c r="D786" s="2" t="str">
        <f t="shared" si="11"/>
        <v>Error?</v>
      </c>
    </row>
    <row r="787" spans="1:4" x14ac:dyDescent="0.2">
      <c r="A787" s="5">
        <v>726</v>
      </c>
      <c r="B787" s="138">
        <f>'Expenditures 15-22'!D45</f>
        <v>119368</v>
      </c>
      <c r="D787" s="2" t="str">
        <f t="shared" si="11"/>
        <v>Error?</v>
      </c>
    </row>
    <row r="788" spans="1:4" x14ac:dyDescent="0.2">
      <c r="A788" s="5">
        <v>727</v>
      </c>
      <c r="B788" s="138">
        <f>'Expenditures 15-22'!D46</f>
        <v>14</v>
      </c>
      <c r="D788" s="2" t="str">
        <f t="shared" si="11"/>
        <v>Error?</v>
      </c>
    </row>
    <row r="789" spans="1:4" x14ac:dyDescent="0.2">
      <c r="A789" s="5">
        <v>728</v>
      </c>
      <c r="B789" s="138">
        <f>'Expenditures 15-22'!D47</f>
        <v>255897</v>
      </c>
      <c r="C789" s="2" t="s">
        <v>594</v>
      </c>
      <c r="D789" s="2" t="str">
        <f t="shared" si="11"/>
        <v>Error?</v>
      </c>
    </row>
    <row r="790" spans="1:4" x14ac:dyDescent="0.2">
      <c r="A790" s="5">
        <v>729</v>
      </c>
      <c r="B790" s="138">
        <f>'Expenditures 15-22'!D49</f>
        <v>64000</v>
      </c>
      <c r="D790" s="2" t="str">
        <f t="shared" si="11"/>
        <v>Error?</v>
      </c>
    </row>
    <row r="791" spans="1:4" x14ac:dyDescent="0.2">
      <c r="A791" s="5">
        <v>730</v>
      </c>
      <c r="B791" s="138">
        <f>'Expenditures 15-22'!D50</f>
        <v>39825</v>
      </c>
      <c r="D791" s="2" t="str">
        <f t="shared" si="11"/>
        <v>Error?</v>
      </c>
    </row>
    <row r="792" spans="1:4" x14ac:dyDescent="0.2">
      <c r="A792" s="5">
        <v>731</v>
      </c>
      <c r="B792" s="138">
        <f>'Expenditures 15-22'!D53</f>
        <v>174528</v>
      </c>
      <c r="C792" s="2" t="s">
        <v>594</v>
      </c>
      <c r="D792" s="2" t="str">
        <f t="shared" si="11"/>
        <v>Error?</v>
      </c>
    </row>
    <row r="793" spans="1:4" x14ac:dyDescent="0.2">
      <c r="A793" s="5">
        <v>732</v>
      </c>
      <c r="B793" s="138">
        <f>'Expenditures 15-22'!D55</f>
        <v>296307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296307</v>
      </c>
      <c r="C795" s="2" t="s">
        <v>594</v>
      </c>
      <c r="D795" s="2" t="str">
        <f t="shared" si="11"/>
        <v>Error?</v>
      </c>
    </row>
    <row r="796" spans="1:4" x14ac:dyDescent="0.2">
      <c r="A796" s="5">
        <v>735</v>
      </c>
      <c r="B796" s="138">
        <f>'Expenditures 15-22'!D59</f>
        <v>27521</v>
      </c>
      <c r="D796" s="2" t="str">
        <f t="shared" si="11"/>
        <v>Error?</v>
      </c>
    </row>
    <row r="797" spans="1:4" x14ac:dyDescent="0.2">
      <c r="A797" s="5">
        <v>736</v>
      </c>
      <c r="B797" s="138">
        <f>'Expenditures 15-22'!D60</f>
        <v>46492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7501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81514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90682</v>
      </c>
      <c r="D807" s="2" t="str">
        <f t="shared" si="11"/>
        <v>Error?</v>
      </c>
    </row>
    <row r="808" spans="1:4" x14ac:dyDescent="0.2">
      <c r="A808" s="10">
        <v>747</v>
      </c>
      <c r="D808" s="2" t="str">
        <f t="shared" si="11"/>
        <v>OK</v>
      </c>
    </row>
    <row r="809" spans="1:4" x14ac:dyDescent="0.2">
      <c r="A809" s="5">
        <v>748</v>
      </c>
      <c r="B809" s="138">
        <f>'Expenditures 15-22'!D71</f>
        <v>80517</v>
      </c>
      <c r="D809" s="2" t="str">
        <f t="shared" si="11"/>
        <v>Error?</v>
      </c>
    </row>
    <row r="810" spans="1:4" x14ac:dyDescent="0.2">
      <c r="A810" s="10">
        <v>749</v>
      </c>
      <c r="D810" s="2" t="str">
        <f t="shared" si="11"/>
        <v>OK</v>
      </c>
    </row>
    <row r="811" spans="1:4" x14ac:dyDescent="0.2">
      <c r="A811" s="5">
        <v>750</v>
      </c>
      <c r="B811" s="138">
        <f>'Expenditures 15-22'!D72</f>
        <v>171199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1335931</v>
      </c>
      <c r="C813" s="2" t="s">
        <v>594</v>
      </c>
      <c r="D813" s="2" t="str">
        <f t="shared" si="11"/>
        <v>Error?</v>
      </c>
    </row>
    <row r="814" spans="1:4" x14ac:dyDescent="0.2">
      <c r="A814" s="5">
        <v>753</v>
      </c>
      <c r="B814" s="138">
        <f>'Expenditures 15-22'!D75</f>
        <v>20</v>
      </c>
      <c r="D814" s="2" t="str">
        <f t="shared" si="11"/>
        <v>Error?</v>
      </c>
    </row>
    <row r="815" spans="1:4" x14ac:dyDescent="0.2">
      <c r="A815" s="5">
        <v>754</v>
      </c>
      <c r="B815" s="138">
        <f>'Expenditures 15-22'!D114</f>
        <v>4506967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170716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16233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15420</v>
      </c>
      <c r="D834" s="2" t="str">
        <f t="shared" si="12"/>
        <v>Error?</v>
      </c>
    </row>
    <row r="835" spans="1:4" x14ac:dyDescent="0.2">
      <c r="A835" s="5">
        <v>774</v>
      </c>
      <c r="B835" s="138">
        <f>'Expenditures 15-22'!E15</f>
        <v>1134</v>
      </c>
      <c r="D835" s="2" t="str">
        <f t="shared" si="12"/>
        <v>Error?</v>
      </c>
    </row>
    <row r="836" spans="1:4" x14ac:dyDescent="0.2">
      <c r="A836" s="5">
        <v>775</v>
      </c>
      <c r="B836" s="138">
        <f>'Expenditures 15-22'!E33</f>
        <v>258454</v>
      </c>
      <c r="C836" s="2" t="s">
        <v>594</v>
      </c>
      <c r="D836" s="2" t="str">
        <f t="shared" si="12"/>
        <v>Error?</v>
      </c>
    </row>
    <row r="837" spans="1:4" x14ac:dyDescent="0.2">
      <c r="A837" s="5">
        <v>776</v>
      </c>
      <c r="B837" s="138">
        <f>'Expenditures 15-22'!E36</f>
        <v>69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139760</v>
      </c>
      <c r="D839" s="2" t="str">
        <f t="shared" si="12"/>
        <v>Error?</v>
      </c>
    </row>
    <row r="840" spans="1:4" x14ac:dyDescent="0.2">
      <c r="A840" s="5">
        <v>779</v>
      </c>
      <c r="B840" s="138">
        <f>'Expenditures 15-22'!E39</f>
        <v>12805</v>
      </c>
      <c r="D840" s="2" t="str">
        <f t="shared" si="12"/>
        <v>Error?</v>
      </c>
    </row>
    <row r="841" spans="1:4" x14ac:dyDescent="0.2">
      <c r="A841" s="5">
        <v>780</v>
      </c>
      <c r="B841" s="138">
        <f>'Expenditures 15-22'!E40</f>
        <v>71391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224025</v>
      </c>
      <c r="C843" s="2" t="s">
        <v>594</v>
      </c>
      <c r="D843" s="2" t="str">
        <f t="shared" si="12"/>
        <v>Error?</v>
      </c>
    </row>
    <row r="844" spans="1:4" x14ac:dyDescent="0.2">
      <c r="A844" s="5">
        <v>783</v>
      </c>
      <c r="B844" s="138">
        <f>'Expenditures 15-22'!E44</f>
        <v>45312</v>
      </c>
      <c r="D844" s="2" t="str">
        <f t="shared" si="12"/>
        <v>Error?</v>
      </c>
    </row>
    <row r="845" spans="1:4" x14ac:dyDescent="0.2">
      <c r="A845" s="5">
        <v>784</v>
      </c>
      <c r="B845" s="138">
        <f>'Expenditures 15-22'!E45</f>
        <v>199</v>
      </c>
      <c r="D845" s="2" t="str">
        <f t="shared" si="12"/>
        <v>Error?</v>
      </c>
    </row>
    <row r="846" spans="1:4" x14ac:dyDescent="0.2">
      <c r="A846" s="5">
        <v>785</v>
      </c>
      <c r="B846" s="138">
        <f>'Expenditures 15-22'!E46</f>
        <v>101896</v>
      </c>
      <c r="D846" s="2" t="str">
        <f t="shared" si="12"/>
        <v>Error?</v>
      </c>
    </row>
    <row r="847" spans="1:4" x14ac:dyDescent="0.2">
      <c r="A847" s="5">
        <v>786</v>
      </c>
      <c r="B847" s="138">
        <f>'Expenditures 15-22'!E47</f>
        <v>147407</v>
      </c>
      <c r="C847" s="2" t="s">
        <v>594</v>
      </c>
      <c r="D847" s="2" t="str">
        <f t="shared" si="12"/>
        <v>Error?</v>
      </c>
    </row>
    <row r="848" spans="1:4" x14ac:dyDescent="0.2">
      <c r="A848" s="5">
        <v>787</v>
      </c>
      <c r="B848" s="138">
        <f>'Expenditures 15-22'!E49</f>
        <v>119695</v>
      </c>
      <c r="D848" s="2" t="str">
        <f t="shared" si="12"/>
        <v>Error?</v>
      </c>
    </row>
    <row r="849" spans="1:4" x14ac:dyDescent="0.2">
      <c r="A849" s="5">
        <v>788</v>
      </c>
      <c r="B849" s="138">
        <f>'Expenditures 15-22'!E50</f>
        <v>8779</v>
      </c>
      <c r="D849" s="2" t="str">
        <f t="shared" si="12"/>
        <v>Error?</v>
      </c>
    </row>
    <row r="850" spans="1:4" x14ac:dyDescent="0.2">
      <c r="A850" s="5">
        <v>789</v>
      </c>
      <c r="B850" s="138">
        <f>'Expenditures 15-22'!E53</f>
        <v>363527</v>
      </c>
      <c r="C850" s="2" t="s">
        <v>594</v>
      </c>
      <c r="D850" s="2" t="str">
        <f t="shared" si="12"/>
        <v>Error?</v>
      </c>
    </row>
    <row r="851" spans="1:4" x14ac:dyDescent="0.2">
      <c r="A851" s="5">
        <v>790</v>
      </c>
      <c r="B851" s="138">
        <f>'Expenditures 15-22'!E55</f>
        <v>3583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3583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105768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v>
      </c>
      <c r="D857" s="2" t="str">
        <f t="shared" si="12"/>
        <v>Error?</v>
      </c>
    </row>
    <row r="858" spans="1:4" x14ac:dyDescent="0.2">
      <c r="A858" s="5">
        <v>797</v>
      </c>
      <c r="B858" s="138">
        <f>'Expenditures 15-22'!E63</f>
        <v>624786</v>
      </c>
      <c r="D858" s="2" t="str">
        <f t="shared" si="12"/>
        <v>Error?</v>
      </c>
    </row>
    <row r="859" spans="1:4" x14ac:dyDescent="0.2">
      <c r="A859" s="5">
        <v>798</v>
      </c>
      <c r="B859" s="138">
        <f>'Expenditures 15-22'!E64</f>
        <v>201785</v>
      </c>
      <c r="D859" s="2" t="str">
        <f t="shared" si="12"/>
        <v>Error?</v>
      </c>
    </row>
    <row r="860" spans="1:4" x14ac:dyDescent="0.2">
      <c r="A860" s="10">
        <v>799</v>
      </c>
      <c r="D860" s="2" t="str">
        <f t="shared" si="12"/>
        <v>OK</v>
      </c>
    </row>
    <row r="861" spans="1:4" x14ac:dyDescent="0.2">
      <c r="A861" s="5">
        <v>800</v>
      </c>
      <c r="B861" s="138">
        <f>'Expenditures 15-22'!E65</f>
        <v>932346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5712</v>
      </c>
      <c r="D865" s="2" t="str">
        <f t="shared" si="12"/>
        <v>Error?</v>
      </c>
    </row>
    <row r="866" spans="1:4" x14ac:dyDescent="0.2">
      <c r="A866" s="10">
        <v>805</v>
      </c>
      <c r="D866" s="2" t="str">
        <f t="shared" si="12"/>
        <v>OK</v>
      </c>
    </row>
    <row r="867" spans="1:4" x14ac:dyDescent="0.2">
      <c r="A867" s="5">
        <v>806</v>
      </c>
      <c r="B867" s="138">
        <f>'Expenditures 15-22'!E71</f>
        <v>72687</v>
      </c>
      <c r="D867" s="2" t="str">
        <f t="shared" si="12"/>
        <v>Error?</v>
      </c>
    </row>
    <row r="868" spans="1:4" x14ac:dyDescent="0.2">
      <c r="A868" s="10">
        <v>807</v>
      </c>
      <c r="D868" s="2" t="str">
        <f t="shared" si="12"/>
        <v>OK</v>
      </c>
    </row>
    <row r="869" spans="1:4" x14ac:dyDescent="0.2">
      <c r="A869" s="5">
        <v>808</v>
      </c>
      <c r="B869" s="138">
        <f>'Expenditures 15-22'!E72</f>
        <v>78399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1749287</v>
      </c>
      <c r="C871" s="2" t="s">
        <v>594</v>
      </c>
      <c r="D871" s="2" t="str">
        <f t="shared" si="12"/>
        <v>Error?</v>
      </c>
    </row>
    <row r="872" spans="1:4" x14ac:dyDescent="0.2">
      <c r="A872" s="5">
        <v>811</v>
      </c>
      <c r="B872" s="138">
        <f>'Expenditures 15-22'!E75</f>
        <v>48815</v>
      </c>
      <c r="D872" s="2" t="str">
        <f t="shared" si="12"/>
        <v>Error?</v>
      </c>
    </row>
    <row r="873" spans="1:4" x14ac:dyDescent="0.2">
      <c r="A873" s="5">
        <v>812</v>
      </c>
      <c r="B873" s="138">
        <f>'Expenditures 15-22'!E114</f>
        <v>2056556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439339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46660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6408</v>
      </c>
      <c r="D892" s="2" t="str">
        <f t="shared" si="12"/>
        <v>Error?</v>
      </c>
    </row>
    <row r="893" spans="1:4" x14ac:dyDescent="0.2">
      <c r="A893" s="5">
        <v>832</v>
      </c>
      <c r="B893" s="138">
        <f>'Expenditures 15-22'!F15</f>
        <v>595</v>
      </c>
      <c r="D893" s="2" t="str">
        <f t="shared" si="12"/>
        <v>Error?</v>
      </c>
    </row>
    <row r="894" spans="1:4" x14ac:dyDescent="0.2">
      <c r="A894" s="5">
        <v>833</v>
      </c>
      <c r="B894" s="138">
        <f>'Expenditures 15-22'!F33</f>
        <v>600893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3178</v>
      </c>
      <c r="D897" s="2" t="str">
        <f t="shared" si="13"/>
        <v>Error?</v>
      </c>
    </row>
    <row r="898" spans="1:4" x14ac:dyDescent="0.2">
      <c r="A898" s="5">
        <v>837</v>
      </c>
      <c r="B898" s="138">
        <f>'Expenditures 15-22'!F39</f>
        <v>20</v>
      </c>
      <c r="D898" s="2" t="str">
        <f t="shared" si="13"/>
        <v>Error?</v>
      </c>
    </row>
    <row r="899" spans="1:4" x14ac:dyDescent="0.2">
      <c r="A899" s="5">
        <v>838</v>
      </c>
      <c r="B899" s="138">
        <f>'Expenditures 15-22'!F40</f>
        <v>381</v>
      </c>
      <c r="D899" s="2" t="str">
        <f t="shared" si="13"/>
        <v>Error?</v>
      </c>
    </row>
    <row r="900" spans="1:4" x14ac:dyDescent="0.2">
      <c r="A900" s="5">
        <v>839</v>
      </c>
      <c r="B900" s="138">
        <f>'Expenditures 15-22'!F41</f>
        <v>264</v>
      </c>
      <c r="D900" s="2" t="str">
        <f t="shared" si="13"/>
        <v>Error?</v>
      </c>
    </row>
    <row r="901" spans="1:4" x14ac:dyDescent="0.2">
      <c r="A901" s="5">
        <v>840</v>
      </c>
      <c r="B901" s="138">
        <f>'Expenditures 15-22'!F42</f>
        <v>3843</v>
      </c>
      <c r="C901" s="2" t="s">
        <v>594</v>
      </c>
      <c r="D901" s="2" t="str">
        <f t="shared" si="13"/>
        <v>Error?</v>
      </c>
    </row>
    <row r="902" spans="1:4" x14ac:dyDescent="0.2">
      <c r="A902" s="5">
        <v>841</v>
      </c>
      <c r="B902" s="138">
        <f>'Expenditures 15-22'!F44</f>
        <v>38556</v>
      </c>
      <c r="D902" s="2" t="str">
        <f t="shared" si="13"/>
        <v>Error?</v>
      </c>
    </row>
    <row r="903" spans="1:4" x14ac:dyDescent="0.2">
      <c r="A903" s="5">
        <v>842</v>
      </c>
      <c r="B903" s="138">
        <f>'Expenditures 15-22'!F45</f>
        <v>22116</v>
      </c>
      <c r="D903" s="2" t="str">
        <f t="shared" si="13"/>
        <v>Error?</v>
      </c>
    </row>
    <row r="904" spans="1:4" x14ac:dyDescent="0.2">
      <c r="A904" s="5">
        <v>843</v>
      </c>
      <c r="B904" s="138">
        <f>'Expenditures 15-22'!F46</f>
        <v>746</v>
      </c>
      <c r="D904" s="2" t="str">
        <f t="shared" si="13"/>
        <v>Error?</v>
      </c>
    </row>
    <row r="905" spans="1:4" x14ac:dyDescent="0.2">
      <c r="A905" s="5">
        <v>844</v>
      </c>
      <c r="B905" s="138">
        <f>'Expenditures 15-22'!F47</f>
        <v>61418</v>
      </c>
      <c r="C905" s="2" t="s">
        <v>594</v>
      </c>
      <c r="D905" s="2" t="str">
        <f t="shared" si="13"/>
        <v>Error?</v>
      </c>
    </row>
    <row r="906" spans="1:4" x14ac:dyDescent="0.2">
      <c r="A906" s="5">
        <v>845</v>
      </c>
      <c r="B906" s="138">
        <f>'Expenditures 15-22'!F49</f>
        <v>1311</v>
      </c>
      <c r="D906" s="2" t="str">
        <f t="shared" si="13"/>
        <v>Error?</v>
      </c>
    </row>
    <row r="907" spans="1:4" x14ac:dyDescent="0.2">
      <c r="A907" s="5">
        <v>846</v>
      </c>
      <c r="B907" s="138">
        <f>'Expenditures 15-22'!F50</f>
        <v>2054</v>
      </c>
      <c r="D907" s="2" t="str">
        <f t="shared" si="13"/>
        <v>Error?</v>
      </c>
    </row>
    <row r="908" spans="1:4" x14ac:dyDescent="0.2">
      <c r="A908" s="5">
        <v>847</v>
      </c>
      <c r="B908" s="138">
        <f>'Expenditures 15-22'!F53</f>
        <v>5249</v>
      </c>
      <c r="C908" s="2" t="s">
        <v>594</v>
      </c>
      <c r="D908" s="2" t="str">
        <f t="shared" si="13"/>
        <v>Error?</v>
      </c>
    </row>
    <row r="909" spans="1:4" x14ac:dyDescent="0.2">
      <c r="A909" s="5">
        <v>848</v>
      </c>
      <c r="B909" s="138">
        <f>'Expenditures 15-22'!F55</f>
        <v>8076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8076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8300</v>
      </c>
      <c r="D916" s="2" t="str">
        <f t="shared" si="13"/>
        <v>Error?</v>
      </c>
    </row>
    <row r="917" spans="1:4" x14ac:dyDescent="0.2">
      <c r="A917" s="5">
        <v>856</v>
      </c>
      <c r="B917" s="138">
        <f>'Expenditures 15-22'!F64</f>
        <v>59970</v>
      </c>
      <c r="D917" s="2" t="str">
        <f t="shared" si="13"/>
        <v>Error?</v>
      </c>
    </row>
    <row r="918" spans="1:4" x14ac:dyDescent="0.2">
      <c r="A918" s="10">
        <v>857</v>
      </c>
      <c r="D918" s="2" t="str">
        <f t="shared" si="13"/>
        <v>OK</v>
      </c>
    </row>
    <row r="919" spans="1:4" x14ac:dyDescent="0.2">
      <c r="A919" s="5">
        <v>858</v>
      </c>
      <c r="B919" s="138">
        <f>'Expenditures 15-22'!F65</f>
        <v>70617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76136</v>
      </c>
      <c r="D925" s="2" t="str">
        <f t="shared" si="13"/>
        <v>Error?</v>
      </c>
    </row>
    <row r="926" spans="1:4" x14ac:dyDescent="0.2">
      <c r="A926" s="10">
        <v>865</v>
      </c>
      <c r="D926" s="2" t="str">
        <f t="shared" si="13"/>
        <v>OK</v>
      </c>
    </row>
    <row r="927" spans="1:4" x14ac:dyDescent="0.2">
      <c r="A927" s="5">
        <v>866</v>
      </c>
      <c r="B927" s="138">
        <f>'Expenditures 15-22'!F72</f>
        <v>76136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225339</v>
      </c>
      <c r="C929" s="2" t="s">
        <v>594</v>
      </c>
      <c r="D929" s="2" t="str">
        <f t="shared" si="13"/>
        <v>Error?</v>
      </c>
    </row>
    <row r="930" spans="1:4" x14ac:dyDescent="0.2">
      <c r="A930" s="5">
        <v>869</v>
      </c>
      <c r="B930" s="138">
        <f>'Expenditures 15-22'!F75</f>
        <v>4148</v>
      </c>
      <c r="D930" s="2" t="str">
        <f t="shared" si="13"/>
        <v>Error?</v>
      </c>
    </row>
    <row r="931" spans="1:4" x14ac:dyDescent="0.2">
      <c r="A931" s="5">
        <v>870</v>
      </c>
      <c r="B931" s="138">
        <f>'Expenditures 15-22'!F114</f>
        <v>830380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2778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2429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2429</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43622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43622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46051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48829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1328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5915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1047799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9177</v>
      </c>
      <c r="D1022" s="2" t="str">
        <f t="shared" si="14"/>
        <v>Error?</v>
      </c>
    </row>
    <row r="1023" spans="1:4" x14ac:dyDescent="0.2">
      <c r="A1023" s="5">
        <v>962</v>
      </c>
      <c r="B1023" s="138">
        <f>'Expenditures 15-22'!H50</f>
        <v>4780</v>
      </c>
      <c r="D1023" s="2" t="str">
        <f t="shared" ref="D1023:D1086" si="15">IF(ISBLANK(B1023),"OK",IF(A1023-B1023=0,"OK","Error?"))</f>
        <v>Error?</v>
      </c>
    </row>
    <row r="1024" spans="1:4" x14ac:dyDescent="0.2">
      <c r="A1024" s="5">
        <v>963</v>
      </c>
      <c r="B1024" s="138">
        <f>'Expenditures 15-22'!H53</f>
        <v>15214</v>
      </c>
      <c r="C1024" s="2" t="s">
        <v>594</v>
      </c>
      <c r="D1024" s="2" t="str">
        <f t="shared" si="15"/>
        <v>Error?</v>
      </c>
    </row>
    <row r="1025" spans="1:4" x14ac:dyDescent="0.2">
      <c r="A1025" s="5">
        <v>964</v>
      </c>
      <c r="B1025" s="138">
        <f>'Expenditures 15-22'!H55</f>
        <v>5755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5755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2074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2074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23043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1638709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2709551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13441587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1746184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453818</v>
      </c>
      <c r="C1106" s="2" t="s">
        <v>594</v>
      </c>
      <c r="D1106" s="2" t="str">
        <f t="shared" si="16"/>
        <v>Error?</v>
      </c>
    </row>
    <row r="1107" spans="1:4" x14ac:dyDescent="0.2">
      <c r="A1107" s="5">
        <v>1046</v>
      </c>
      <c r="B1107" s="138">
        <f>'Expenditures 15-22'!K15</f>
        <v>114340</v>
      </c>
      <c r="C1107" s="2" t="s">
        <v>594</v>
      </c>
      <c r="D1107" s="2" t="str">
        <f t="shared" si="16"/>
        <v>Error?</v>
      </c>
    </row>
    <row r="1108" spans="1:4" x14ac:dyDescent="0.2">
      <c r="A1108" s="5">
        <v>1047</v>
      </c>
      <c r="B1108" s="138">
        <f>'Expenditures 15-22'!K33</f>
        <v>24502382</v>
      </c>
      <c r="C1108" s="2" t="s">
        <v>594</v>
      </c>
      <c r="D1108" s="2" t="str">
        <f t="shared" si="16"/>
        <v>Error?</v>
      </c>
    </row>
    <row r="1109" spans="1:4" x14ac:dyDescent="0.2">
      <c r="A1109" s="5">
        <v>1048</v>
      </c>
      <c r="B1109" s="138">
        <f>'Expenditures 15-22'!K36</f>
        <v>1085344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517065</v>
      </c>
      <c r="C1111" s="2" t="s">
        <v>594</v>
      </c>
      <c r="D1111" s="2" t="str">
        <f t="shared" si="16"/>
        <v>Error?</v>
      </c>
    </row>
    <row r="1112" spans="1:4" x14ac:dyDescent="0.2">
      <c r="A1112" s="5">
        <v>1051</v>
      </c>
      <c r="B1112" s="138">
        <f>'Expenditures 15-22'!K39</f>
        <v>372704</v>
      </c>
      <c r="C1112" s="2" t="s">
        <v>594</v>
      </c>
      <c r="D1112" s="2" t="str">
        <f t="shared" si="16"/>
        <v>Error?</v>
      </c>
    </row>
    <row r="1113" spans="1:4" x14ac:dyDescent="0.2">
      <c r="A1113" s="5">
        <v>1052</v>
      </c>
      <c r="B1113" s="138">
        <f>'Expenditures 15-22'!K40</f>
        <v>929363</v>
      </c>
      <c r="C1113" s="2" t="s">
        <v>594</v>
      </c>
      <c r="D1113" s="2" t="str">
        <f t="shared" si="16"/>
        <v>Error?</v>
      </c>
    </row>
    <row r="1114" spans="1:4" x14ac:dyDescent="0.2">
      <c r="A1114" s="5">
        <v>1053</v>
      </c>
      <c r="B1114" s="138">
        <f>'Expenditures 15-22'!K41</f>
        <v>483603</v>
      </c>
      <c r="C1114" s="2" t="s">
        <v>594</v>
      </c>
      <c r="D1114" s="2" t="str">
        <f t="shared" si="16"/>
        <v>Error?</v>
      </c>
    </row>
    <row r="1115" spans="1:4" x14ac:dyDescent="0.2">
      <c r="A1115" s="5">
        <v>1054</v>
      </c>
      <c r="B1115" s="138">
        <f>'Expenditures 15-22'!K42</f>
        <v>3388079</v>
      </c>
      <c r="C1115" s="2" t="s">
        <v>594</v>
      </c>
      <c r="D1115" s="2" t="str">
        <f t="shared" si="16"/>
        <v>Error?</v>
      </c>
    </row>
    <row r="1116" spans="1:4" x14ac:dyDescent="0.2">
      <c r="A1116" s="5">
        <v>1055</v>
      </c>
      <c r="B1116" s="138">
        <f>'Expenditures 15-22'!K44</f>
        <v>949981</v>
      </c>
      <c r="C1116" s="2" t="s">
        <v>594</v>
      </c>
      <c r="D1116" s="2" t="str">
        <f t="shared" si="16"/>
        <v>Error?</v>
      </c>
    </row>
    <row r="1117" spans="1:4" x14ac:dyDescent="0.2">
      <c r="A1117" s="5">
        <v>1056</v>
      </c>
      <c r="B1117" s="138">
        <f>'Expenditures 15-22'!K45</f>
        <v>899353</v>
      </c>
      <c r="C1117" s="2" t="s">
        <v>594</v>
      </c>
      <c r="D1117" s="2" t="str">
        <f t="shared" si="16"/>
        <v>Error?</v>
      </c>
    </row>
    <row r="1118" spans="1:4" x14ac:dyDescent="0.2">
      <c r="A1118" s="5">
        <v>1057</v>
      </c>
      <c r="B1118" s="138">
        <f>'Expenditures 15-22'!K46</f>
        <v>103257</v>
      </c>
      <c r="C1118" s="2" t="s">
        <v>594</v>
      </c>
      <c r="D1118" s="2" t="str">
        <f t="shared" si="16"/>
        <v>Error?</v>
      </c>
    </row>
    <row r="1119" spans="1:4" x14ac:dyDescent="0.2">
      <c r="A1119" s="5">
        <v>1058</v>
      </c>
      <c r="B1119" s="138">
        <f>'Expenditures 15-22'!K47</f>
        <v>1952591</v>
      </c>
      <c r="C1119" s="2" t="s">
        <v>594</v>
      </c>
      <c r="D1119" s="2" t="str">
        <f t="shared" si="16"/>
        <v>Error?</v>
      </c>
    </row>
    <row r="1120" spans="1:4" x14ac:dyDescent="0.2">
      <c r="A1120" s="5">
        <v>1059</v>
      </c>
      <c r="B1120" s="138">
        <f>'Expenditures 15-22'!K49</f>
        <v>204514</v>
      </c>
      <c r="C1120" s="2" t="s">
        <v>594</v>
      </c>
      <c r="D1120" s="2" t="str">
        <f t="shared" si="16"/>
        <v>Error?</v>
      </c>
    </row>
    <row r="1121" spans="1:4" x14ac:dyDescent="0.2">
      <c r="A1121" s="5">
        <v>1060</v>
      </c>
      <c r="B1121" s="138">
        <f>'Expenditures 15-22'!K50</f>
        <v>258981</v>
      </c>
      <c r="C1121" s="2" t="s">
        <v>594</v>
      </c>
      <c r="D1121" s="2" t="str">
        <f t="shared" si="16"/>
        <v>Error?</v>
      </c>
    </row>
    <row r="1122" spans="1:4" x14ac:dyDescent="0.2">
      <c r="A1122" s="5">
        <v>1061</v>
      </c>
      <c r="B1122" s="138">
        <f>'Expenditures 15-22'!K53</f>
        <v>1130645</v>
      </c>
      <c r="C1122" s="2" t="s">
        <v>594</v>
      </c>
      <c r="D1122" s="2" t="str">
        <f t="shared" si="16"/>
        <v>Error?</v>
      </c>
    </row>
    <row r="1123" spans="1:4" x14ac:dyDescent="0.2">
      <c r="A1123" s="5">
        <v>1062</v>
      </c>
      <c r="B1123" s="138">
        <f>'Expenditures 15-22'!K55</f>
        <v>1757769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1757769</v>
      </c>
      <c r="C1125" s="2" t="s">
        <v>594</v>
      </c>
      <c r="D1125" s="2" t="str">
        <f t="shared" si="16"/>
        <v>Error?</v>
      </c>
    </row>
    <row r="1126" spans="1:4" x14ac:dyDescent="0.2">
      <c r="A1126" s="5">
        <v>1065</v>
      </c>
      <c r="B1126" s="138">
        <f>'Expenditures 15-22'!K59</f>
        <v>167036</v>
      </c>
      <c r="C1126" s="2" t="s">
        <v>594</v>
      </c>
      <c r="D1126" s="2" t="str">
        <f t="shared" si="16"/>
        <v>Error?</v>
      </c>
    </row>
    <row r="1127" spans="1:4" x14ac:dyDescent="0.2">
      <c r="A1127" s="5">
        <v>1066</v>
      </c>
      <c r="B1127" s="138">
        <f>'Expenditures 15-22'!K60</f>
        <v>470257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7</v>
      </c>
      <c r="C1129" s="2" t="s">
        <v>594</v>
      </c>
      <c r="D1129" s="2" t="str">
        <f t="shared" si="16"/>
        <v>Error?</v>
      </c>
    </row>
    <row r="1130" spans="1:4" x14ac:dyDescent="0.2">
      <c r="A1130" s="5">
        <v>1069</v>
      </c>
      <c r="B1130" s="138">
        <f>'Expenditures 15-22'!K63</f>
        <v>713294</v>
      </c>
      <c r="C1130" s="2" t="s">
        <v>594</v>
      </c>
      <c r="D1130" s="2" t="str">
        <f t="shared" si="16"/>
        <v>Error?</v>
      </c>
    </row>
    <row r="1131" spans="1:4" x14ac:dyDescent="0.2">
      <c r="A1131" s="5">
        <v>1070</v>
      </c>
      <c r="B1131" s="138">
        <f>'Expenditures 15-22'!K64</f>
        <v>261755</v>
      </c>
      <c r="C1131" s="2" t="s">
        <v>594</v>
      </c>
      <c r="D1131" s="2" t="str">
        <f t="shared" si="16"/>
        <v>Error?</v>
      </c>
    </row>
    <row r="1132" spans="1:4" x14ac:dyDescent="0.2">
      <c r="A1132" s="10">
        <v>1071</v>
      </c>
      <c r="D1132" s="2" t="str">
        <f t="shared" si="16"/>
        <v>OK</v>
      </c>
    </row>
    <row r="1133" spans="1:4" x14ac:dyDescent="0.2">
      <c r="A1133" s="5">
        <v>1072</v>
      </c>
      <c r="B1133" s="138">
        <f>'Expenditures 15-22'!K65</f>
        <v>1612349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106394</v>
      </c>
      <c r="C1137" s="2" t="s">
        <v>594</v>
      </c>
      <c r="D1137" s="2" t="str">
        <f t="shared" si="16"/>
        <v>Error?</v>
      </c>
    </row>
    <row r="1138" spans="1:4" x14ac:dyDescent="0.2">
      <c r="A1138" s="10">
        <v>1077</v>
      </c>
      <c r="D1138" s="2" t="str">
        <f t="shared" si="16"/>
        <v>OK</v>
      </c>
    </row>
    <row r="1139" spans="1:4" x14ac:dyDescent="0.2">
      <c r="A1139" s="5">
        <v>1078</v>
      </c>
      <c r="B1139" s="138">
        <f>'Expenditures 15-22'!K71</f>
        <v>763380</v>
      </c>
      <c r="C1139" s="2" t="s">
        <v>594</v>
      </c>
      <c r="D1139" s="2" t="str">
        <f t="shared" si="16"/>
        <v>Error?</v>
      </c>
    </row>
    <row r="1140" spans="1:4" x14ac:dyDescent="0.2">
      <c r="A1140" s="10">
        <v>1079</v>
      </c>
      <c r="D1140" s="2" t="str">
        <f t="shared" si="16"/>
        <v>OK</v>
      </c>
    </row>
    <row r="1141" spans="1:4" x14ac:dyDescent="0.2">
      <c r="A1141" s="5">
        <v>1080</v>
      </c>
      <c r="B1141" s="138">
        <f>'Expenditures 15-22'!K72</f>
        <v>869774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10711207</v>
      </c>
      <c r="C1143" s="2" t="s">
        <v>594</v>
      </c>
      <c r="D1143" s="2" t="str">
        <f t="shared" si="16"/>
        <v>Error?</v>
      </c>
    </row>
    <row r="1144" spans="1:4" x14ac:dyDescent="0.2">
      <c r="A1144" s="5">
        <v>1083</v>
      </c>
      <c r="B1144" s="138">
        <f>'Expenditures 15-22'!K75</f>
        <v>53837</v>
      </c>
      <c r="C1144" s="2" t="s">
        <v>594</v>
      </c>
      <c r="D1144" s="2" t="str">
        <f t="shared" si="16"/>
        <v>Error?</v>
      </c>
    </row>
    <row r="1145" spans="1:4" x14ac:dyDescent="0.2">
      <c r="A1145" s="5">
        <v>1084</v>
      </c>
      <c r="B1145" s="138">
        <f>'Expenditures 15-22'!K102</f>
        <v>1638709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36906135</v>
      </c>
      <c r="C1152" s="2" t="s">
        <v>594</v>
      </c>
      <c r="D1152" s="2" t="str">
        <f t="shared" si="17"/>
        <v>Error?</v>
      </c>
    </row>
    <row r="1153" spans="1:4" x14ac:dyDescent="0.2">
      <c r="A1153" s="5">
        <v>1092</v>
      </c>
      <c r="B1153" s="138">
        <f>'Expenditures 15-22'!K115</f>
        <v>836567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919597</v>
      </c>
      <c r="D1221" s="2" t="str">
        <f t="shared" si="18"/>
        <v>Error?</v>
      </c>
    </row>
    <row r="1222" spans="1:4" x14ac:dyDescent="0.2">
      <c r="A1222" s="10">
        <v>1161</v>
      </c>
      <c r="D1222" s="2" t="str">
        <f t="shared" si="18"/>
        <v>OK</v>
      </c>
    </row>
    <row r="1223" spans="1:4" x14ac:dyDescent="0.2">
      <c r="A1223" s="5">
        <v>1162</v>
      </c>
      <c r="B1223" s="138">
        <f>'Expenditures 15-22'!C127</f>
        <v>919597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919597</v>
      </c>
      <c r="C1225" s="2" t="s">
        <v>594</v>
      </c>
      <c r="D1225" s="2" t="str">
        <f t="shared" si="18"/>
        <v>Error?</v>
      </c>
    </row>
    <row r="1226" spans="1:4" x14ac:dyDescent="0.2">
      <c r="A1226" s="5">
        <v>1165</v>
      </c>
      <c r="B1226" s="138">
        <f>'Expenditures 15-22'!C151</f>
        <v>919597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225683</v>
      </c>
      <c r="D1229" s="2" t="str">
        <f t="shared" si="18"/>
        <v>Error?</v>
      </c>
    </row>
    <row r="1230" spans="1:4" x14ac:dyDescent="0.2">
      <c r="A1230" s="10">
        <v>1169</v>
      </c>
      <c r="D1230" s="2" t="str">
        <f t="shared" si="18"/>
        <v>OK</v>
      </c>
    </row>
    <row r="1231" spans="1:4" x14ac:dyDescent="0.2">
      <c r="A1231" s="5">
        <v>1170</v>
      </c>
      <c r="B1231" s="138">
        <f>'Expenditures 15-22'!D127</f>
        <v>225683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225683</v>
      </c>
      <c r="C1233" s="2" t="s">
        <v>594</v>
      </c>
      <c r="D1233" s="2" t="str">
        <f t="shared" si="18"/>
        <v>Error?</v>
      </c>
    </row>
    <row r="1234" spans="1:4" x14ac:dyDescent="0.2">
      <c r="A1234" s="5">
        <v>1173</v>
      </c>
      <c r="B1234" s="138">
        <f>'Expenditures 15-22'!D151</f>
        <v>225683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944805</v>
      </c>
      <c r="D1237" s="2" t="str">
        <f t="shared" si="18"/>
        <v>Error?</v>
      </c>
    </row>
    <row r="1238" spans="1:4" x14ac:dyDescent="0.2">
      <c r="A1238" s="10">
        <v>1177</v>
      </c>
      <c r="D1238" s="2" t="str">
        <f t="shared" si="18"/>
        <v>OK</v>
      </c>
    </row>
    <row r="1239" spans="1:4" x14ac:dyDescent="0.2">
      <c r="A1239" s="5">
        <v>1178</v>
      </c>
      <c r="B1239" s="138">
        <f>'Expenditures 15-22'!E127</f>
        <v>944805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944805</v>
      </c>
      <c r="C1241" s="2" t="s">
        <v>594</v>
      </c>
      <c r="D1241" s="2" t="str">
        <f t="shared" si="18"/>
        <v>Error?</v>
      </c>
    </row>
    <row r="1242" spans="1:4" x14ac:dyDescent="0.2">
      <c r="A1242" s="5">
        <v>1181</v>
      </c>
      <c r="B1242" s="138">
        <f>'Expenditures 15-22'!E151</f>
        <v>1041332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1040791</v>
      </c>
      <c r="D1245" s="2" t="str">
        <f t="shared" si="18"/>
        <v>Error?</v>
      </c>
    </row>
    <row r="1246" spans="1:4" x14ac:dyDescent="0.2">
      <c r="A1246" s="10">
        <v>1185</v>
      </c>
      <c r="D1246" s="2" t="str">
        <f t="shared" si="18"/>
        <v>OK</v>
      </c>
    </row>
    <row r="1247" spans="1:4" x14ac:dyDescent="0.2">
      <c r="A1247" s="5">
        <v>1186</v>
      </c>
      <c r="B1247" s="138">
        <f>'Expenditures 15-22'!F127</f>
        <v>1040791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1040791</v>
      </c>
      <c r="C1249" s="2" t="s">
        <v>594</v>
      </c>
      <c r="D1249" s="2" t="str">
        <f t="shared" si="18"/>
        <v>Error?</v>
      </c>
    </row>
    <row r="1250" spans="1:4" x14ac:dyDescent="0.2">
      <c r="A1250" s="5">
        <v>1189</v>
      </c>
      <c r="B1250" s="138">
        <f>'Expenditures 15-22'!F151</f>
        <v>1040791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696638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696638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696638</v>
      </c>
      <c r="C1258" s="2" t="s">
        <v>594</v>
      </c>
      <c r="D1258" s="2" t="str">
        <f t="shared" si="18"/>
        <v>Error?</v>
      </c>
    </row>
    <row r="1259" spans="1:4" x14ac:dyDescent="0.2">
      <c r="A1259" s="5">
        <v>1198</v>
      </c>
      <c r="B1259" s="138">
        <f>'Expenditures 15-22'!G151</f>
        <v>696638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955</v>
      </c>
      <c r="D1262" s="2" t="str">
        <f t="shared" si="18"/>
        <v>Error?</v>
      </c>
    </row>
    <row r="1263" spans="1:4" x14ac:dyDescent="0.2">
      <c r="A1263" s="10">
        <v>1202</v>
      </c>
      <c r="D1263" s="2" t="str">
        <f t="shared" si="18"/>
        <v>OK</v>
      </c>
    </row>
    <row r="1264" spans="1:4" x14ac:dyDescent="0.2">
      <c r="A1264" s="5">
        <v>1203</v>
      </c>
      <c r="B1264" s="138">
        <f>'Expenditures 15-22'!H127</f>
        <v>955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955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955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3847981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3847981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3847981</v>
      </c>
      <c r="C1281" s="2" t="s">
        <v>594</v>
      </c>
      <c r="D1281" s="2" t="str">
        <f t="shared" si="19"/>
        <v>Error?</v>
      </c>
    </row>
    <row r="1282" spans="1:4" x14ac:dyDescent="0.2">
      <c r="A1282" s="5">
        <v>1221</v>
      </c>
      <c r="B1282" s="138">
        <f>'Expenditures 15-22'!K139</f>
        <v>96527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3944508</v>
      </c>
      <c r="C1288" s="2" t="s">
        <v>594</v>
      </c>
      <c r="D1288" s="2" t="str">
        <f t="shared" si="19"/>
        <v>Error?</v>
      </c>
    </row>
    <row r="1289" spans="1:4" x14ac:dyDescent="0.2">
      <c r="A1289" s="5">
        <v>1228</v>
      </c>
      <c r="B1289" s="138">
        <f>'Expenditures 15-22'!K152</f>
        <v>-397161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5580898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2095876</v>
      </c>
      <c r="D1315" s="2" t="str">
        <f t="shared" si="19"/>
        <v>Error?</v>
      </c>
    </row>
    <row r="1316" spans="1:4" x14ac:dyDescent="0.2">
      <c r="A1316" s="5">
        <v>1255</v>
      </c>
      <c r="B1316" s="138">
        <f>'Expenditures 15-22'!H171</f>
        <v>4050</v>
      </c>
      <c r="D1316" s="2" t="str">
        <f t="shared" si="19"/>
        <v>Error?</v>
      </c>
    </row>
    <row r="1317" spans="1:4" x14ac:dyDescent="0.2">
      <c r="A1317" s="5">
        <v>1256</v>
      </c>
      <c r="B1317" s="138">
        <f>'Expenditures 15-22'!H172</f>
        <v>7680824</v>
      </c>
      <c r="C1317" s="2" t="s">
        <v>594</v>
      </c>
      <c r="D1317" s="2" t="str">
        <f t="shared" si="19"/>
        <v>Error?</v>
      </c>
    </row>
    <row r="1318" spans="1:4" x14ac:dyDescent="0.2">
      <c r="A1318" s="5">
        <v>1257</v>
      </c>
      <c r="B1318" s="138">
        <f>'Expenditures 15-22'!H174</f>
        <v>7680824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5580898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2095876</v>
      </c>
      <c r="C1329" s="2" t="s">
        <v>594</v>
      </c>
      <c r="D1329" s="2" t="str">
        <f t="shared" si="19"/>
        <v>Error?</v>
      </c>
    </row>
    <row r="1330" spans="1:4" x14ac:dyDescent="0.2">
      <c r="A1330" s="5">
        <v>1269</v>
      </c>
      <c r="B1330" s="138">
        <f>'Expenditures 15-22'!K171</f>
        <v>4050</v>
      </c>
      <c r="C1330" s="2" t="s">
        <v>594</v>
      </c>
      <c r="D1330" s="2" t="str">
        <f t="shared" si="19"/>
        <v>Error?</v>
      </c>
    </row>
    <row r="1331" spans="1:4" x14ac:dyDescent="0.2">
      <c r="A1331" s="5">
        <v>1270</v>
      </c>
      <c r="B1331" s="138">
        <f>'Expenditures 15-22'!K172</f>
        <v>7680824</v>
      </c>
      <c r="C1331" s="2" t="s">
        <v>594</v>
      </c>
      <c r="D1331" s="2" t="str">
        <f t="shared" si="19"/>
        <v>Error?</v>
      </c>
    </row>
    <row r="1332" spans="1:4" x14ac:dyDescent="0.2">
      <c r="A1332" s="5">
        <v>1271</v>
      </c>
      <c r="B1332" s="138">
        <f>'Expenditures 15-22'!K174</f>
        <v>7680824</v>
      </c>
      <c r="C1332" s="2" t="s">
        <v>594</v>
      </c>
      <c r="D1332" s="2" t="str">
        <f t="shared" si="19"/>
        <v>Error?</v>
      </c>
    </row>
    <row r="1333" spans="1:4" x14ac:dyDescent="0.2">
      <c r="A1333" s="5">
        <v>1272</v>
      </c>
      <c r="B1333" s="138">
        <f>'Expenditures 15-22'!K175</f>
        <v>61313</v>
      </c>
      <c r="C1333" s="2" t="s">
        <v>594</v>
      </c>
      <c r="D1333" s="2" t="str">
        <f t="shared" si="19"/>
        <v>Error?</v>
      </c>
    </row>
    <row r="1334" spans="1:4" x14ac:dyDescent="0.2">
      <c r="A1334" s="10">
        <v>1273</v>
      </c>
      <c r="D1334" s="2" t="str">
        <f t="shared" si="19"/>
        <v>OK</v>
      </c>
    </row>
    <row r="1335" spans="1:4" x14ac:dyDescent="0.2">
      <c r="A1335" s="5">
        <v>1274</v>
      </c>
      <c r="B1335" s="138">
        <f>'Expenditures 15-22'!C182</f>
        <v>37742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37742</v>
      </c>
      <c r="C1339" s="2" t="s">
        <v>594</v>
      </c>
      <c r="D1339" s="2" t="str">
        <f t="shared" si="19"/>
        <v>Error?</v>
      </c>
    </row>
    <row r="1340" spans="1:4" x14ac:dyDescent="0.2">
      <c r="A1340" s="5">
        <v>1279</v>
      </c>
      <c r="B1340" s="138">
        <f>'Expenditures 15-22'!C210</f>
        <v>37742</v>
      </c>
      <c r="C1340" s="2" t="s">
        <v>594</v>
      </c>
      <c r="D1340" s="2" t="str">
        <f t="shared" si="19"/>
        <v>Error?</v>
      </c>
    </row>
    <row r="1341" spans="1:4" x14ac:dyDescent="0.2">
      <c r="A1341" s="5">
        <v>1280</v>
      </c>
      <c r="B1341" s="138">
        <f>'Expenditures 15-22'!D182</f>
        <v>8256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8256</v>
      </c>
      <c r="C1345" s="2" t="s">
        <v>594</v>
      </c>
      <c r="D1345" s="2" t="str">
        <f t="shared" si="20"/>
        <v>Error?</v>
      </c>
    </row>
    <row r="1346" spans="1:4" x14ac:dyDescent="0.2">
      <c r="A1346" s="5">
        <v>1285</v>
      </c>
      <c r="B1346" s="138">
        <f>'Expenditures 15-22'!D210</f>
        <v>8256</v>
      </c>
      <c r="C1346" s="2" t="s">
        <v>594</v>
      </c>
      <c r="D1346" s="2" t="str">
        <f t="shared" si="20"/>
        <v>Error?</v>
      </c>
    </row>
    <row r="1347" spans="1:4" x14ac:dyDescent="0.2">
      <c r="A1347" s="5">
        <v>1286</v>
      </c>
      <c r="B1347" s="138">
        <f>'Expenditures 15-22'!E182</f>
        <v>2963041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2963041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2963041</v>
      </c>
      <c r="C1353" s="2" t="s">
        <v>594</v>
      </c>
      <c r="D1353" s="2" t="str">
        <f t="shared" si="20"/>
        <v>Error?</v>
      </c>
    </row>
    <row r="1354" spans="1:4" x14ac:dyDescent="0.2">
      <c r="A1354" s="5">
        <v>1293</v>
      </c>
      <c r="B1354" s="138">
        <f>'Expenditures 15-22'!F182</f>
        <v>193379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193379</v>
      </c>
      <c r="C1358" s="2" t="s">
        <v>594</v>
      </c>
      <c r="D1358" s="2" t="str">
        <f t="shared" si="20"/>
        <v>Error?</v>
      </c>
    </row>
    <row r="1359" spans="1:4" x14ac:dyDescent="0.2">
      <c r="A1359" s="5">
        <v>1298</v>
      </c>
      <c r="B1359" s="138">
        <f>'Expenditures 15-22'!F210</f>
        <v>193379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3202418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3202418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3202418</v>
      </c>
      <c r="C1388" s="2" t="s">
        <v>594</v>
      </c>
      <c r="D1388" s="2" t="str">
        <f t="shared" si="20"/>
        <v>Error?</v>
      </c>
    </row>
    <row r="1389" spans="1:4" x14ac:dyDescent="0.2">
      <c r="A1389" s="5">
        <v>1328</v>
      </c>
      <c r="B1389" s="138">
        <f>'Expenditures 15-22'!K211</f>
        <v>52303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38493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17456</v>
      </c>
      <c r="D1408" s="2" t="str">
        <f t="shared" si="21"/>
        <v>Error?</v>
      </c>
    </row>
    <row r="1409" spans="1:4" x14ac:dyDescent="0.2">
      <c r="A1409" s="5">
        <v>1348</v>
      </c>
      <c r="B1409" s="138">
        <f>'Expenditures 15-22'!D224</f>
        <v>8919</v>
      </c>
      <c r="D1409" s="2" t="str">
        <f t="shared" si="21"/>
        <v>Error?</v>
      </c>
    </row>
    <row r="1410" spans="1:4" x14ac:dyDescent="0.2">
      <c r="A1410" s="5">
        <v>1349</v>
      </c>
      <c r="B1410" s="138">
        <f>'Expenditures 15-22'!D229</f>
        <v>724401</v>
      </c>
      <c r="C1410" s="2" t="s">
        <v>594</v>
      </c>
      <c r="D1410" s="2" t="str">
        <f t="shared" si="21"/>
        <v>Error?</v>
      </c>
    </row>
    <row r="1411" spans="1:4" x14ac:dyDescent="0.2">
      <c r="A1411" s="5">
        <v>1350</v>
      </c>
      <c r="B1411" s="138">
        <f>'Expenditures 15-22'!D232</f>
        <v>14105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60397</v>
      </c>
      <c r="D1413" s="2" t="str">
        <f t="shared" si="21"/>
        <v>Error?</v>
      </c>
    </row>
    <row r="1414" spans="1:4" x14ac:dyDescent="0.2">
      <c r="A1414" s="5">
        <v>1353</v>
      </c>
      <c r="B1414" s="138">
        <f>'Expenditures 15-22'!D235</f>
        <v>4074</v>
      </c>
      <c r="D1414" s="2" t="str">
        <f t="shared" si="21"/>
        <v>Error?</v>
      </c>
    </row>
    <row r="1415" spans="1:4" x14ac:dyDescent="0.2">
      <c r="A1415" s="5">
        <v>1354</v>
      </c>
      <c r="B1415" s="138">
        <f>'Expenditures 15-22'!D236</f>
        <v>11083</v>
      </c>
      <c r="D1415" s="2" t="str">
        <f t="shared" si="21"/>
        <v>Error?</v>
      </c>
    </row>
    <row r="1416" spans="1:4" x14ac:dyDescent="0.2">
      <c r="A1416" s="5">
        <v>1355</v>
      </c>
      <c r="B1416" s="138">
        <f>'Expenditures 15-22'!D237</f>
        <v>84748</v>
      </c>
      <c r="D1416" s="2" t="str">
        <f t="shared" si="21"/>
        <v>Error?</v>
      </c>
    </row>
    <row r="1417" spans="1:4" x14ac:dyDescent="0.2">
      <c r="A1417" s="5">
        <v>1356</v>
      </c>
      <c r="B1417" s="138">
        <f>'Expenditures 15-22'!D238</f>
        <v>174407</v>
      </c>
      <c r="C1417" s="2" t="s">
        <v>594</v>
      </c>
      <c r="D1417" s="2" t="str">
        <f t="shared" si="21"/>
        <v>Error?</v>
      </c>
    </row>
    <row r="1418" spans="1:4" x14ac:dyDescent="0.2">
      <c r="A1418" s="5">
        <v>1357</v>
      </c>
      <c r="B1418" s="138">
        <f>'Expenditures 15-22'!D240</f>
        <v>28417</v>
      </c>
      <c r="D1418" s="2" t="str">
        <f t="shared" si="21"/>
        <v>Error?</v>
      </c>
    </row>
    <row r="1419" spans="1:4" x14ac:dyDescent="0.2">
      <c r="A1419" s="5">
        <v>1358</v>
      </c>
      <c r="B1419" s="138">
        <f>'Expenditures 15-22'!D241</f>
        <v>33992</v>
      </c>
      <c r="D1419" s="2" t="str">
        <f t="shared" si="21"/>
        <v>Error?</v>
      </c>
    </row>
    <row r="1420" spans="1:4" x14ac:dyDescent="0.2">
      <c r="A1420" s="5">
        <v>1359</v>
      </c>
      <c r="B1420" s="138">
        <f>'Expenditures 15-22'!D242</f>
        <v>8</v>
      </c>
      <c r="D1420" s="2" t="str">
        <f t="shared" si="21"/>
        <v>Error?</v>
      </c>
    </row>
    <row r="1421" spans="1:4" x14ac:dyDescent="0.2">
      <c r="A1421" s="5">
        <v>1360</v>
      </c>
      <c r="B1421" s="138">
        <f>'Expenditures 15-22'!D243</f>
        <v>62417</v>
      </c>
      <c r="C1421" s="2" t="s">
        <v>594</v>
      </c>
      <c r="D1421" s="2" t="str">
        <f t="shared" si="21"/>
        <v>Error?</v>
      </c>
    </row>
    <row r="1422" spans="1:4" x14ac:dyDescent="0.2">
      <c r="A1422" s="5">
        <v>1361</v>
      </c>
      <c r="B1422" s="138">
        <f>'Expenditures 15-22'!D245</f>
        <v>1952</v>
      </c>
      <c r="D1422" s="2" t="str">
        <f t="shared" si="21"/>
        <v>Error?</v>
      </c>
    </row>
    <row r="1423" spans="1:4" x14ac:dyDescent="0.2">
      <c r="A1423" s="5">
        <v>1362</v>
      </c>
      <c r="B1423" s="138">
        <f>'Expenditures 15-22'!D246</f>
        <v>2951</v>
      </c>
      <c r="D1423" s="2" t="str">
        <f t="shared" si="21"/>
        <v>Error?</v>
      </c>
    </row>
    <row r="1424" spans="1:4" x14ac:dyDescent="0.2">
      <c r="A1424" s="5">
        <v>1363</v>
      </c>
      <c r="B1424" s="138">
        <f>'Expenditures 15-22'!D257</f>
        <v>28339</v>
      </c>
      <c r="C1424" s="2" t="s">
        <v>594</v>
      </c>
      <c r="D1424" s="2" t="str">
        <f t="shared" si="21"/>
        <v>Error?</v>
      </c>
    </row>
    <row r="1425" spans="1:4" x14ac:dyDescent="0.2">
      <c r="A1425" s="5">
        <v>1364</v>
      </c>
      <c r="B1425" s="138">
        <f>'Expenditures 15-22'!D259</f>
        <v>85351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85351</v>
      </c>
      <c r="C1427" s="2" t="s">
        <v>594</v>
      </c>
      <c r="D1427" s="2" t="str">
        <f t="shared" si="21"/>
        <v>Error?</v>
      </c>
    </row>
    <row r="1428" spans="1:4" x14ac:dyDescent="0.2">
      <c r="A1428" s="5">
        <v>1367</v>
      </c>
      <c r="B1428" s="138">
        <f>'Expenditures 15-22'!D263</f>
        <v>1975</v>
      </c>
      <c r="D1428" s="2" t="str">
        <f t="shared" si="21"/>
        <v>Error?</v>
      </c>
    </row>
    <row r="1429" spans="1:4" x14ac:dyDescent="0.2">
      <c r="A1429" s="5">
        <v>1368</v>
      </c>
      <c r="B1429" s="138">
        <f>'Expenditures 15-22'!D264</f>
        <v>46360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175208</v>
      </c>
      <c r="D1431" s="2" t="str">
        <f t="shared" si="21"/>
        <v>Error?</v>
      </c>
    </row>
    <row r="1432" spans="1:4" x14ac:dyDescent="0.2">
      <c r="A1432" s="5">
        <v>1371</v>
      </c>
      <c r="B1432" s="138">
        <f>'Expenditures 15-22'!D267</f>
        <v>5550</v>
      </c>
      <c r="D1432" s="2" t="str">
        <f t="shared" si="21"/>
        <v>Error?</v>
      </c>
    </row>
    <row r="1433" spans="1:4" x14ac:dyDescent="0.2">
      <c r="A1433" s="5">
        <v>1372</v>
      </c>
      <c r="B1433" s="138">
        <f>'Expenditures 15-22'!D268</f>
        <v>5830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234923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139</v>
      </c>
      <c r="D1440" s="2" t="str">
        <f t="shared" si="21"/>
        <v>Error?</v>
      </c>
    </row>
    <row r="1441" spans="1:4" x14ac:dyDescent="0.2">
      <c r="A1441" s="10">
        <v>1380</v>
      </c>
      <c r="D1441" s="2" t="str">
        <f t="shared" si="21"/>
        <v>OK</v>
      </c>
    </row>
    <row r="1442" spans="1:4" x14ac:dyDescent="0.2">
      <c r="A1442" s="5">
        <v>1381</v>
      </c>
      <c r="B1442" s="138">
        <f>'Expenditures 15-22'!D276</f>
        <v>84853</v>
      </c>
      <c r="D1442" s="2" t="str">
        <f t="shared" si="21"/>
        <v>Error?</v>
      </c>
    </row>
    <row r="1443" spans="1:4" x14ac:dyDescent="0.2">
      <c r="A1443" s="10">
        <v>1382</v>
      </c>
      <c r="D1443" s="2" t="str">
        <f t="shared" si="21"/>
        <v>OK</v>
      </c>
    </row>
    <row r="1444" spans="1:4" x14ac:dyDescent="0.2">
      <c r="A1444" s="5">
        <v>1383</v>
      </c>
      <c r="B1444" s="138">
        <f>'Expenditures 15-22'!D277</f>
        <v>84992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670429</v>
      </c>
      <c r="C1446" s="2" t="s">
        <v>594</v>
      </c>
      <c r="D1446" s="2" t="str">
        <f t="shared" si="21"/>
        <v>Error?</v>
      </c>
    </row>
    <row r="1447" spans="1:4" x14ac:dyDescent="0.2">
      <c r="A1447" s="5">
        <v>1386</v>
      </c>
      <c r="B1447" s="138">
        <f>'Expenditures 15-22'!D280</f>
        <v>12</v>
      </c>
      <c r="D1447" s="2" t="str">
        <f t="shared" si="21"/>
        <v>Error?</v>
      </c>
    </row>
    <row r="1448" spans="1:4" x14ac:dyDescent="0.2">
      <c r="A1448" s="5">
        <v>1387</v>
      </c>
      <c r="B1448" s="138">
        <f>'Expenditures 15-22'!D295</f>
        <v>1462797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38493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17456</v>
      </c>
      <c r="C1472" s="2" t="s">
        <v>594</v>
      </c>
      <c r="D1472" s="2" t="str">
        <f t="shared" si="22"/>
        <v>Error?</v>
      </c>
    </row>
    <row r="1473" spans="1:4" x14ac:dyDescent="0.2">
      <c r="A1473" s="5">
        <v>1412</v>
      </c>
      <c r="B1473" s="138">
        <f>'Expenditures 15-22'!K224</f>
        <v>8919</v>
      </c>
      <c r="C1473" s="2" t="s">
        <v>594</v>
      </c>
      <c r="D1473" s="2" t="str">
        <f t="shared" si="22"/>
        <v>Error?</v>
      </c>
    </row>
    <row r="1474" spans="1:4" x14ac:dyDescent="0.2">
      <c r="A1474" s="5">
        <v>1413</v>
      </c>
      <c r="B1474" s="138">
        <f>'Expenditures 15-22'!K229</f>
        <v>724401</v>
      </c>
      <c r="C1474" s="2" t="s">
        <v>594</v>
      </c>
      <c r="D1474" s="2" t="str">
        <f t="shared" si="22"/>
        <v>Error?</v>
      </c>
    </row>
    <row r="1475" spans="1:4" x14ac:dyDescent="0.2">
      <c r="A1475" s="5">
        <v>1414</v>
      </c>
      <c r="B1475" s="138">
        <f>'Expenditures 15-22'!K232</f>
        <v>14105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60397</v>
      </c>
      <c r="C1477" s="2" t="s">
        <v>594</v>
      </c>
      <c r="D1477" s="2" t="str">
        <f t="shared" si="22"/>
        <v>Error?</v>
      </c>
    </row>
    <row r="1478" spans="1:4" x14ac:dyDescent="0.2">
      <c r="A1478" s="5">
        <v>1417</v>
      </c>
      <c r="B1478" s="138">
        <f>'Expenditures 15-22'!K235</f>
        <v>4074</v>
      </c>
      <c r="C1478" s="2" t="s">
        <v>594</v>
      </c>
      <c r="D1478" s="2" t="str">
        <f t="shared" si="22"/>
        <v>Error?</v>
      </c>
    </row>
    <row r="1479" spans="1:4" x14ac:dyDescent="0.2">
      <c r="A1479" s="5">
        <v>1418</v>
      </c>
      <c r="B1479" s="138">
        <f>'Expenditures 15-22'!K236</f>
        <v>11083</v>
      </c>
      <c r="C1479" s="2" t="s">
        <v>594</v>
      </c>
      <c r="D1479" s="2" t="str">
        <f t="shared" si="22"/>
        <v>Error?</v>
      </c>
    </row>
    <row r="1480" spans="1:4" x14ac:dyDescent="0.2">
      <c r="A1480" s="5">
        <v>1419</v>
      </c>
      <c r="B1480" s="138">
        <f>'Expenditures 15-22'!K237</f>
        <v>84748</v>
      </c>
      <c r="C1480" s="2" t="s">
        <v>594</v>
      </c>
      <c r="D1480" s="2" t="str">
        <f t="shared" si="22"/>
        <v>Error?</v>
      </c>
    </row>
    <row r="1481" spans="1:4" x14ac:dyDescent="0.2">
      <c r="A1481" s="5">
        <v>1420</v>
      </c>
      <c r="B1481" s="138">
        <f>'Expenditures 15-22'!K238</f>
        <v>174407</v>
      </c>
      <c r="C1481" s="2" t="s">
        <v>594</v>
      </c>
      <c r="D1481" s="2" t="str">
        <f t="shared" si="22"/>
        <v>Error?</v>
      </c>
    </row>
    <row r="1482" spans="1:4" x14ac:dyDescent="0.2">
      <c r="A1482" s="5">
        <v>1421</v>
      </c>
      <c r="B1482" s="138">
        <f>'Expenditures 15-22'!K240</f>
        <v>28417</v>
      </c>
      <c r="C1482" s="2" t="s">
        <v>594</v>
      </c>
      <c r="D1482" s="2" t="str">
        <f t="shared" si="22"/>
        <v>Error?</v>
      </c>
    </row>
    <row r="1483" spans="1:4" x14ac:dyDescent="0.2">
      <c r="A1483" s="5">
        <v>1422</v>
      </c>
      <c r="B1483" s="138">
        <f>'Expenditures 15-22'!K241</f>
        <v>33992</v>
      </c>
      <c r="C1483" s="2" t="s">
        <v>594</v>
      </c>
      <c r="D1483" s="2" t="str">
        <f t="shared" si="22"/>
        <v>Error?</v>
      </c>
    </row>
    <row r="1484" spans="1:4" x14ac:dyDescent="0.2">
      <c r="A1484" s="5">
        <v>1423</v>
      </c>
      <c r="B1484" s="138">
        <f>'Expenditures 15-22'!K242</f>
        <v>8</v>
      </c>
      <c r="C1484" s="2" t="s">
        <v>594</v>
      </c>
      <c r="D1484" s="2" t="str">
        <f t="shared" si="22"/>
        <v>Error?</v>
      </c>
    </row>
    <row r="1485" spans="1:4" x14ac:dyDescent="0.2">
      <c r="A1485" s="5">
        <v>1424</v>
      </c>
      <c r="B1485" s="138">
        <f>'Expenditures 15-22'!K243</f>
        <v>62417</v>
      </c>
      <c r="C1485" s="2" t="s">
        <v>594</v>
      </c>
      <c r="D1485" s="2" t="str">
        <f t="shared" si="22"/>
        <v>Error?</v>
      </c>
    </row>
    <row r="1486" spans="1:4" x14ac:dyDescent="0.2">
      <c r="A1486" s="5">
        <v>1425</v>
      </c>
      <c r="B1486" s="138">
        <f>'Expenditures 15-22'!K245</f>
        <v>1952</v>
      </c>
      <c r="C1486" s="2" t="s">
        <v>594</v>
      </c>
      <c r="D1486" s="2" t="str">
        <f t="shared" si="22"/>
        <v>Error?</v>
      </c>
    </row>
    <row r="1487" spans="1:4" x14ac:dyDescent="0.2">
      <c r="A1487" s="5">
        <v>1426</v>
      </c>
      <c r="B1487" s="138">
        <f>'Expenditures 15-22'!K246</f>
        <v>2951</v>
      </c>
      <c r="C1487" s="2" t="s">
        <v>594</v>
      </c>
      <c r="D1487" s="2" t="str">
        <f t="shared" si="22"/>
        <v>Error?</v>
      </c>
    </row>
    <row r="1488" spans="1:4" x14ac:dyDescent="0.2">
      <c r="A1488" s="5">
        <v>1427</v>
      </c>
      <c r="B1488" s="138">
        <f>'Expenditures 15-22'!K257</f>
        <v>28339</v>
      </c>
      <c r="C1488" s="2" t="s">
        <v>594</v>
      </c>
      <c r="D1488" s="2" t="str">
        <f t="shared" si="22"/>
        <v>Error?</v>
      </c>
    </row>
    <row r="1489" spans="1:4" x14ac:dyDescent="0.2">
      <c r="A1489" s="5">
        <v>1428</v>
      </c>
      <c r="B1489" s="138">
        <f>'Expenditures 15-22'!K259</f>
        <v>85351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85351</v>
      </c>
      <c r="C1491" s="2" t="s">
        <v>594</v>
      </c>
      <c r="D1491" s="2" t="str">
        <f t="shared" si="22"/>
        <v>Error?</v>
      </c>
    </row>
    <row r="1492" spans="1:4" x14ac:dyDescent="0.2">
      <c r="A1492" s="5">
        <v>1431</v>
      </c>
      <c r="B1492" s="138">
        <f>'Expenditures 15-22'!K263</f>
        <v>1975</v>
      </c>
      <c r="C1492" s="2" t="s">
        <v>594</v>
      </c>
      <c r="D1492" s="2" t="str">
        <f t="shared" si="22"/>
        <v>Error?</v>
      </c>
    </row>
    <row r="1493" spans="1:4" x14ac:dyDescent="0.2">
      <c r="A1493" s="5">
        <v>1432</v>
      </c>
      <c r="B1493" s="138">
        <f>'Expenditures 15-22'!K264</f>
        <v>46360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175208</v>
      </c>
      <c r="C1495" s="2" t="s">
        <v>594</v>
      </c>
      <c r="D1495" s="2" t="str">
        <f t="shared" si="22"/>
        <v>Error?</v>
      </c>
    </row>
    <row r="1496" spans="1:4" x14ac:dyDescent="0.2">
      <c r="A1496" s="5">
        <v>1435</v>
      </c>
      <c r="B1496" s="138">
        <f>'Expenditures 15-22'!K267</f>
        <v>5550</v>
      </c>
      <c r="C1496" s="2" t="s">
        <v>594</v>
      </c>
      <c r="D1496" s="2" t="str">
        <f t="shared" si="22"/>
        <v>Error?</v>
      </c>
    </row>
    <row r="1497" spans="1:4" x14ac:dyDescent="0.2">
      <c r="A1497" s="5">
        <v>1436</v>
      </c>
      <c r="B1497" s="138">
        <f>'Expenditures 15-22'!K268</f>
        <v>5830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234923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139</v>
      </c>
      <c r="C1504" s="2" t="s">
        <v>594</v>
      </c>
      <c r="D1504" s="2" t="str">
        <f t="shared" si="22"/>
        <v>Error?</v>
      </c>
    </row>
    <row r="1505" spans="1:4" x14ac:dyDescent="0.2">
      <c r="A1505" s="10">
        <v>1444</v>
      </c>
      <c r="D1505" s="2" t="str">
        <f t="shared" si="22"/>
        <v>OK</v>
      </c>
    </row>
    <row r="1506" spans="1:4" x14ac:dyDescent="0.2">
      <c r="A1506" s="5">
        <v>1445</v>
      </c>
      <c r="B1506" s="138">
        <f>'Expenditures 15-22'!K276</f>
        <v>84853</v>
      </c>
      <c r="C1506" s="2" t="s">
        <v>594</v>
      </c>
      <c r="D1506" s="2" t="str">
        <f t="shared" si="22"/>
        <v>Error?</v>
      </c>
    </row>
    <row r="1507" spans="1:4" x14ac:dyDescent="0.2">
      <c r="A1507" s="10">
        <v>1446</v>
      </c>
      <c r="D1507" s="2" t="str">
        <f t="shared" si="22"/>
        <v>OK</v>
      </c>
    </row>
    <row r="1508" spans="1:4" x14ac:dyDescent="0.2">
      <c r="A1508" s="5">
        <v>1447</v>
      </c>
      <c r="B1508" s="138">
        <f>'Expenditures 15-22'!K277</f>
        <v>84992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670429</v>
      </c>
      <c r="C1510" s="2" t="s">
        <v>594</v>
      </c>
      <c r="D1510" s="2" t="str">
        <f t="shared" si="22"/>
        <v>Error?</v>
      </c>
    </row>
    <row r="1511" spans="1:4" x14ac:dyDescent="0.2">
      <c r="A1511" s="5">
        <v>1450</v>
      </c>
      <c r="B1511" s="138">
        <f>'Expenditures 15-22'!K280</f>
        <v>12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1462797</v>
      </c>
      <c r="C1517" s="2" t="s">
        <v>594</v>
      </c>
      <c r="D1517" s="2" t="str">
        <f t="shared" si="22"/>
        <v>Error?</v>
      </c>
    </row>
    <row r="1518" spans="1:4" x14ac:dyDescent="0.2">
      <c r="A1518" s="5">
        <v>1457</v>
      </c>
      <c r="B1518" s="138">
        <f>'Expenditures 15-22'!K296</f>
        <v>20596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2175133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2175133</v>
      </c>
      <c r="C1547" s="2" t="s">
        <v>594</v>
      </c>
      <c r="D1547" s="2" t="str">
        <f t="shared" si="23"/>
        <v>Error?</v>
      </c>
    </row>
    <row r="1548" spans="1:4" x14ac:dyDescent="0.2">
      <c r="A1548" s="5">
        <v>1487</v>
      </c>
      <c r="B1548" s="138">
        <f>'Expenditures 15-22'!G312</f>
        <v>2175133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2175133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2175133</v>
      </c>
      <c r="C1559" s="2" t="s">
        <v>594</v>
      </c>
      <c r="D1559" s="2" t="str">
        <f t="shared" si="23"/>
        <v>Error?</v>
      </c>
    </row>
    <row r="1560" spans="1:4" x14ac:dyDescent="0.2">
      <c r="A1560" s="5">
        <v>1499</v>
      </c>
      <c r="B1560" s="138">
        <f>'Expenditures 15-22'!K312</f>
        <v>2175133</v>
      </c>
      <c r="C1560" s="2" t="s">
        <v>594</v>
      </c>
      <c r="D1560" s="2" t="str">
        <f t="shared" si="23"/>
        <v>Error?</v>
      </c>
    </row>
    <row r="1561" spans="1:4" x14ac:dyDescent="0.2">
      <c r="A1561" s="5">
        <v>1500</v>
      </c>
      <c r="B1561" s="138">
        <f>'Expenditures 15-22'!K313</f>
        <v>-2073700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9599994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10461169</v>
      </c>
      <c r="C1630" s="2" t="s">
        <v>594</v>
      </c>
      <c r="D1630" s="2" t="str">
        <f t="shared" si="24"/>
        <v>Error?</v>
      </c>
    </row>
    <row r="1631" spans="1:4" x14ac:dyDescent="0.2">
      <c r="A1631" s="5">
        <v>1570</v>
      </c>
      <c r="B1631" s="138">
        <f>'Acct Summary 7-8'!D79</f>
        <v>4290560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3893399</v>
      </c>
      <c r="C1644" s="2" t="s">
        <v>594</v>
      </c>
      <c r="D1644" s="2" t="str">
        <f t="shared" si="24"/>
        <v>Error?</v>
      </c>
    </row>
    <row r="1645" spans="1:4" x14ac:dyDescent="0.2">
      <c r="A1645" s="5">
        <v>1584</v>
      </c>
      <c r="B1645" s="138">
        <f>'Acct Summary 7-8'!E79</f>
        <v>4712583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4792910</v>
      </c>
      <c r="C1658" s="2" t="s">
        <v>594</v>
      </c>
      <c r="D1658" s="2" t="str">
        <f t="shared" si="24"/>
        <v>Error?</v>
      </c>
    </row>
    <row r="1659" spans="1:4" x14ac:dyDescent="0.2">
      <c r="A1659" s="5">
        <v>1598</v>
      </c>
      <c r="B1659" s="138">
        <f>'Acct Summary 7-8'!F79</f>
        <v>449314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501617</v>
      </c>
      <c r="C1672" s="2" t="s">
        <v>594</v>
      </c>
      <c r="D1672" s="2" t="str">
        <f t="shared" si="25"/>
        <v>Error?</v>
      </c>
    </row>
    <row r="1673" spans="1:4" x14ac:dyDescent="0.2">
      <c r="A1673" s="5">
        <v>1612</v>
      </c>
      <c r="B1673" s="138">
        <f>'Acct Summary 7-8'!G79</f>
        <v>594433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615029</v>
      </c>
      <c r="C1686" s="2" t="s">
        <v>594</v>
      </c>
      <c r="D1686" s="2" t="str">
        <f t="shared" si="25"/>
        <v>Error?</v>
      </c>
    </row>
    <row r="1687" spans="1:4" x14ac:dyDescent="0.2">
      <c r="A1687" s="5">
        <v>1626</v>
      </c>
      <c r="B1687" s="138">
        <f>'Acct Summary 7-8'!H79</f>
        <v>2956429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882729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21570415</v>
      </c>
      <c r="C1744" s="2" t="s">
        <v>594</v>
      </c>
      <c r="D1744" s="2" t="str">
        <f t="shared" si="26"/>
        <v>Error?</v>
      </c>
    </row>
    <row r="1745" spans="1:5" x14ac:dyDescent="0.2">
      <c r="A1745" s="5">
        <v>1684</v>
      </c>
      <c r="B1745" s="138">
        <f>'Tax Sched 23'!B5</f>
        <v>3414881</v>
      </c>
      <c r="C1745" s="2" t="s">
        <v>594</v>
      </c>
      <c r="D1745" s="2" t="str">
        <f t="shared" si="26"/>
        <v>Error?</v>
      </c>
    </row>
    <row r="1746" spans="1:5" x14ac:dyDescent="0.2">
      <c r="A1746" s="5">
        <v>1685</v>
      </c>
      <c r="B1746" s="138">
        <f>'Tax Sched 23'!B6</f>
        <v>7869959</v>
      </c>
      <c r="C1746" s="2" t="s">
        <v>594</v>
      </c>
      <c r="D1746" s="2" t="str">
        <f t="shared" si="26"/>
        <v>Error?</v>
      </c>
    </row>
    <row r="1747" spans="1:5" x14ac:dyDescent="0.2">
      <c r="A1747" s="5">
        <v>1686</v>
      </c>
      <c r="B1747" s="138">
        <f>'Tax Sched 23'!B7</f>
        <v>1242269</v>
      </c>
      <c r="C1747" s="2" t="s">
        <v>594</v>
      </c>
      <c r="D1747" s="2" t="str">
        <f t="shared" si="26"/>
        <v>Error?</v>
      </c>
    </row>
    <row r="1748" spans="1:5" x14ac:dyDescent="0.2">
      <c r="A1748" s="5">
        <v>1687</v>
      </c>
      <c r="B1748" s="138">
        <f>'Tax Sched 23'!B8</f>
        <v>616548</v>
      </c>
      <c r="C1748" s="2" t="s">
        <v>594</v>
      </c>
      <c r="D1748" s="2" t="str">
        <f t="shared" si="26"/>
        <v>Error?</v>
      </c>
    </row>
    <row r="1749" spans="1:5" x14ac:dyDescent="0.2">
      <c r="A1749" s="5">
        <v>1688</v>
      </c>
      <c r="B1749" s="138">
        <f>'Tax Sched 23'!B10</f>
        <v>24227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161593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243243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35933092</v>
      </c>
      <c r="C1759" s="2" t="s">
        <v>594</v>
      </c>
      <c r="D1759" s="2" t="str">
        <f t="shared" si="26"/>
        <v>Error?</v>
      </c>
    </row>
    <row r="1760" spans="1:5" x14ac:dyDescent="0.2">
      <c r="A1760" s="5">
        <v>1699</v>
      </c>
      <c r="B1760" s="138">
        <f>'Tax Sched 23'!D4</f>
        <v>10041374</v>
      </c>
      <c r="C1760" s="2" t="s">
        <v>594</v>
      </c>
      <c r="D1760" s="2" t="str">
        <f t="shared" si="26"/>
        <v>Error?</v>
      </c>
    </row>
    <row r="1761" spans="1:5" x14ac:dyDescent="0.2">
      <c r="A1761" s="5">
        <v>1700</v>
      </c>
      <c r="B1761" s="138">
        <f>'Tax Sched 23'!D5</f>
        <v>1647394</v>
      </c>
      <c r="C1761" s="2" t="s">
        <v>594</v>
      </c>
      <c r="D1761" s="2" t="str">
        <f t="shared" si="26"/>
        <v>Error?</v>
      </c>
    </row>
    <row r="1762" spans="1:5" s="8" customFormat="1" x14ac:dyDescent="0.2">
      <c r="A1762" s="5">
        <v>1701</v>
      </c>
      <c r="B1762" s="138">
        <f>'Tax Sched 23'!D6</f>
        <v>3777751</v>
      </c>
      <c r="C1762" s="2" t="s">
        <v>594</v>
      </c>
      <c r="D1762" s="2" t="str">
        <f t="shared" si="26"/>
        <v>Error?</v>
      </c>
      <c r="E1762" s="9"/>
    </row>
    <row r="1763" spans="1:5" x14ac:dyDescent="0.2">
      <c r="A1763" s="5">
        <v>1702</v>
      </c>
      <c r="B1763" s="138">
        <f>'Tax Sched 23'!D7</f>
        <v>642343</v>
      </c>
      <c r="C1763" s="2" t="s">
        <v>594</v>
      </c>
      <c r="D1763" s="2" t="str">
        <f t="shared" si="26"/>
        <v>Error?</v>
      </c>
    </row>
    <row r="1764" spans="1:5" x14ac:dyDescent="0.2">
      <c r="A1764" s="5">
        <v>1703</v>
      </c>
      <c r="B1764" s="138">
        <f>'Tax Sched 23'!D8</f>
        <v>293086</v>
      </c>
      <c r="C1764" s="2" t="s">
        <v>594</v>
      </c>
      <c r="D1764" s="2" t="str">
        <f t="shared" si="26"/>
        <v>Error?</v>
      </c>
    </row>
    <row r="1765" spans="1:5" x14ac:dyDescent="0.2">
      <c r="A1765" s="5">
        <v>1704</v>
      </c>
      <c r="B1765" s="138">
        <f>'Tax Sched 23'!D10</f>
        <v>12212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76251</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243243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17092526</v>
      </c>
      <c r="C1775" s="2" t="s">
        <v>594</v>
      </c>
      <c r="D1775" s="2" t="str">
        <f t="shared" si="26"/>
        <v>Error?</v>
      </c>
    </row>
    <row r="1776" spans="1:5" x14ac:dyDescent="0.2">
      <c r="A1776" s="5">
        <v>1715</v>
      </c>
      <c r="B1776" s="138">
        <f>'Tax Sched 23'!C4</f>
        <v>11529041</v>
      </c>
      <c r="D1776" s="2" t="str">
        <f t="shared" si="26"/>
        <v>Error?</v>
      </c>
    </row>
    <row r="1777" spans="1:4" x14ac:dyDescent="0.2">
      <c r="A1777" s="5">
        <v>1716</v>
      </c>
      <c r="B1777" s="138">
        <f>'Tax Sched 23'!C5</f>
        <v>1767487</v>
      </c>
      <c r="D1777" s="2" t="str">
        <f t="shared" si="26"/>
        <v>Error?</v>
      </c>
    </row>
    <row r="1778" spans="1:4" x14ac:dyDescent="0.2">
      <c r="A1778" s="5">
        <v>1717</v>
      </c>
      <c r="B1778" s="138">
        <f>'Tax Sched 23'!C6</f>
        <v>4092208</v>
      </c>
      <c r="D1778" s="2" t="str">
        <f t="shared" si="26"/>
        <v>Error?</v>
      </c>
    </row>
    <row r="1779" spans="1:4" x14ac:dyDescent="0.2">
      <c r="A1779" s="5">
        <v>1718</v>
      </c>
      <c r="B1779" s="138">
        <f>'Tax Sched 23'!C7</f>
        <v>599926</v>
      </c>
      <c r="D1779" s="2" t="str">
        <f t="shared" si="26"/>
        <v>Error?</v>
      </c>
    </row>
    <row r="1780" spans="1:4" x14ac:dyDescent="0.2">
      <c r="A1780" s="5">
        <v>1719</v>
      </c>
      <c r="B1780" s="138">
        <f>'Tax Sched 23'!C8</f>
        <v>323462</v>
      </c>
      <c r="D1780" s="2" t="str">
        <f t="shared" si="26"/>
        <v>Error?</v>
      </c>
    </row>
    <row r="1781" spans="1:4" x14ac:dyDescent="0.2">
      <c r="A1781" s="5">
        <v>1720</v>
      </c>
      <c r="B1781" s="138">
        <f>'Tax Sched 23'!C10</f>
        <v>12015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85342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18840566</v>
      </c>
      <c r="C1791" s="2" t="s">
        <v>594</v>
      </c>
      <c r="D1791" s="2" t="str">
        <f t="shared" ref="D1791:D1854" si="27">IF(ISBLANK(B1791),"OK",IF(A1791-B1791=0,"OK","Error?"))</f>
        <v>Error?</v>
      </c>
    </row>
    <row r="1792" spans="1:4" x14ac:dyDescent="0.2">
      <c r="A1792" s="5">
        <v>1731</v>
      </c>
      <c r="B1792" s="138">
        <f>'Tax Sched 23'!F4</f>
        <v>10264281</v>
      </c>
      <c r="C1792" s="2" t="s">
        <v>594</v>
      </c>
      <c r="D1792" s="2" t="str">
        <f t="shared" si="27"/>
        <v>Error?</v>
      </c>
    </row>
    <row r="1793" spans="1:4" x14ac:dyDescent="0.2">
      <c r="A1793" s="5">
        <v>1732</v>
      </c>
      <c r="B1793" s="138">
        <f>'Tax Sched 23'!F5</f>
        <v>1573589</v>
      </c>
      <c r="C1793" s="2" t="s">
        <v>594</v>
      </c>
      <c r="D1793" s="2" t="str">
        <f t="shared" si="27"/>
        <v>Error?</v>
      </c>
    </row>
    <row r="1794" spans="1:4" x14ac:dyDescent="0.2">
      <c r="A1794" s="5">
        <v>1733</v>
      </c>
      <c r="B1794" s="138">
        <f>'Tax Sched 23'!F6</f>
        <v>3643284</v>
      </c>
      <c r="C1794" s="2" t="s">
        <v>594</v>
      </c>
      <c r="D1794" s="2" t="str">
        <f t="shared" si="27"/>
        <v>Error?</v>
      </c>
    </row>
    <row r="1795" spans="1:4" x14ac:dyDescent="0.2">
      <c r="A1795" s="5">
        <v>1734</v>
      </c>
      <c r="B1795" s="138">
        <f>'Tax Sched 23'!F7</f>
        <v>534114</v>
      </c>
      <c r="C1795" s="2" t="s">
        <v>594</v>
      </c>
      <c r="D1795" s="2" t="str">
        <f t="shared" si="27"/>
        <v>Error?</v>
      </c>
    </row>
    <row r="1796" spans="1:4" x14ac:dyDescent="0.2">
      <c r="A1796" s="5">
        <v>1735</v>
      </c>
      <c r="B1796" s="138">
        <f>'Tax Sched 23'!F8</f>
        <v>287978</v>
      </c>
      <c r="C1796" s="2" t="s">
        <v>594</v>
      </c>
      <c r="D1796" s="2" t="str">
        <f t="shared" si="27"/>
        <v>Error?</v>
      </c>
    </row>
    <row r="1797" spans="1:4" x14ac:dyDescent="0.2">
      <c r="A1797" s="5">
        <v>1736</v>
      </c>
      <c r="B1797" s="138">
        <f>'Tax Sched 23'!F10</f>
        <v>10696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75980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16773716</v>
      </c>
      <c r="C1807" s="2" t="s">
        <v>594</v>
      </c>
      <c r="D1807" s="2" t="str">
        <f t="shared" si="27"/>
        <v>Error?</v>
      </c>
    </row>
    <row r="1808" spans="1:4" x14ac:dyDescent="0.2">
      <c r="A1808" s="5">
        <v>1747</v>
      </c>
      <c r="B1808" s="138">
        <f>'Tax Sched 23'!E4</f>
        <v>21793322</v>
      </c>
      <c r="D1808" s="2" t="str">
        <f t="shared" si="27"/>
        <v>Error?</v>
      </c>
    </row>
    <row r="1809" spans="1:4" x14ac:dyDescent="0.2">
      <c r="A1809" s="5">
        <v>1748</v>
      </c>
      <c r="B1809" s="138">
        <f>'Tax Sched 23'!E5</f>
        <v>3341076</v>
      </c>
      <c r="D1809" s="2" t="str">
        <f t="shared" si="27"/>
        <v>Error?</v>
      </c>
    </row>
    <row r="1810" spans="1:4" x14ac:dyDescent="0.2">
      <c r="A1810" s="5">
        <v>1749</v>
      </c>
      <c r="B1810" s="138">
        <f>'Tax Sched 23'!E6</f>
        <v>7735492</v>
      </c>
      <c r="D1810" s="2" t="str">
        <f t="shared" si="27"/>
        <v>Error?</v>
      </c>
    </row>
    <row r="1811" spans="1:4" x14ac:dyDescent="0.2">
      <c r="A1811" s="5">
        <v>1750</v>
      </c>
      <c r="B1811" s="138">
        <f>'Tax Sched 23'!E7</f>
        <v>1134040</v>
      </c>
      <c r="D1811" s="2" t="str">
        <f t="shared" si="27"/>
        <v>Error?</v>
      </c>
    </row>
    <row r="1812" spans="1:4" x14ac:dyDescent="0.2">
      <c r="A1812" s="5">
        <v>1751</v>
      </c>
      <c r="B1812" s="138">
        <f>'Tax Sched 23'!E8</f>
        <v>611440</v>
      </c>
      <c r="D1812" s="2" t="str">
        <f t="shared" si="27"/>
        <v>Error?</v>
      </c>
    </row>
    <row r="1813" spans="1:4" x14ac:dyDescent="0.2">
      <c r="A1813" s="5">
        <v>1752</v>
      </c>
      <c r="B1813" s="138">
        <f>'Tax Sched 23'!E10</f>
        <v>22711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161322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35614282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56809105</v>
      </c>
      <c r="C1939" s="2" t="s">
        <v>594</v>
      </c>
      <c r="D1939" s="2" t="str">
        <f t="shared" si="29"/>
        <v>Error?</v>
      </c>
    </row>
    <row r="1940" spans="1:5" x14ac:dyDescent="0.2">
      <c r="A1940" s="5">
        <v>1879</v>
      </c>
      <c r="B1940" s="138">
        <f>'Short-Term Long-Term Debt 24'!F49</f>
        <v>43622</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247228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247228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247228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91587963</v>
      </c>
      <c r="D2009" s="2" t="str">
        <f t="shared" si="30"/>
        <v>Error?</v>
      </c>
    </row>
    <row r="2010" spans="1:4" x14ac:dyDescent="0.2">
      <c r="A2010" s="5">
        <v>1949</v>
      </c>
      <c r="B2010" s="138">
        <f>'Cap Outlay Deprec 26'!C10</f>
        <v>3796763</v>
      </c>
      <c r="D2010" s="2" t="str">
        <f t="shared" si="30"/>
        <v>Error?</v>
      </c>
    </row>
    <row r="2011" spans="1:4" x14ac:dyDescent="0.2">
      <c r="A2011" s="5">
        <v>1950</v>
      </c>
      <c r="B2011" s="138">
        <f>'Cap Outlay Deprec 26'!C12</f>
        <v>5735904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103457017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757757</v>
      </c>
      <c r="D2015" s="2" t="str">
        <f t="shared" si="30"/>
        <v>Error?</v>
      </c>
    </row>
    <row r="2016" spans="1:4" x14ac:dyDescent="0.2">
      <c r="A2016" s="5">
        <v>1955</v>
      </c>
      <c r="B2016" s="138">
        <f>'Cap Outlay Deprec 26'!D10</f>
        <v>31591</v>
      </c>
      <c r="D2016" s="2" t="str">
        <f t="shared" si="30"/>
        <v>Error?</v>
      </c>
    </row>
    <row r="2017" spans="1:4" x14ac:dyDescent="0.2">
      <c r="A2017" s="5">
        <v>1956</v>
      </c>
      <c r="B2017" s="138">
        <f>'Cap Outlay Deprec 26'!D12</f>
        <v>67621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3061202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309818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410136</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92345720</v>
      </c>
      <c r="C2027" s="2" t="s">
        <v>594</v>
      </c>
      <c r="D2027" s="2" t="str">
        <f t="shared" si="30"/>
        <v>Error?</v>
      </c>
    </row>
    <row r="2028" spans="1:4" x14ac:dyDescent="0.2">
      <c r="A2028" s="5">
        <v>1967</v>
      </c>
      <c r="B2028" s="138">
        <f>'Cap Outlay Deprec 26'!F10</f>
        <v>3828354</v>
      </c>
      <c r="C2028" s="2" t="s">
        <v>594</v>
      </c>
      <c r="D2028" s="2" t="str">
        <f t="shared" si="30"/>
        <v>Error?</v>
      </c>
    </row>
    <row r="2029" spans="1:4" x14ac:dyDescent="0.2">
      <c r="A2029" s="5">
        <v>1968</v>
      </c>
      <c r="B2029" s="138">
        <f>'Cap Outlay Deprec 26'!F12</f>
        <v>5493707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106108083</v>
      </c>
      <c r="C2031" s="2" t="s">
        <v>594</v>
      </c>
      <c r="D2031" s="2" t="str">
        <f t="shared" si="30"/>
        <v>Error?</v>
      </c>
    </row>
    <row r="2032" spans="1:4" x14ac:dyDescent="0.2">
      <c r="A2032" s="10">
        <v>1971</v>
      </c>
      <c r="D2032" s="2" t="str">
        <f t="shared" si="30"/>
        <v>OK</v>
      </c>
    </row>
    <row r="2033" spans="1:4" x14ac:dyDescent="0.2">
      <c r="A2033" s="5">
        <v>1972</v>
      </c>
      <c r="B2033" s="138">
        <f>'Cap Outlay Deprec 26'!H8</f>
        <v>35187642</v>
      </c>
      <c r="D2033" s="2" t="str">
        <f t="shared" si="30"/>
        <v>Error?</v>
      </c>
    </row>
    <row r="2034" spans="1:4" x14ac:dyDescent="0.2">
      <c r="A2034" s="5">
        <v>1973</v>
      </c>
      <c r="B2034" s="138">
        <f>'Cap Outlay Deprec 26'!H10</f>
        <v>2507753</v>
      </c>
      <c r="D2034" s="2" t="str">
        <f t="shared" si="30"/>
        <v>Error?</v>
      </c>
    </row>
    <row r="2035" spans="1:4" x14ac:dyDescent="0.2">
      <c r="A2035" s="5">
        <v>1974</v>
      </c>
      <c r="B2035" s="138">
        <f>'Cap Outlay Deprec 26'!H12</f>
        <v>4324163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42019558</v>
      </c>
      <c r="C2037" s="2" t="s">
        <v>594</v>
      </c>
      <c r="D2037" s="2" t="str">
        <f t="shared" si="30"/>
        <v>Error?</v>
      </c>
    </row>
    <row r="2038" spans="1:4" x14ac:dyDescent="0.2">
      <c r="A2038" s="10">
        <v>1977</v>
      </c>
      <c r="D2038" s="2" t="str">
        <f t="shared" si="30"/>
        <v>OK</v>
      </c>
    </row>
    <row r="2039" spans="1:4" x14ac:dyDescent="0.2">
      <c r="A2039" s="5">
        <v>1978</v>
      </c>
      <c r="B2039" s="138">
        <f>'Cap Outlay Deprec 26'!I8</f>
        <v>2408680</v>
      </c>
      <c r="D2039" s="2" t="str">
        <f t="shared" si="30"/>
        <v>Error?</v>
      </c>
    </row>
    <row r="2040" spans="1:4" x14ac:dyDescent="0.2">
      <c r="A2040" s="5">
        <v>1979</v>
      </c>
      <c r="B2040" s="138">
        <f>'Cap Outlay Deprec 26'!I10</f>
        <v>179764</v>
      </c>
      <c r="D2040" s="2" t="str">
        <f t="shared" si="30"/>
        <v>Error?</v>
      </c>
    </row>
    <row r="2041" spans="1:4" x14ac:dyDescent="0.2">
      <c r="A2041" s="5">
        <v>1980</v>
      </c>
      <c r="B2041" s="138">
        <f>'Cap Outlay Deprec 26'!I12</f>
        <v>427159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3015603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292032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292032</v>
      </c>
      <c r="C2049" s="2" t="s">
        <v>594</v>
      </c>
      <c r="D2049" s="2" t="str">
        <f t="shared" si="31"/>
        <v>Error?</v>
      </c>
    </row>
    <row r="2050" spans="1:4" x14ac:dyDescent="0.2">
      <c r="A2050" s="10">
        <v>1989</v>
      </c>
      <c r="D2050" s="2" t="str">
        <f t="shared" si="31"/>
        <v>OK</v>
      </c>
    </row>
    <row r="2051" spans="1:4" x14ac:dyDescent="0.2">
      <c r="A2051" s="5">
        <v>1990</v>
      </c>
      <c r="B2051" s="138">
        <f>'Cap Outlay Deprec 26'!K8</f>
        <v>37596322</v>
      </c>
      <c r="C2051" s="2" t="s">
        <v>594</v>
      </c>
      <c r="D2051" s="2" t="str">
        <f t="shared" si="31"/>
        <v>Error?</v>
      </c>
    </row>
    <row r="2052" spans="1:4" x14ac:dyDescent="0.2">
      <c r="A2052" s="5">
        <v>1991</v>
      </c>
      <c r="B2052" s="138">
        <f>'Cap Outlay Deprec 26'!K10</f>
        <v>2687517</v>
      </c>
      <c r="C2052" s="2" t="s">
        <v>594</v>
      </c>
      <c r="D2052" s="2" t="str">
        <f t="shared" si="31"/>
        <v>Error?</v>
      </c>
    </row>
    <row r="2053" spans="1:4" x14ac:dyDescent="0.2">
      <c r="A2053" s="5">
        <v>1992</v>
      </c>
      <c r="B2053" s="138">
        <f>'Cap Outlay Deprec 26'!K12</f>
        <v>4459290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44743129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54749398</v>
      </c>
      <c r="C2057" s="2" t="s">
        <v>594</v>
      </c>
      <c r="D2057" s="2" t="str">
        <f t="shared" si="31"/>
        <v>Error?</v>
      </c>
    </row>
    <row r="2058" spans="1:4" x14ac:dyDescent="0.2">
      <c r="A2058" s="5">
        <v>1997</v>
      </c>
      <c r="B2058" s="138">
        <f>'Cap Outlay Deprec 26'!L10</f>
        <v>1140837</v>
      </c>
      <c r="C2058" s="2" t="s">
        <v>594</v>
      </c>
      <c r="D2058" s="2" t="str">
        <f t="shared" si="31"/>
        <v>Error?</v>
      </c>
    </row>
    <row r="2059" spans="1:4" x14ac:dyDescent="0.2">
      <c r="A2059" s="5">
        <v>1998</v>
      </c>
      <c r="B2059" s="138">
        <f>'Cap Outlay Deprec 26'!L12</f>
        <v>1034417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61364954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1638709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96527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515378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23130608</v>
      </c>
      <c r="C2551" s="2" t="s">
        <v>594</v>
      </c>
      <c r="D2551" s="2" t="str">
        <f t="shared" si="38"/>
        <v>Error?</v>
      </c>
    </row>
    <row r="2552" spans="1:4" x14ac:dyDescent="0.2">
      <c r="A2552" s="10">
        <v>2491</v>
      </c>
      <c r="D2552" s="2" t="str">
        <f t="shared" si="38"/>
        <v>OK</v>
      </c>
    </row>
    <row r="2553" spans="1:4" x14ac:dyDescent="0.2">
      <c r="A2553" s="5">
        <v>2492</v>
      </c>
      <c r="B2553" s="138">
        <f>'Acct Summary 7-8'!C6</f>
        <v>12799185</v>
      </c>
      <c r="C2553" s="2" t="s">
        <v>594</v>
      </c>
      <c r="D2553" s="2" t="str">
        <f t="shared" si="38"/>
        <v>Error?</v>
      </c>
    </row>
    <row r="2554" spans="1:4" x14ac:dyDescent="0.2">
      <c r="A2554" s="5">
        <v>2493</v>
      </c>
      <c r="B2554" s="138">
        <f>'Acct Summary 7-8'!C7</f>
        <v>1812909</v>
      </c>
      <c r="C2554" s="2" t="s">
        <v>594</v>
      </c>
      <c r="D2554" s="2" t="str">
        <f t="shared" si="38"/>
        <v>Error?</v>
      </c>
    </row>
    <row r="2555" spans="1:4" x14ac:dyDescent="0.2">
      <c r="A2555" s="5">
        <v>2494</v>
      </c>
      <c r="B2555" s="138">
        <f>'Acct Summary 7-8'!C8</f>
        <v>37742702</v>
      </c>
      <c r="C2555" s="2" t="s">
        <v>594</v>
      </c>
      <c r="D2555" s="2" t="str">
        <f t="shared" si="38"/>
        <v>Error?</v>
      </c>
    </row>
    <row r="2556" spans="1:4" x14ac:dyDescent="0.2">
      <c r="A2556" s="5">
        <v>2495</v>
      </c>
      <c r="B2556" s="138">
        <f>'Acct Summary 7-8'!C12</f>
        <v>24502382</v>
      </c>
      <c r="C2556" s="2" t="s">
        <v>594</v>
      </c>
      <c r="D2556" s="2" t="str">
        <f t="shared" si="38"/>
        <v>Error?</v>
      </c>
    </row>
    <row r="2557" spans="1:4" x14ac:dyDescent="0.2">
      <c r="A2557" s="5">
        <v>2496</v>
      </c>
      <c r="B2557" s="138">
        <f>'Acct Summary 7-8'!C13</f>
        <v>10711207</v>
      </c>
      <c r="C2557" s="2" t="s">
        <v>594</v>
      </c>
      <c r="D2557" s="2" t="str">
        <f t="shared" si="38"/>
        <v>Error?</v>
      </c>
    </row>
    <row r="2558" spans="1:4" x14ac:dyDescent="0.2">
      <c r="A2558" s="5">
        <v>2497</v>
      </c>
      <c r="B2558" s="138">
        <f>'Acct Summary 7-8'!C14</f>
        <v>53837</v>
      </c>
      <c r="C2558" s="2" t="s">
        <v>594</v>
      </c>
      <c r="D2558" s="2" t="str">
        <f t="shared" si="38"/>
        <v>Error?</v>
      </c>
    </row>
    <row r="2559" spans="1:4" x14ac:dyDescent="0.2">
      <c r="A2559" s="5">
        <v>2498</v>
      </c>
      <c r="B2559" s="138">
        <f>'Acct Summary 7-8'!C15</f>
        <v>1638709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36906135</v>
      </c>
      <c r="C2561" s="2" t="s">
        <v>594</v>
      </c>
      <c r="D2561" s="2" t="str">
        <f t="shared" si="39"/>
        <v>Error?</v>
      </c>
    </row>
    <row r="2562" spans="1:4" x14ac:dyDescent="0.2">
      <c r="A2562" s="5">
        <v>2501</v>
      </c>
      <c r="B2562" s="138">
        <f>'Acct Summary 7-8'!C20</f>
        <v>836567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3547347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3547347</v>
      </c>
      <c r="C2568" s="2" t="s">
        <v>594</v>
      </c>
      <c r="D2568" s="2" t="str">
        <f t="shared" si="39"/>
        <v>Error?</v>
      </c>
    </row>
    <row r="2569" spans="1:4" x14ac:dyDescent="0.2">
      <c r="A2569" s="5">
        <v>2508</v>
      </c>
      <c r="B2569" s="138">
        <f>'Acct Summary 7-8'!D13</f>
        <v>3847981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96527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3944508</v>
      </c>
      <c r="C2573" s="2" t="s">
        <v>594</v>
      </c>
      <c r="D2573" s="2" t="str">
        <f t="shared" si="39"/>
        <v>Error?</v>
      </c>
    </row>
    <row r="2574" spans="1:4" x14ac:dyDescent="0.2">
      <c r="A2574" s="5">
        <v>2513</v>
      </c>
      <c r="B2574" s="138">
        <f>'Acct Summary 7-8'!D20</f>
        <v>-397161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1257640</v>
      </c>
      <c r="C2591" s="2" t="s">
        <v>594</v>
      </c>
      <c r="D2591" s="2" t="str">
        <f t="shared" si="39"/>
        <v>Error?</v>
      </c>
    </row>
    <row r="2592" spans="1:4" x14ac:dyDescent="0.2">
      <c r="A2592" s="10">
        <v>2531</v>
      </c>
      <c r="D2592" s="2" t="str">
        <f t="shared" si="39"/>
        <v>OK</v>
      </c>
    </row>
    <row r="2593" spans="1:4" x14ac:dyDescent="0.2">
      <c r="A2593" s="5">
        <v>2532</v>
      </c>
      <c r="B2593" s="138">
        <f>'Acct Summary 7-8'!F6</f>
        <v>1980470</v>
      </c>
      <c r="C2593" s="2" t="s">
        <v>594</v>
      </c>
      <c r="D2593" s="2" t="str">
        <f t="shared" si="39"/>
        <v>Error?</v>
      </c>
    </row>
    <row r="2594" spans="1:4" x14ac:dyDescent="0.2">
      <c r="A2594" s="5">
        <v>2533</v>
      </c>
      <c r="B2594" s="138">
        <f>'Acct Summary 7-8'!F7</f>
        <v>16611</v>
      </c>
      <c r="C2594" s="2" t="s">
        <v>594</v>
      </c>
      <c r="D2594" s="2" t="str">
        <f t="shared" si="39"/>
        <v>Error?</v>
      </c>
    </row>
    <row r="2595" spans="1:4" x14ac:dyDescent="0.2">
      <c r="A2595" s="5">
        <v>2534</v>
      </c>
      <c r="B2595" s="138">
        <f>'Acct Summary 7-8'!F8</f>
        <v>3254721</v>
      </c>
      <c r="C2595" s="2" t="s">
        <v>594</v>
      </c>
      <c r="D2595" s="2" t="str">
        <f t="shared" si="39"/>
        <v>Error?</v>
      </c>
    </row>
    <row r="2596" spans="1:4" x14ac:dyDescent="0.2">
      <c r="A2596" s="5">
        <v>2535</v>
      </c>
      <c r="B2596" s="138">
        <f>'Acct Summary 7-8'!F13</f>
        <v>3202418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3202418</v>
      </c>
      <c r="C2600" s="2" t="s">
        <v>594</v>
      </c>
      <c r="D2600" s="2" t="str">
        <f t="shared" si="39"/>
        <v>Error?</v>
      </c>
    </row>
    <row r="2601" spans="1:4" x14ac:dyDescent="0.2">
      <c r="A2601" s="5">
        <v>2540</v>
      </c>
      <c r="B2601" s="138">
        <f>'Acct Summary 7-8'!F20</f>
        <v>52303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1483393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1483393</v>
      </c>
      <c r="C2606" s="2" t="s">
        <v>594</v>
      </c>
      <c r="D2606" s="2" t="str">
        <f t="shared" si="39"/>
        <v>Error?</v>
      </c>
    </row>
    <row r="2607" spans="1:4" x14ac:dyDescent="0.2">
      <c r="A2607" s="5">
        <v>2546</v>
      </c>
      <c r="B2607" s="138">
        <f>'Acct Summary 7-8'!G12</f>
        <v>724401</v>
      </c>
      <c r="C2607" s="2" t="s">
        <v>594</v>
      </c>
      <c r="D2607" s="2" t="str">
        <f t="shared" si="39"/>
        <v>Error?</v>
      </c>
    </row>
    <row r="2608" spans="1:4" x14ac:dyDescent="0.2">
      <c r="A2608" s="5">
        <v>2547</v>
      </c>
      <c r="B2608" s="138">
        <f>'Acct Summary 7-8'!G13</f>
        <v>670429</v>
      </c>
      <c r="C2608" s="2" t="s">
        <v>594</v>
      </c>
      <c r="D2608" s="2" t="str">
        <f t="shared" si="39"/>
        <v>Error?</v>
      </c>
    </row>
    <row r="2609" spans="1:4" x14ac:dyDescent="0.2">
      <c r="A2609" s="5">
        <v>2548</v>
      </c>
      <c r="B2609" s="138">
        <f>'Acct Summary 7-8'!G14</f>
        <v>12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1462797</v>
      </c>
      <c r="C2612" s="2" t="s">
        <v>594</v>
      </c>
      <c r="D2612" s="2" t="str">
        <f t="shared" si="39"/>
        <v>Error?</v>
      </c>
    </row>
    <row r="2613" spans="1:4" x14ac:dyDescent="0.2">
      <c r="A2613" s="5">
        <v>2552</v>
      </c>
      <c r="B2613" s="138">
        <f>'Acct Summary 7-8'!G20</f>
        <v>20596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7742137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7742137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7680824</v>
      </c>
      <c r="C2634" s="2" t="s">
        <v>594</v>
      </c>
      <c r="D2634" s="2" t="str">
        <f t="shared" si="40"/>
        <v>Error?</v>
      </c>
    </row>
    <row r="2635" spans="1:4" x14ac:dyDescent="0.2">
      <c r="A2635" s="5">
        <v>2574</v>
      </c>
      <c r="B2635" s="138">
        <f>'Acct Summary 7-8'!E17</f>
        <v>7680824</v>
      </c>
      <c r="C2635" s="2" t="s">
        <v>594</v>
      </c>
      <c r="D2635" s="2" t="str">
        <f t="shared" si="40"/>
        <v>Error?</v>
      </c>
    </row>
    <row r="2636" spans="1:4" x14ac:dyDescent="0.2">
      <c r="A2636" s="5">
        <v>2575</v>
      </c>
      <c r="B2636" s="138">
        <f>'Acct Summary 7-8'!E20</f>
        <v>61313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101433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101433</v>
      </c>
      <c r="C2658" s="2" t="s">
        <v>594</v>
      </c>
      <c r="D2658" s="2" t="str">
        <f t="shared" si="40"/>
        <v>Error?</v>
      </c>
    </row>
    <row r="2659" spans="1:4" x14ac:dyDescent="0.2">
      <c r="A2659" s="5">
        <v>2598</v>
      </c>
      <c r="B2659" s="138">
        <f>'Acct Summary 7-8'!H13</f>
        <v>2175133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2175133</v>
      </c>
      <c r="C2661" s="2" t="s">
        <v>594</v>
      </c>
      <c r="D2661" s="2" t="str">
        <f t="shared" si="40"/>
        <v>Error?</v>
      </c>
    </row>
    <row r="2662" spans="1:4" x14ac:dyDescent="0.2">
      <c r="A2662" s="5">
        <v>2601</v>
      </c>
      <c r="B2662" s="138">
        <f>'Acct Summary 7-8'!H20</f>
        <v>-2073700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356804</v>
      </c>
      <c r="D2718" s="2" t="str">
        <f t="shared" si="41"/>
        <v>Error?</v>
      </c>
    </row>
    <row r="2719" spans="1:4" x14ac:dyDescent="0.2">
      <c r="A2719" s="5">
        <v>2658</v>
      </c>
      <c r="B2719" s="138">
        <f>'Expenditures 15-22'!D51</f>
        <v>70703</v>
      </c>
      <c r="D2719" s="2" t="str">
        <f t="shared" si="41"/>
        <v>Error?</v>
      </c>
    </row>
    <row r="2720" spans="1:4" x14ac:dyDescent="0.2">
      <c r="A2720" s="5">
        <v>2659</v>
      </c>
      <c r="B2720" s="138">
        <f>'Expenditures 15-22'!E51</f>
        <v>43291</v>
      </c>
      <c r="D2720" s="2" t="str">
        <f t="shared" si="41"/>
        <v>Error?</v>
      </c>
    </row>
    <row r="2721" spans="1:4" x14ac:dyDescent="0.2">
      <c r="A2721" s="5">
        <v>2660</v>
      </c>
      <c r="B2721" s="138">
        <f>'Expenditures 15-22'!F51</f>
        <v>1884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1257</v>
      </c>
      <c r="D2723" s="2" t="str">
        <f t="shared" si="41"/>
        <v>Error?</v>
      </c>
    </row>
    <row r="2724" spans="1:4" x14ac:dyDescent="0.2">
      <c r="A2724" s="5">
        <v>2663</v>
      </c>
      <c r="B2724" s="138">
        <f>'Expenditures 15-22'!K51</f>
        <v>475388</v>
      </c>
      <c r="C2724" s="2" t="s">
        <v>594</v>
      </c>
      <c r="D2724" s="2" t="str">
        <f t="shared" si="41"/>
        <v>Error?</v>
      </c>
    </row>
    <row r="2725" spans="1:4" x14ac:dyDescent="0.2">
      <c r="A2725" s="5">
        <v>2664</v>
      </c>
      <c r="B2725" s="138">
        <f>'Expenditures 15-22'!D247</f>
        <v>23436</v>
      </c>
      <c r="D2725" s="2" t="str">
        <f t="shared" si="41"/>
        <v>Error?</v>
      </c>
    </row>
    <row r="2726" spans="1:4" x14ac:dyDescent="0.2">
      <c r="A2726" s="5">
        <v>2665</v>
      </c>
      <c r="B2726" s="138">
        <f>'Expenditures 15-22'!K247</f>
        <v>23436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2175133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10697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909124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3266453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43490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11356</v>
      </c>
      <c r="D2908" s="2" t="str">
        <f t="shared" si="44"/>
        <v>Error?</v>
      </c>
    </row>
    <row r="2909" spans="1:4" x14ac:dyDescent="0.2">
      <c r="A2909" s="10">
        <v>2848</v>
      </c>
      <c r="D2909" s="2" t="str">
        <f t="shared" si="44"/>
        <v>OK</v>
      </c>
    </row>
    <row r="2910" spans="1:4" x14ac:dyDescent="0.2">
      <c r="A2910" s="5">
        <v>2849</v>
      </c>
      <c r="B2910" s="138">
        <f>'Assets-Liab 5-6'!I34</f>
        <v>11356</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3255097</v>
      </c>
      <c r="D2912" s="2" t="str">
        <f t="shared" si="44"/>
        <v>Error?</v>
      </c>
    </row>
    <row r="2913" spans="1:4" x14ac:dyDescent="0.2">
      <c r="A2913" s="5">
        <v>2852</v>
      </c>
      <c r="B2913" s="138">
        <f>'Assets-Liab 5-6'!I41</f>
        <v>3266453</v>
      </c>
      <c r="C2913" s="2" t="s">
        <v>594</v>
      </c>
      <c r="D2913" s="2" t="str">
        <f t="shared" si="44"/>
        <v>Error?</v>
      </c>
    </row>
    <row r="2914" spans="1:4" x14ac:dyDescent="0.2">
      <c r="A2914" s="5">
        <v>2853</v>
      </c>
      <c r="B2914" s="138">
        <f>'Assets-Liab 5-6'!L33</f>
        <v>43490</v>
      </c>
      <c r="D2914" s="2" t="str">
        <f t="shared" si="44"/>
        <v>Error?</v>
      </c>
    </row>
    <row r="2915" spans="1:4" x14ac:dyDescent="0.2">
      <c r="A2915" s="10">
        <v>2854</v>
      </c>
      <c r="D2915" s="2" t="str">
        <f t="shared" si="44"/>
        <v>OK</v>
      </c>
    </row>
    <row r="2916" spans="1:4" x14ac:dyDescent="0.2">
      <c r="A2916" s="5">
        <v>2855</v>
      </c>
      <c r="B2916" s="138">
        <f>'Assets-Liab 5-6'!L34</f>
        <v>43490</v>
      </c>
      <c r="C2916" s="2" t="s">
        <v>594</v>
      </c>
      <c r="D2916" s="2" t="str">
        <f t="shared" si="44"/>
        <v>Error?</v>
      </c>
    </row>
    <row r="2917" spans="1:4" x14ac:dyDescent="0.2">
      <c r="A2917" s="5">
        <v>2856</v>
      </c>
      <c r="B2917" s="138">
        <f>'Assets-Liab 5-6'!L41</f>
        <v>43490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96527</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1730703</v>
      </c>
      <c r="D3055" s="2" t="str">
        <f t="shared" si="46"/>
        <v>Error?</v>
      </c>
    </row>
    <row r="3056" spans="1:4" x14ac:dyDescent="0.2">
      <c r="A3056" s="5">
        <v>2995</v>
      </c>
      <c r="B3056" s="138">
        <f>'Expenditures 15-22'!D10</f>
        <v>275575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2006278</v>
      </c>
      <c r="C3062" s="2" t="s">
        <v>594</v>
      </c>
      <c r="D3062" s="2" t="str">
        <f t="shared" si="46"/>
        <v>Error?</v>
      </c>
    </row>
    <row r="3063" spans="1:4" x14ac:dyDescent="0.2">
      <c r="A3063" s="10">
        <v>3002</v>
      </c>
      <c r="D3063" s="2" t="str">
        <f t="shared" si="46"/>
        <v>OK</v>
      </c>
    </row>
    <row r="3064" spans="1:4" x14ac:dyDescent="0.2">
      <c r="A3064" s="5">
        <v>3003</v>
      </c>
      <c r="B3064" s="138">
        <f>'Expenditures 15-22'!D219</f>
        <v>95361</v>
      </c>
      <c r="D3064" s="2" t="str">
        <f t="shared" si="46"/>
        <v>Error?</v>
      </c>
    </row>
    <row r="3065" spans="1:4" x14ac:dyDescent="0.2">
      <c r="A3065" s="5">
        <v>3004</v>
      </c>
      <c r="B3065" s="138">
        <f>'Expenditures 15-22'!K219</f>
        <v>95361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64693</v>
      </c>
      <c r="C3225" s="2" t="s">
        <v>594</v>
      </c>
      <c r="D3225" s="2" t="str">
        <f t="shared" si="49"/>
        <v>Error?</v>
      </c>
    </row>
    <row r="3226" spans="1:4" x14ac:dyDescent="0.2">
      <c r="A3226" s="5">
        <v>3165</v>
      </c>
      <c r="B3226" s="138">
        <f>'Acct Summary 7-8'!I8</f>
        <v>64693</v>
      </c>
      <c r="C3226" s="2" t="s">
        <v>594</v>
      </c>
      <c r="D3226" s="2" t="str">
        <f t="shared" si="49"/>
        <v>Error?</v>
      </c>
    </row>
    <row r="3227" spans="1:4" x14ac:dyDescent="0.2">
      <c r="A3227" s="5">
        <v>3166</v>
      </c>
      <c r="B3227" s="138">
        <f>'Acct Summary 7-8'!I20</f>
        <v>64693</v>
      </c>
      <c r="C3227" s="2" t="s">
        <v>594</v>
      </c>
      <c r="D3227" s="2" t="str">
        <f t="shared" si="49"/>
        <v>Error?</v>
      </c>
    </row>
    <row r="3228" spans="1:4" x14ac:dyDescent="0.2">
      <c r="A3228" s="5">
        <v>3167</v>
      </c>
      <c r="B3228" s="138">
        <f>'Acct Summary 7-8'!C43</f>
        <v>43622</v>
      </c>
      <c r="D3228" s="2" t="str">
        <f t="shared" si="49"/>
        <v>Error?</v>
      </c>
    </row>
    <row r="3229" spans="1:4" x14ac:dyDescent="0.2">
      <c r="A3229" s="5">
        <v>3168</v>
      </c>
      <c r="B3229" s="138">
        <f>'Acct Summary 7-8'!C44</f>
        <v>43622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19014</v>
      </c>
      <c r="C3231" s="2" t="s">
        <v>594</v>
      </c>
      <c r="D3231" s="2" t="str">
        <f t="shared" si="49"/>
        <v>Error?</v>
      </c>
    </row>
    <row r="3232" spans="1:4" x14ac:dyDescent="0.2">
      <c r="A3232" s="5">
        <v>3171</v>
      </c>
      <c r="B3232" s="138">
        <f>'Acct Summary 7-8'!C77</f>
        <v>24608</v>
      </c>
      <c r="C3232" s="2" t="s">
        <v>594</v>
      </c>
      <c r="D3232" s="2" t="str">
        <f t="shared" si="49"/>
        <v>Error?</v>
      </c>
    </row>
    <row r="3233" spans="1:4" x14ac:dyDescent="0.2">
      <c r="A3233" s="5">
        <v>3172</v>
      </c>
      <c r="B3233" s="138">
        <f>'Acct Summary 7-8'!C78</f>
        <v>861175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-397161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52303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20596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19014</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19014</v>
      </c>
      <c r="C3277" s="2" t="s">
        <v>594</v>
      </c>
      <c r="D3277" s="2" t="str">
        <f t="shared" si="50"/>
        <v>Error?</v>
      </c>
    </row>
    <row r="3278" spans="1:4" x14ac:dyDescent="0.2">
      <c r="A3278" s="5">
        <v>3217</v>
      </c>
      <c r="B3278" s="138">
        <f>'Acct Summary 7-8'!E78</f>
        <v>80327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-2073700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64693</v>
      </c>
      <c r="C3320" s="2" t="s">
        <v>594</v>
      </c>
      <c r="D3320" s="2" t="str">
        <f t="shared" si="50"/>
        <v>Error?</v>
      </c>
    </row>
    <row r="3321" spans="1:4" x14ac:dyDescent="0.2">
      <c r="A3321" s="5">
        <v>3260</v>
      </c>
      <c r="B3321" s="138">
        <f>'Acct Summary 7-8'!I79</f>
        <v>3190404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3255097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3611199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880441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54951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101333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2778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4692902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214217</v>
      </c>
      <c r="D3387" s="2" t="str">
        <f t="shared" si="51"/>
        <v>Error?</v>
      </c>
    </row>
    <row r="3388" spans="1:4" x14ac:dyDescent="0.2">
      <c r="A3388" s="5">
        <v>3327</v>
      </c>
      <c r="B3388" s="138">
        <f>'Expenditures 15-22'!D217</f>
        <v>293099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214217</v>
      </c>
      <c r="C3390" s="2" t="s">
        <v>594</v>
      </c>
      <c r="D3390" s="2" t="str">
        <f t="shared" si="51"/>
        <v>Error?</v>
      </c>
    </row>
    <row r="3391" spans="1:4" x14ac:dyDescent="0.2">
      <c r="A3391" s="5">
        <v>3330</v>
      </c>
      <c r="B3391" s="138">
        <f>'Expenditures 15-22'!K217</f>
        <v>293099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10972691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2853886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3616341</v>
      </c>
      <c r="D3417" s="2" t="str">
        <f t="shared" si="52"/>
        <v>Error?</v>
      </c>
    </row>
    <row r="3418" spans="1:4" x14ac:dyDescent="0.2">
      <c r="A3418" s="10">
        <v>3357</v>
      </c>
      <c r="D3418" s="2" t="str">
        <f t="shared" si="52"/>
        <v>OK</v>
      </c>
    </row>
    <row r="3419" spans="1:4" x14ac:dyDescent="0.2">
      <c r="A3419" s="5">
        <v>3358</v>
      </c>
      <c r="B3419" s="138">
        <f>'Assets-Liab 5-6'!F4</f>
        <v>56437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477266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1217742</v>
      </c>
      <c r="D3425" s="2" t="str">
        <f t="shared" si="52"/>
        <v>Error?</v>
      </c>
    </row>
    <row r="3426" spans="1:4" x14ac:dyDescent="0.2">
      <c r="A3426" s="10">
        <v>3365</v>
      </c>
      <c r="D3426" s="2" t="str">
        <f t="shared" si="52"/>
        <v>OK</v>
      </c>
    </row>
    <row r="3427" spans="1:4" x14ac:dyDescent="0.2">
      <c r="A3427" s="5">
        <v>3366</v>
      </c>
      <c r="B3427" s="138">
        <f>'Assets-Liab 5-6'!I4</f>
        <v>2346632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43490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743831</v>
      </c>
      <c r="C3446" s="2" t="s">
        <v>594</v>
      </c>
      <c r="D3446" s="2" t="str">
        <f t="shared" si="52"/>
        <v>Error?</v>
      </c>
    </row>
    <row r="3447" spans="1:4" x14ac:dyDescent="0.2">
      <c r="A3447" s="5">
        <v>3386</v>
      </c>
      <c r="B3447" s="138">
        <f>'Tax Sched 23'!D16</f>
        <v>337051</v>
      </c>
      <c r="C3447" s="2" t="s">
        <v>594</v>
      </c>
      <c r="D3447" s="2" t="str">
        <f t="shared" si="52"/>
        <v>Error?</v>
      </c>
    </row>
    <row r="3448" spans="1:4" x14ac:dyDescent="0.2">
      <c r="A3448" s="5">
        <v>3387</v>
      </c>
      <c r="B3448" s="138">
        <f>'Tax Sched 23'!C16</f>
        <v>406780</v>
      </c>
      <c r="D3448" s="2" t="str">
        <f t="shared" si="52"/>
        <v>Error?</v>
      </c>
    </row>
    <row r="3449" spans="1:4" x14ac:dyDescent="0.2">
      <c r="A3449" s="5">
        <v>3388</v>
      </c>
      <c r="B3449" s="138">
        <f>'Tax Sched 23'!F16</f>
        <v>362156</v>
      </c>
      <c r="C3449" s="2" t="s">
        <v>594</v>
      </c>
      <c r="D3449" s="2" t="str">
        <f t="shared" si="52"/>
        <v>Error?</v>
      </c>
    </row>
    <row r="3450" spans="1:4" x14ac:dyDescent="0.2">
      <c r="A3450" s="5">
        <v>3389</v>
      </c>
      <c r="B3450" s="138">
        <f>'Tax Sched 23'!E16</f>
        <v>768936</v>
      </c>
      <c r="D3450" s="2" t="str">
        <f t="shared" si="52"/>
        <v>Error?</v>
      </c>
    </row>
    <row r="3451" spans="1:4" x14ac:dyDescent="0.2">
      <c r="A3451" s="5">
        <v>3390</v>
      </c>
      <c r="B3451" s="138">
        <f>'Cap Outlay Deprec 26'!C15</f>
        <v>100318</v>
      </c>
      <c r="D3451" s="2" t="str">
        <f t="shared" si="52"/>
        <v>Error?</v>
      </c>
    </row>
    <row r="3452" spans="1:4" x14ac:dyDescent="0.2">
      <c r="A3452" s="5">
        <v>3391</v>
      </c>
      <c r="B3452" s="138">
        <f>'Cap Outlay Deprec 26'!D15</f>
        <v>2175133</v>
      </c>
      <c r="D3452" s="2" t="str">
        <f t="shared" si="52"/>
        <v>Error?</v>
      </c>
    </row>
    <row r="3453" spans="1:4" x14ac:dyDescent="0.2">
      <c r="A3453" s="5">
        <v>3392</v>
      </c>
      <c r="B3453" s="138">
        <f>'Cap Outlay Deprec 26'!E15</f>
        <v>100318</v>
      </c>
      <c r="D3453" s="2" t="str">
        <f t="shared" si="52"/>
        <v>Error?</v>
      </c>
    </row>
    <row r="3454" spans="1:4" x14ac:dyDescent="0.2">
      <c r="A3454" s="5">
        <v>3393</v>
      </c>
      <c r="B3454" s="138">
        <f>'Cap Outlay Deprec 26'!F15</f>
        <v>2175133</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2175133</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67955</v>
      </c>
      <c r="D3721" s="2" t="str">
        <f t="shared" si="57"/>
        <v>Error?</v>
      </c>
    </row>
    <row r="3722" spans="1:4" x14ac:dyDescent="0.2">
      <c r="A3722" s="5">
        <v>3661</v>
      </c>
      <c r="B3722" s="138">
        <f>'Expenditures 15-22'!D285</f>
        <v>67955</v>
      </c>
      <c r="C3722" s="2" t="s">
        <v>594</v>
      </c>
      <c r="D3722" s="2" t="str">
        <f t="shared" si="57"/>
        <v>Error?</v>
      </c>
    </row>
    <row r="3723" spans="1:4" x14ac:dyDescent="0.2">
      <c r="A3723" s="5">
        <v>3662</v>
      </c>
      <c r="B3723" s="138">
        <f>'Expenditures 15-22'!K283</f>
        <v>67955</v>
      </c>
      <c r="C3723" s="2" t="s">
        <v>594</v>
      </c>
      <c r="D3723" s="2" t="str">
        <f t="shared" si="57"/>
        <v>Error?</v>
      </c>
    </row>
    <row r="3724" spans="1:4" x14ac:dyDescent="0.2">
      <c r="A3724" s="5">
        <v>3663</v>
      </c>
      <c r="B3724" s="138">
        <f>'Expenditures 15-22'!K285</f>
        <v>67955</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547803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46126</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21821</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24305</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21638</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45943</v>
      </c>
      <c r="D4111" s="2" t="str">
        <f t="shared" si="63"/>
        <v>Error?</v>
      </c>
    </row>
    <row r="4112" spans="1:4" x14ac:dyDescent="0.2">
      <c r="A4112" s="10">
        <v>4051</v>
      </c>
      <c r="D4112" s="2" t="str">
        <f t="shared" si="63"/>
        <v>OK</v>
      </c>
    </row>
    <row r="4113" spans="1:4" x14ac:dyDescent="0.2">
      <c r="A4113" s="5">
        <v>4052</v>
      </c>
      <c r="B4113" s="138">
        <f>'Acct Summary 7-8'!C9</f>
        <v>15649218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53391920</v>
      </c>
      <c r="C4122" s="2" t="s">
        <v>594</v>
      </c>
      <c r="D4122" s="2" t="str">
        <f t="shared" si="63"/>
        <v>Error?</v>
      </c>
    </row>
    <row r="4123" spans="1:4" x14ac:dyDescent="0.2">
      <c r="A4123" s="5">
        <v>4062</v>
      </c>
      <c r="B4123" s="138">
        <f>'Acct Summary 7-8'!D10</f>
        <v>3547347</v>
      </c>
      <c r="C4123" s="2" t="s">
        <v>594</v>
      </c>
      <c r="D4123" s="2" t="str">
        <f t="shared" si="63"/>
        <v>Error?</v>
      </c>
    </row>
    <row r="4124" spans="1:4" x14ac:dyDescent="0.2">
      <c r="A4124" s="5">
        <v>4063</v>
      </c>
      <c r="B4124" s="138">
        <f>'Acct Summary 7-8'!E10</f>
        <v>7742137</v>
      </c>
      <c r="C4124" s="2" t="s">
        <v>594</v>
      </c>
      <c r="D4124" s="2" t="str">
        <f t="shared" si="63"/>
        <v>Error?</v>
      </c>
    </row>
    <row r="4125" spans="1:4" x14ac:dyDescent="0.2">
      <c r="A4125" s="5">
        <v>4064</v>
      </c>
      <c r="B4125" s="138">
        <f>'Acct Summary 7-8'!F10</f>
        <v>3254721</v>
      </c>
      <c r="C4125" s="2" t="s">
        <v>594</v>
      </c>
      <c r="D4125" s="2" t="str">
        <f t="shared" si="63"/>
        <v>Error?</v>
      </c>
    </row>
    <row r="4126" spans="1:4" x14ac:dyDescent="0.2">
      <c r="A4126" s="5">
        <v>4065</v>
      </c>
      <c r="B4126" s="138">
        <f>'Acct Summary 7-8'!G10</f>
        <v>1483393</v>
      </c>
      <c r="C4126" s="2" t="s">
        <v>594</v>
      </c>
      <c r="D4126" s="2" t="str">
        <f t="shared" si="63"/>
        <v>Error?</v>
      </c>
    </row>
    <row r="4127" spans="1:4" x14ac:dyDescent="0.2">
      <c r="A4127" s="5">
        <v>4066</v>
      </c>
      <c r="B4127" s="138">
        <f>'Acct Summary 7-8'!H10</f>
        <v>101433</v>
      </c>
      <c r="C4127" s="2" t="s">
        <v>594</v>
      </c>
      <c r="D4127" s="2" t="str">
        <f t="shared" si="63"/>
        <v>Error?</v>
      </c>
    </row>
    <row r="4128" spans="1:4" x14ac:dyDescent="0.2">
      <c r="A4128" s="5">
        <v>4067</v>
      </c>
      <c r="B4128" s="138">
        <f>'Acct Summary 7-8'!I10</f>
        <v>64693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15649218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52555353</v>
      </c>
      <c r="C4136" s="2" t="s">
        <v>594</v>
      </c>
      <c r="D4136" s="2" t="str">
        <f t="shared" si="63"/>
        <v>Error?</v>
      </c>
    </row>
    <row r="4137" spans="1:4" x14ac:dyDescent="0.2">
      <c r="A4137" s="5">
        <v>4076</v>
      </c>
      <c r="B4137" s="138">
        <f>'Acct Summary 7-8'!D19</f>
        <v>3944508</v>
      </c>
      <c r="C4137" s="2" t="s">
        <v>594</v>
      </c>
      <c r="D4137" s="2" t="str">
        <f t="shared" si="63"/>
        <v>Error?</v>
      </c>
    </row>
    <row r="4138" spans="1:4" x14ac:dyDescent="0.2">
      <c r="A4138" s="5">
        <v>4077</v>
      </c>
      <c r="B4138" s="138">
        <f>'Acct Summary 7-8'!E19</f>
        <v>7680824</v>
      </c>
      <c r="C4138" s="2" t="s">
        <v>594</v>
      </c>
      <c r="D4138" s="2" t="str">
        <f t="shared" si="63"/>
        <v>Error?</v>
      </c>
    </row>
    <row r="4139" spans="1:4" x14ac:dyDescent="0.2">
      <c r="A4139" s="5">
        <v>4078</v>
      </c>
      <c r="B4139" s="138">
        <f>'Acct Summary 7-8'!F19</f>
        <v>3202418</v>
      </c>
      <c r="C4139" s="2" t="s">
        <v>594</v>
      </c>
      <c r="D4139" s="2" t="str">
        <f t="shared" si="63"/>
        <v>Error?</v>
      </c>
    </row>
    <row r="4140" spans="1:4" x14ac:dyDescent="0.2">
      <c r="A4140" s="5">
        <v>4079</v>
      </c>
      <c r="B4140" s="138">
        <f>'Acct Summary 7-8'!G19</f>
        <v>1462797</v>
      </c>
      <c r="C4140" s="2" t="s">
        <v>594</v>
      </c>
      <c r="D4140" s="2" t="str">
        <f t="shared" si="63"/>
        <v>Error?</v>
      </c>
    </row>
    <row r="4141" spans="1:4" x14ac:dyDescent="0.2">
      <c r="A4141" s="5">
        <v>4080</v>
      </c>
      <c r="B4141" s="138">
        <f>'Acct Summary 7-8'!H19</f>
        <v>2175133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52043526</v>
      </c>
      <c r="C4171" s="2" t="s">
        <v>594</v>
      </c>
      <c r="D4171" s="2" t="str">
        <f t="shared" si="64"/>
        <v>Error?</v>
      </c>
    </row>
    <row r="4172" spans="1:4" x14ac:dyDescent="0.2">
      <c r="A4172" s="5">
        <v>4111</v>
      </c>
      <c r="B4172" s="138">
        <f>'Short-Term Long-Term Debt 24'!J49</f>
        <v>47250616</v>
      </c>
      <c r="C4172" s="2" t="s">
        <v>594</v>
      </c>
      <c r="D4172" s="2" t="str">
        <f t="shared" si="64"/>
        <v>Error?</v>
      </c>
    </row>
    <row r="4173" spans="1:4" x14ac:dyDescent="0.2">
      <c r="A4173" s="5">
        <v>4112</v>
      </c>
      <c r="B4173" s="138">
        <f>'Short-Term Long-Term Debt 24'!H49</f>
        <v>6192482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1383281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96527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96527</v>
      </c>
      <c r="C4202" s="2" t="s">
        <v>594</v>
      </c>
      <c r="D4202" s="2" t="str">
        <f t="shared" si="64"/>
        <v>Error?</v>
      </c>
    </row>
    <row r="4203" spans="1:4" x14ac:dyDescent="0.2">
      <c r="A4203" s="5">
        <v>4142</v>
      </c>
      <c r="B4203" s="138">
        <f>'Expenditures 15-22'!E139</f>
        <v>96527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3303.7999999999997</v>
      </c>
      <c r="C4265" s="2" t="s">
        <v>594</v>
      </c>
      <c r="D4265" s="2" t="str">
        <f t="shared" si="65"/>
        <v>Error?</v>
      </c>
      <c r="E4265" s="128"/>
    </row>
    <row r="4266" spans="1:5" x14ac:dyDescent="0.2">
      <c r="A4266" s="12">
        <v>4205</v>
      </c>
      <c r="B4266" s="138">
        <f>('FP Info 3'!F10)*100000</f>
        <v>506.5</v>
      </c>
      <c r="C4266" s="2" t="s">
        <v>594</v>
      </c>
      <c r="D4266" s="2" t="str">
        <f t="shared" si="65"/>
        <v>Error?</v>
      </c>
      <c r="E4266" s="128"/>
    </row>
    <row r="4267" spans="1:5" x14ac:dyDescent="0.2">
      <c r="A4267" s="12">
        <v>4206</v>
      </c>
      <c r="B4267" s="138">
        <f>('FP Info 3'!H10)*100000</f>
        <v>171.9</v>
      </c>
      <c r="C4267" s="2" t="s">
        <v>594</v>
      </c>
      <c r="D4267" s="2" t="str">
        <f t="shared" si="65"/>
        <v>Error?</v>
      </c>
      <c r="E4267" s="128"/>
    </row>
    <row r="4268" spans="1:5" x14ac:dyDescent="0.2">
      <c r="A4268" s="12">
        <v>4207</v>
      </c>
      <c r="B4268" s="138">
        <f>('FP Info 3'!J10)*100000</f>
        <v>3982</v>
      </c>
      <c r="C4268" s="2" t="s">
        <v>594</v>
      </c>
      <c r="D4268" s="2" t="str">
        <f t="shared" si="65"/>
        <v>Error?</v>
      </c>
    </row>
    <row r="4269" spans="1:5" x14ac:dyDescent="0.2">
      <c r="A4269" s="12">
        <v>4208</v>
      </c>
      <c r="B4269" s="138">
        <f>'FP Info 3'!J16</f>
        <v>18111282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56897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426318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48088</v>
      </c>
      <c r="D4415" s="2" t="str">
        <f t="shared" ref="D4415:D4478" si="68">IF(ISBLANK(B4415),"OK",IF(A4415-B4415=0,"OK","Error?"))</f>
        <v>Error?</v>
      </c>
    </row>
    <row r="4416" spans="1:4" x14ac:dyDescent="0.2">
      <c r="A4416" s="5">
        <v>4355</v>
      </c>
      <c r="B4416" s="138">
        <f>'Revenues 9-14'!F264</f>
        <v>11293</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97875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5131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659639906</v>
      </c>
      <c r="D4995" s="2" t="str">
        <f t="shared" si="77"/>
        <v>Error?</v>
      </c>
    </row>
    <row r="4996" spans="1:4" x14ac:dyDescent="0.2">
      <c r="A4996" s="12">
        <v>4935</v>
      </c>
      <c r="B4996" s="138">
        <f>'FP Info 3'!H31</f>
        <v>45515153.514000006</v>
      </c>
      <c r="D4996" s="2" t="str">
        <f t="shared" si="77"/>
        <v>Error?</v>
      </c>
    </row>
    <row r="4997" spans="1:4" x14ac:dyDescent="0.2">
      <c r="A4997" s="12">
        <v>4936</v>
      </c>
      <c r="B4997" s="138">
        <f>'FP Info 3'!H37</f>
        <v>52043526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21100317</v>
      </c>
      <c r="D5061" s="2" t="str">
        <f t="shared" si="78"/>
        <v>Error?</v>
      </c>
    </row>
    <row r="5062" spans="1:4" x14ac:dyDescent="0.2">
      <c r="A5062" s="10">
        <v>5001</v>
      </c>
      <c r="D5062" s="2" t="str">
        <f t="shared" si="78"/>
        <v>OK</v>
      </c>
    </row>
    <row r="5063" spans="1:4" x14ac:dyDescent="0.2">
      <c r="A5063" s="5">
        <v>5002</v>
      </c>
      <c r="B5063" s="138">
        <f>'Revenues 9-14'!C7</f>
        <v>247228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21347545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23705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23705</v>
      </c>
      <c r="C5071" s="2" t="s">
        <v>594</v>
      </c>
      <c r="D5071" s="2" t="str">
        <f t="shared" si="78"/>
        <v>Error?</v>
      </c>
    </row>
    <row r="5072" spans="1:4" x14ac:dyDescent="0.2">
      <c r="A5072" s="5">
        <v>5011</v>
      </c>
      <c r="B5072" s="138">
        <f>'Revenues 9-14'!C20</f>
        <v>367768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28538</v>
      </c>
      <c r="D5075" s="2" t="str">
        <f t="shared" si="78"/>
        <v>Error?</v>
      </c>
    </row>
    <row r="5076" spans="1:4" x14ac:dyDescent="0.2">
      <c r="A5076" s="5">
        <v>5015</v>
      </c>
      <c r="B5076" s="138">
        <f>'Revenues 9-14'!C25</f>
        <v>1250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22844</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420400</v>
      </c>
      <c r="C5087" s="2" t="s">
        <v>594</v>
      </c>
      <c r="D5087" s="2" t="str">
        <f t="shared" si="78"/>
        <v>Error?</v>
      </c>
    </row>
    <row r="5088" spans="1:4" x14ac:dyDescent="0.2">
      <c r="A5088" s="5">
        <v>5027</v>
      </c>
      <c r="B5088" s="138">
        <f>'Revenues 9-14'!C65</f>
        <v>125922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125922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902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325668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314110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314110</v>
      </c>
      <c r="C5102" s="2" t="s">
        <v>594</v>
      </c>
      <c r="D5102" s="2" t="str">
        <f t="shared" si="78"/>
        <v>Error?</v>
      </c>
    </row>
    <row r="5103" spans="1:4" x14ac:dyDescent="0.2">
      <c r="A5103" s="5">
        <v>5042</v>
      </c>
      <c r="B5103" s="138">
        <f>'Revenues 9-14'!C84</f>
        <v>190241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39981</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230222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113664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190986</v>
      </c>
      <c r="D5118" s="2" t="str">
        <f t="shared" si="78"/>
        <v>Error?</v>
      </c>
    </row>
    <row r="5119" spans="1:4" x14ac:dyDescent="0.2">
      <c r="A5119" s="5">
        <v>5058</v>
      </c>
      <c r="B5119" s="138">
        <f>'Revenues 9-14'!C107</f>
        <v>38386</v>
      </c>
      <c r="D5119" s="2" t="str">
        <f t="shared" ref="D5119:D5182" si="79">IF(ISBLANK(B5119),"OK",IF(A5119-B5119=0,"OK","Error?"))</f>
        <v>Error?</v>
      </c>
    </row>
    <row r="5120" spans="1:4" x14ac:dyDescent="0.2">
      <c r="A5120" s="5">
        <v>5059</v>
      </c>
      <c r="B5120" s="138">
        <f>'Revenues 9-14'!C108</f>
        <v>343036</v>
      </c>
      <c r="C5120" s="2" t="s">
        <v>594</v>
      </c>
      <c r="D5120" s="2" t="str">
        <f t="shared" si="79"/>
        <v>Error?</v>
      </c>
    </row>
    <row r="5121" spans="1:4" x14ac:dyDescent="0.2">
      <c r="A5121" s="5">
        <v>5060</v>
      </c>
      <c r="B5121" s="138">
        <f>'Revenues 9-14'!C109</f>
        <v>23130608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11637308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11637308</v>
      </c>
      <c r="C5132" s="2" t="s">
        <v>594</v>
      </c>
      <c r="D5132" s="2" t="str">
        <f t="shared" si="79"/>
        <v>Error?</v>
      </c>
    </row>
    <row r="5133" spans="1:4" x14ac:dyDescent="0.2">
      <c r="A5133" s="5">
        <v>5072</v>
      </c>
      <c r="B5133" s="138">
        <f>'Revenues 9-14'!C124</f>
        <v>784377</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21053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810633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219094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219094</v>
      </c>
      <c r="C5165" s="2" t="s">
        <v>594</v>
      </c>
      <c r="D5165" s="2" t="str">
        <f t="shared" si="79"/>
        <v>Error?</v>
      </c>
    </row>
    <row r="5166" spans="1:4" x14ac:dyDescent="0.2">
      <c r="A5166" s="10">
        <v>5105</v>
      </c>
      <c r="D5166" s="2" t="str">
        <f t="shared" si="79"/>
        <v>OK</v>
      </c>
    </row>
    <row r="5167" spans="1:4" x14ac:dyDescent="0.2">
      <c r="A5167" s="5">
        <v>5106</v>
      </c>
      <c r="B5167" s="138">
        <f>'Revenues 9-14'!C145</f>
        <v>7175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119844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1161877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12799185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395698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90127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485825</v>
      </c>
      <c r="C5246" s="2" t="s">
        <v>594</v>
      </c>
      <c r="D5246" s="2" t="str">
        <f t="shared" si="80"/>
        <v>Error?</v>
      </c>
    </row>
    <row r="5247" spans="1:4" x14ac:dyDescent="0.2">
      <c r="A5247" s="5">
        <v>5186</v>
      </c>
      <c r="B5247" s="138">
        <f>'Revenues 9-14'!C203</f>
        <v>266237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266237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11626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379695</v>
      </c>
      <c r="D5278" s="2" t="str">
        <f t="shared" si="81"/>
        <v>Error?</v>
      </c>
    </row>
    <row r="5279" spans="1:4" x14ac:dyDescent="0.2">
      <c r="A5279" s="5">
        <v>5218</v>
      </c>
      <c r="B5279" s="138">
        <f>'Revenues 9-14'!C221</f>
        <v>39971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431292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377</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1812909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1812909</v>
      </c>
      <c r="C5326" s="2" t="s">
        <v>594</v>
      </c>
      <c r="D5326" s="2" t="str">
        <f t="shared" si="82"/>
        <v>Error?</v>
      </c>
    </row>
    <row r="5327" spans="1:4" x14ac:dyDescent="0.2">
      <c r="A5327" s="5">
        <v>5266</v>
      </c>
      <c r="B5327" s="138">
        <f>'Revenues 9-14'!C275</f>
        <v>37742702</v>
      </c>
      <c r="C5327" s="2" t="s">
        <v>594</v>
      </c>
      <c r="D5327" s="2" t="str">
        <f t="shared" si="82"/>
        <v>Error?</v>
      </c>
    </row>
    <row r="5328" spans="1:4" x14ac:dyDescent="0.2">
      <c r="A5328" s="5">
        <v>5267</v>
      </c>
      <c r="B5328" s="138">
        <f>'Revenues 9-14'!D5</f>
        <v>3344554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3344554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47902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47902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69850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8109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76932</v>
      </c>
      <c r="D5354" s="2" t="str">
        <f t="shared" si="82"/>
        <v>Error?</v>
      </c>
    </row>
    <row r="5355" spans="1:4" x14ac:dyDescent="0.2">
      <c r="A5355" s="5">
        <v>5294</v>
      </c>
      <c r="B5355" s="138">
        <f>'Revenues 9-14'!D108</f>
        <v>154891</v>
      </c>
      <c r="C5355" s="2" t="s">
        <v>594</v>
      </c>
      <c r="D5355" s="2" t="str">
        <f t="shared" si="82"/>
        <v>Error?</v>
      </c>
    </row>
    <row r="5356" spans="1:4" x14ac:dyDescent="0.2">
      <c r="A5356" s="5">
        <v>5295</v>
      </c>
      <c r="B5356" s="138">
        <f>'Revenues 9-14'!D109</f>
        <v>3547347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3547347</v>
      </c>
      <c r="C5508" s="2" t="s">
        <v>594</v>
      </c>
      <c r="D5508" s="2" t="str">
        <f t="shared" si="85"/>
        <v>Error?</v>
      </c>
    </row>
    <row r="5509" spans="1:4" x14ac:dyDescent="0.2">
      <c r="A5509" s="5">
        <v>5448</v>
      </c>
      <c r="B5509" s="138">
        <f>'Revenues 9-14'!E5</f>
        <v>7706572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7706572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35565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35565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7742137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7742137</v>
      </c>
      <c r="C5552" s="2" t="s">
        <v>594</v>
      </c>
      <c r="D5552" s="2" t="str">
        <f t="shared" si="85"/>
        <v>Error?</v>
      </c>
    </row>
    <row r="5553" spans="1:4" x14ac:dyDescent="0.2">
      <c r="A5553" s="5">
        <v>5492</v>
      </c>
      <c r="B5553" s="138">
        <f>'Revenues 9-14'!F5</f>
        <v>1219741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1219741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33211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33211</v>
      </c>
      <c r="C5579" s="2" t="s">
        <v>594</v>
      </c>
      <c r="D5579" s="2" t="str">
        <f t="shared" si="86"/>
        <v>Error?</v>
      </c>
    </row>
    <row r="5580" spans="1:4" x14ac:dyDescent="0.2">
      <c r="A5580" s="5">
        <v>5519</v>
      </c>
      <c r="B5580" s="138">
        <f>'Revenues 9-14'!F65</f>
        <v>3450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3450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1238</v>
      </c>
      <c r="D5586" s="2" t="str">
        <f t="shared" si="86"/>
        <v>Error?</v>
      </c>
    </row>
    <row r="5587" spans="1:4" x14ac:dyDescent="0.2">
      <c r="A5587" s="5">
        <v>5526</v>
      </c>
      <c r="B5587" s="138">
        <f>'Revenues 9-14'!F108</f>
        <v>1238</v>
      </c>
      <c r="C5587" s="2" t="s">
        <v>594</v>
      </c>
      <c r="D5587" s="2" t="str">
        <f t="shared" si="86"/>
        <v>Error?</v>
      </c>
    </row>
    <row r="5588" spans="1:4" x14ac:dyDescent="0.2">
      <c r="A5588" s="5">
        <v>5527</v>
      </c>
      <c r="B5588" s="138">
        <f>'Revenues 9-14'!F109</f>
        <v>1257640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780444</v>
      </c>
      <c r="D5615" s="2" t="str">
        <f t="shared" si="86"/>
        <v>Error?</v>
      </c>
    </row>
    <row r="5616" spans="1:4" x14ac:dyDescent="0.2">
      <c r="A5616" s="10">
        <v>5555</v>
      </c>
      <c r="D5616" s="2" t="str">
        <f t="shared" si="86"/>
        <v>OK</v>
      </c>
    </row>
    <row r="5617" spans="1:4" x14ac:dyDescent="0.2">
      <c r="A5617" s="5">
        <v>5556</v>
      </c>
      <c r="B5617" s="138">
        <f>'Revenues 9-14'!F152</f>
        <v>1160366</v>
      </c>
      <c r="D5617" s="2" t="str">
        <f t="shared" si="86"/>
        <v>Error?</v>
      </c>
    </row>
    <row r="5618" spans="1:4" x14ac:dyDescent="0.2">
      <c r="A5618" s="5">
        <v>5557</v>
      </c>
      <c r="B5618" s="138">
        <f>'Revenues 9-14'!F154</f>
        <v>1940810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39660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1980470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1980470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5318</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5318</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16611</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16611</v>
      </c>
      <c r="C5719" s="2" t="s">
        <v>594</v>
      </c>
      <c r="D5719" s="2" t="str">
        <f t="shared" si="88"/>
        <v>Error?</v>
      </c>
    </row>
    <row r="5720" spans="1:4" x14ac:dyDescent="0.2">
      <c r="A5720" s="5">
        <v>5659</v>
      </c>
      <c r="B5720" s="138">
        <f>'Revenues 9-14'!F275</f>
        <v>3254721</v>
      </c>
      <c r="C5720" s="2" t="s">
        <v>594</v>
      </c>
      <c r="D5720" s="2" t="str">
        <f t="shared" si="88"/>
        <v>Error?</v>
      </c>
    </row>
    <row r="5721" spans="1:4" x14ac:dyDescent="0.2">
      <c r="A5721" s="5">
        <v>5660</v>
      </c>
      <c r="B5721" s="138">
        <f>'Revenues 9-14'!G5</f>
        <v>603552</v>
      </c>
      <c r="D5721" s="2" t="str">
        <f t="shared" si="88"/>
        <v>Error?</v>
      </c>
    </row>
    <row r="5722" spans="1:4" x14ac:dyDescent="0.2">
      <c r="A5722" s="5">
        <v>5661</v>
      </c>
      <c r="B5722" s="138">
        <f>'Revenues 9-14'!G7</f>
        <v>0</v>
      </c>
      <c r="D5722" s="2" t="str">
        <f t="shared" si="88"/>
        <v>Error?</v>
      </c>
    </row>
    <row r="5723" spans="1:4" x14ac:dyDescent="0.2">
      <c r="A5723" s="5">
        <v>5662</v>
      </c>
      <c r="B5723" s="138">
        <f>'Revenues 9-14'!G8</f>
        <v>726968</v>
      </c>
      <c r="D5723" s="2" t="str">
        <f t="shared" si="88"/>
        <v>Error?</v>
      </c>
    </row>
    <row r="5724" spans="1:4" x14ac:dyDescent="0.2">
      <c r="A5724" s="5">
        <v>5663</v>
      </c>
      <c r="B5724" s="138">
        <f>'Revenues 9-14'!G11</f>
        <v>45145</v>
      </c>
      <c r="D5724" s="2" t="str">
        <f t="shared" si="88"/>
        <v>Error?</v>
      </c>
    </row>
    <row r="5725" spans="1:4" x14ac:dyDescent="0.2">
      <c r="A5725" s="5">
        <v>5664</v>
      </c>
      <c r="B5725" s="138">
        <f>'Revenues 9-14'!G12</f>
        <v>1375665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101058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101058</v>
      </c>
      <c r="C5730" s="2" t="s">
        <v>594</v>
      </c>
      <c r="D5730" s="2" t="str">
        <f t="shared" si="88"/>
        <v>Error?</v>
      </c>
    </row>
    <row r="5731" spans="1:4" x14ac:dyDescent="0.2">
      <c r="A5731" s="5">
        <v>5670</v>
      </c>
      <c r="B5731" s="138">
        <f>'Revenues 9-14'!G65</f>
        <v>6670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1483393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43032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43032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58401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101433</v>
      </c>
      <c r="C5915" s="2" t="s">
        <v>594</v>
      </c>
      <c r="D5915" s="2" t="str">
        <f t="shared" si="91"/>
        <v>Error?</v>
      </c>
    </row>
    <row r="5916" spans="1:4" x14ac:dyDescent="0.2">
      <c r="A5916" s="5">
        <v>5855</v>
      </c>
      <c r="B5916" s="138">
        <f>'Revenues 9-14'!I5</f>
        <v>23765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23765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40928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40928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64693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1483393</v>
      </c>
      <c r="C6024" s="2" t="s">
        <v>594</v>
      </c>
      <c r="D6024" s="2" t="str">
        <f t="shared" si="93"/>
        <v>Error?</v>
      </c>
    </row>
    <row r="6025" spans="1:5" x14ac:dyDescent="0.2">
      <c r="A6025" s="5">
        <v>5964</v>
      </c>
      <c r="B6025" s="138">
        <f>'Revenues 9-14'!H109</f>
        <v>101433</v>
      </c>
      <c r="C6025" s="2" t="s">
        <v>594</v>
      </c>
      <c r="D6025" s="2" t="str">
        <f t="shared" si="93"/>
        <v>Error?</v>
      </c>
    </row>
    <row r="6026" spans="1:5" x14ac:dyDescent="0.2">
      <c r="A6026" s="5">
        <v>5965</v>
      </c>
      <c r="B6026" s="138">
        <f>'Revenues 9-14'!I109</f>
        <v>64693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324766</v>
      </c>
      <c r="D6031" s="2" t="str">
        <f t="shared" si="93"/>
        <v>Error?</v>
      </c>
    </row>
    <row r="6032" spans="1:5" x14ac:dyDescent="0.2">
      <c r="A6032" s="5">
        <v>5971</v>
      </c>
      <c r="B6032" s="138">
        <f>'Acct Summary 7-8'!G15</f>
        <v>67955</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61977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3328.54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765683</v>
      </c>
      <c r="D6090" s="2" t="str">
        <f t="shared" si="94"/>
        <v>Error?</v>
      </c>
      <c r="E6090" s="2" t="s">
        <v>199</v>
      </c>
    </row>
    <row r="6091" spans="1:5" x14ac:dyDescent="0.2">
      <c r="A6091">
        <v>6030</v>
      </c>
      <c r="B6091" s="138">
        <f>'Assets-Liab 5-6'!D8</f>
        <v>5234</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487381</v>
      </c>
      <c r="D6093" s="2" t="str">
        <f t="shared" si="94"/>
        <v>Error?</v>
      </c>
      <c r="E6093" s="2" t="s">
        <v>199</v>
      </c>
    </row>
    <row r="6094" spans="1:5" x14ac:dyDescent="0.2">
      <c r="A6094">
        <v>6033</v>
      </c>
      <c r="B6094" s="138">
        <f>'Assets-Liab 5-6'!G8</f>
        <v>17219</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39561</v>
      </c>
      <c r="D6113" s="2" t="str">
        <f t="shared" si="94"/>
        <v>Error?</v>
      </c>
      <c r="E6113" s="2" t="s">
        <v>199</v>
      </c>
    </row>
    <row r="6114" spans="1:5" x14ac:dyDescent="0.2">
      <c r="A6114">
        <v>6053</v>
      </c>
      <c r="B6114" s="138">
        <f>'Assets-Liab 5-6'!D11</f>
        <v>46323</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243584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1534973</v>
      </c>
      <c r="D6142" s="2" t="str">
        <f t="shared" si="94"/>
        <v>Error?</v>
      </c>
      <c r="E6142" s="2" t="s">
        <v>199</v>
      </c>
    </row>
    <row r="6143" spans="1:5" x14ac:dyDescent="0.2">
      <c r="A6143">
        <v>6082</v>
      </c>
      <c r="B6143" s="138">
        <f>'Assets-Liab 5-6'!D27</f>
        <v>20739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31158</v>
      </c>
      <c r="D6145" s="2" t="str">
        <f t="shared" si="95"/>
        <v>Error?</v>
      </c>
      <c r="E6145" s="2" t="s">
        <v>199</v>
      </c>
    </row>
    <row r="6146" spans="1:5" x14ac:dyDescent="0.2">
      <c r="A6146">
        <v>6085</v>
      </c>
      <c r="B6146" s="138">
        <f>'Assets-Liab 5-6'!G27</f>
        <v>22969</v>
      </c>
      <c r="D6146" s="2" t="str">
        <f t="shared" si="95"/>
        <v>Error?</v>
      </c>
      <c r="E6146" s="2" t="s">
        <v>199</v>
      </c>
    </row>
    <row r="6147" spans="1:5" x14ac:dyDescent="0.2">
      <c r="A6147">
        <v>6086</v>
      </c>
      <c r="B6147" s="138">
        <f>'Assets-Liab 5-6'!H27</f>
        <v>806787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2730064</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80661</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80661</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162923</v>
      </c>
      <c r="D6215" s="2" t="str">
        <f t="shared" si="96"/>
        <v>Error?</v>
      </c>
      <c r="E6215" s="2" t="s">
        <v>199</v>
      </c>
    </row>
    <row r="6216" spans="1:5" x14ac:dyDescent="0.2">
      <c r="A6216">
        <v>6155</v>
      </c>
      <c r="B6216" s="138">
        <f>'Assets-Liab 5-6'!J41</f>
        <v>243584</v>
      </c>
      <c r="D6216" s="2" t="str">
        <f t="shared" si="96"/>
        <v>Error?</v>
      </c>
      <c r="E6216" s="2" t="s">
        <v>199</v>
      </c>
    </row>
    <row r="6217" spans="1:5" x14ac:dyDescent="0.2">
      <c r="A6217">
        <v>6156</v>
      </c>
      <c r="B6217" s="138">
        <f>'Assets-Liab 5-6'!J4</f>
        <v>120803</v>
      </c>
      <c r="D6217" s="2" t="str">
        <f t="shared" si="96"/>
        <v>Error?</v>
      </c>
      <c r="E6217" s="2" t="s">
        <v>199</v>
      </c>
    </row>
    <row r="6218" spans="1:5" x14ac:dyDescent="0.2">
      <c r="A6218">
        <v>6157</v>
      </c>
      <c r="B6218" s="138">
        <f>'Assets-Liab 5-6'!J5</f>
        <v>46801</v>
      </c>
      <c r="D6218" s="2" t="str">
        <f t="shared" si="96"/>
        <v>Error?</v>
      </c>
      <c r="E6218" s="2" t="s">
        <v>199</v>
      </c>
    </row>
    <row r="6219" spans="1:5" x14ac:dyDescent="0.2">
      <c r="A6219">
        <v>6158</v>
      </c>
      <c r="B6219" s="138">
        <f>'Assets-Liab 5-6'!J6</f>
        <v>75980</v>
      </c>
      <c r="D6219" s="2" t="str">
        <f t="shared" si="96"/>
        <v>Error?</v>
      </c>
      <c r="E6219" s="2" t="s">
        <v>199</v>
      </c>
    </row>
    <row r="6220" spans="1:5" x14ac:dyDescent="0.2">
      <c r="A6220">
        <v>6159</v>
      </c>
      <c r="B6220" s="138">
        <f>'Acct Summary 7-8'!J4</f>
        <v>159299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159299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159299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160621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160621</v>
      </c>
      <c r="D6229" s="2" t="str">
        <f t="shared" si="96"/>
        <v>Error?</v>
      </c>
      <c r="E6229" s="2" t="s">
        <v>199</v>
      </c>
    </row>
    <row r="6230" spans="1:5" x14ac:dyDescent="0.2">
      <c r="A6230">
        <v>6169</v>
      </c>
      <c r="B6230" s="138">
        <f>'Acct Summary 7-8'!J20</f>
        <v>-1322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-1322</v>
      </c>
      <c r="D6263" s="2" t="str">
        <f t="shared" si="96"/>
        <v>Error?</v>
      </c>
      <c r="E6263" s="2" t="s">
        <v>199</v>
      </c>
    </row>
    <row r="6264" spans="1:5" x14ac:dyDescent="0.2">
      <c r="A6264">
        <v>6203</v>
      </c>
      <c r="B6264" s="138">
        <f>'Acct Summary 7-8'!J79</f>
        <v>164245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162923</v>
      </c>
      <c r="D6266" s="2" t="str">
        <f t="shared" si="96"/>
        <v>Error?</v>
      </c>
      <c r="E6266" s="2" t="s">
        <v>199</v>
      </c>
    </row>
    <row r="6267" spans="1:5" x14ac:dyDescent="0.2">
      <c r="A6267">
        <v>6206</v>
      </c>
      <c r="B6267" s="138">
        <f>'Acct Summary 7-8'!C82</f>
        <v>861175</v>
      </c>
      <c r="D6267" s="2" t="str">
        <f t="shared" si="96"/>
        <v>Error?</v>
      </c>
      <c r="E6267" s="2" t="s">
        <v>199</v>
      </c>
    </row>
    <row r="6268" spans="1:5" x14ac:dyDescent="0.2">
      <c r="A6268">
        <v>6207</v>
      </c>
      <c r="B6268" s="138">
        <f>'Acct Summary 7-8'!D82</f>
        <v>-397161</v>
      </c>
      <c r="D6268" s="2" t="str">
        <f t="shared" si="96"/>
        <v>Error?</v>
      </c>
      <c r="E6268" s="2" t="s">
        <v>199</v>
      </c>
    </row>
    <row r="6269" spans="1:5" x14ac:dyDescent="0.2">
      <c r="A6269">
        <v>6208</v>
      </c>
      <c r="B6269" s="138">
        <f>'Acct Summary 7-8'!E82</f>
        <v>80327</v>
      </c>
      <c r="D6269" s="2" t="str">
        <f t="shared" si="96"/>
        <v>Error?</v>
      </c>
      <c r="E6269" s="2" t="s">
        <v>199</v>
      </c>
    </row>
    <row r="6270" spans="1:5" x14ac:dyDescent="0.2">
      <c r="A6270">
        <v>6209</v>
      </c>
      <c r="B6270" s="138">
        <f>'Acct Summary 7-8'!F82</f>
        <v>52303</v>
      </c>
      <c r="D6270" s="2" t="str">
        <f t="shared" si="96"/>
        <v>Error?</v>
      </c>
      <c r="E6270" s="2" t="s">
        <v>199</v>
      </c>
    </row>
    <row r="6271" spans="1:5" x14ac:dyDescent="0.2">
      <c r="A6271">
        <v>6210</v>
      </c>
      <c r="B6271" s="138">
        <f>'Acct Summary 7-8'!G82</f>
        <v>20596</v>
      </c>
      <c r="D6271" s="2" t="str">
        <f t="shared" ref="D6271:D6334" si="97">IF(ISBLANK(B6271),"OK",IF(A6271-B6271=0,"OK","Error?"))</f>
        <v>Error?</v>
      </c>
      <c r="E6271" s="2" t="s">
        <v>199</v>
      </c>
    </row>
    <row r="6272" spans="1:5" x14ac:dyDescent="0.2">
      <c r="A6272">
        <v>6211</v>
      </c>
      <c r="B6272" s="138">
        <f>'Acct Summary 7-8'!H82</f>
        <v>-2073700</v>
      </c>
      <c r="D6272" s="2" t="str">
        <f t="shared" si="97"/>
        <v>Error?</v>
      </c>
      <c r="E6272" s="2" t="s">
        <v>199</v>
      </c>
    </row>
    <row r="6273" spans="1:5" x14ac:dyDescent="0.2">
      <c r="A6273">
        <v>6212</v>
      </c>
      <c r="B6273" s="138">
        <f>'Acct Summary 7-8'!I82</f>
        <v>64693</v>
      </c>
      <c r="D6273" s="2" t="str">
        <f t="shared" si="97"/>
        <v>Error?</v>
      </c>
      <c r="E6273" s="2" t="s">
        <v>199</v>
      </c>
    </row>
    <row r="6274" spans="1:5" x14ac:dyDescent="0.2">
      <c r="A6274">
        <v>6213</v>
      </c>
      <c r="B6274" s="138">
        <f>'Acct Summary 7-8'!J82</f>
        <v>-1322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8.2321105796111307E-2</v>
      </c>
      <c r="D6276" s="2" t="str">
        <f t="shared" si="97"/>
        <v>Error?</v>
      </c>
      <c r="E6276" s="2" t="s">
        <v>199</v>
      </c>
    </row>
    <row r="6277" spans="1:5" x14ac:dyDescent="0.2">
      <c r="A6277">
        <v>6216</v>
      </c>
      <c r="B6277" s="138">
        <f>'Acct Summary 7-8'!D83</f>
        <v>-0.10200881029660716</v>
      </c>
      <c r="D6277" s="2" t="str">
        <f t="shared" si="97"/>
        <v>Error?</v>
      </c>
      <c r="E6277" s="2" t="s">
        <v>199</v>
      </c>
    </row>
    <row r="6278" spans="1:5" x14ac:dyDescent="0.2">
      <c r="A6278">
        <v>6217</v>
      </c>
      <c r="B6278" s="138">
        <f>'Acct Summary 7-8'!E83</f>
        <v>1.6759546914087684E-2</v>
      </c>
      <c r="D6278" s="2" t="str">
        <f t="shared" si="97"/>
        <v>Error?</v>
      </c>
      <c r="E6278" s="2" t="s">
        <v>199</v>
      </c>
    </row>
    <row r="6279" spans="1:5" x14ac:dyDescent="0.2">
      <c r="A6279">
        <v>6218</v>
      </c>
      <c r="B6279" s="138">
        <f>'Acct Summary 7-8'!F83</f>
        <v>0.10426879471788236</v>
      </c>
      <c r="D6279" s="2" t="str">
        <f t="shared" si="97"/>
        <v>Error?</v>
      </c>
      <c r="E6279" s="2" t="s">
        <v>199</v>
      </c>
    </row>
    <row r="6280" spans="1:5" x14ac:dyDescent="0.2">
      <c r="A6280">
        <v>6219</v>
      </c>
      <c r="B6280" s="138">
        <f>'Acct Summary 7-8'!G83</f>
        <v>3.3487851792354507E-2</v>
      </c>
      <c r="D6280" s="2" t="str">
        <f t="shared" si="97"/>
        <v>Error?</v>
      </c>
      <c r="E6280" s="2" t="s">
        <v>199</v>
      </c>
    </row>
    <row r="6281" spans="1:5" x14ac:dyDescent="0.2">
      <c r="A6281">
        <v>6220</v>
      </c>
      <c r="B6281" s="138">
        <f>'Acct Summary 7-8'!H83</f>
        <v>-2.3491921076570499</v>
      </c>
      <c r="D6281" s="2" t="str">
        <f t="shared" si="97"/>
        <v>Error?</v>
      </c>
      <c r="E6281" s="2" t="s">
        <v>199</v>
      </c>
    </row>
    <row r="6282" spans="1:5" x14ac:dyDescent="0.2">
      <c r="A6282">
        <v>6221</v>
      </c>
      <c r="B6282" s="138">
        <f>'Acct Summary 7-8'!I83</f>
        <v>1.9874369335230256E-2</v>
      </c>
      <c r="D6282" s="2" t="str">
        <f t="shared" si="97"/>
        <v>Error?</v>
      </c>
      <c r="E6282" s="2" t="s">
        <v>199</v>
      </c>
    </row>
    <row r="6283" spans="1:5" x14ac:dyDescent="0.2">
      <c r="A6283">
        <v>6222</v>
      </c>
      <c r="B6283" s="138">
        <f>'Acct Summary 7-8'!J83</f>
        <v>-8.1142625657519198E-3</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17482</v>
      </c>
      <c r="D6285" s="2" t="str">
        <f t="shared" si="97"/>
        <v>Error?</v>
      </c>
      <c r="E6285" s="2" t="s">
        <v>199</v>
      </c>
    </row>
    <row r="6286" spans="1:5" x14ac:dyDescent="0.2">
      <c r="A6286">
        <v>6225</v>
      </c>
      <c r="B6286" s="138">
        <f>'Acct Summary 7-8'!E38</f>
        <v>1532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158144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158144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1155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1155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58401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159299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80335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4140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608</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105169</v>
      </c>
      <c r="D6848" s="2" t="str">
        <f t="shared" si="106"/>
        <v>Error?</v>
      </c>
    </row>
    <row r="6849" spans="1:4" x14ac:dyDescent="0.2">
      <c r="A6849">
        <v>6788</v>
      </c>
      <c r="B6849" s="138">
        <f>'Expenditures 15-22'!I8</f>
        <v>42200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901548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1040556</v>
      </c>
      <c r="D6880" s="2" t="str">
        <f t="shared" si="106"/>
        <v>Error?</v>
      </c>
    </row>
    <row r="6881" spans="1:4" x14ac:dyDescent="0.2">
      <c r="A6881">
        <v>6820</v>
      </c>
      <c r="B6881" s="138">
        <f>'Expenditures 15-22'!K22</f>
        <v>1040556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46948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705</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705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2771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2771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1449</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191762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191762</v>
      </c>
      <c r="D6940" s="2" t="str">
        <f t="shared" si="107"/>
        <v>Error?</v>
      </c>
    </row>
    <row r="6941" spans="1:4" x14ac:dyDescent="0.2">
      <c r="A6941">
        <v>6880</v>
      </c>
      <c r="B6941" s="138">
        <f>'Expenditures 15-22'!L52</f>
        <v>189047</v>
      </c>
      <c r="D6941" s="2" t="str">
        <f t="shared" si="107"/>
        <v>Error?</v>
      </c>
    </row>
    <row r="6942" spans="1:4" x14ac:dyDescent="0.2">
      <c r="A6942">
        <v>6881</v>
      </c>
      <c r="B6942" s="138">
        <f>'Expenditures 15-22'!I53</f>
        <v>1449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2537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2537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27379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27379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34841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1405</v>
      </c>
      <c r="D6981" s="2" t="str">
        <f t="shared" si="108"/>
        <v>Error?</v>
      </c>
    </row>
    <row r="6982" spans="1:4" x14ac:dyDescent="0.2">
      <c r="A6982">
        <v>6921</v>
      </c>
      <c r="B6982" s="138">
        <f>'Expenditures 15-22'!K85</f>
        <v>1405</v>
      </c>
      <c r="D6982" s="2" t="str">
        <f t="shared" si="108"/>
        <v>Error?</v>
      </c>
    </row>
    <row r="6983" spans="1:4" x14ac:dyDescent="0.2">
      <c r="A6983">
        <v>6922</v>
      </c>
      <c r="B6983" s="138">
        <f>'Expenditures 15-22'!H86</f>
        <v>1637304</v>
      </c>
      <c r="D6983" s="2" t="str">
        <f t="shared" si="108"/>
        <v>Error?</v>
      </c>
    </row>
    <row r="6984" spans="1:4" x14ac:dyDescent="0.2">
      <c r="A6984">
        <v>6923</v>
      </c>
      <c r="B6984" s="138">
        <f>'Expenditures 15-22'!K86</f>
        <v>1637304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1638709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81789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19512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19512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19512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160621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19512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159299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4380</v>
      </c>
      <c r="D7073" s="2" t="str">
        <f t="shared" si="109"/>
        <v>Error?</v>
      </c>
    </row>
    <row r="7074" spans="1:4" x14ac:dyDescent="0.2">
      <c r="A7074">
        <v>7013</v>
      </c>
      <c r="B7074" s="138">
        <f>'Expenditures 15-22'!K216</f>
        <v>4380</v>
      </c>
      <c r="D7074" s="2" t="str">
        <f t="shared" si="109"/>
        <v>Error?</v>
      </c>
    </row>
    <row r="7075" spans="1:4" x14ac:dyDescent="0.2">
      <c r="A7075">
        <v>7014</v>
      </c>
      <c r="B7075" s="138">
        <f>'Expenditures 15-22'!D218</f>
        <v>52476</v>
      </c>
      <c r="D7075" s="2" t="str">
        <f t="shared" si="109"/>
        <v>Error?</v>
      </c>
    </row>
    <row r="7076" spans="1:4" x14ac:dyDescent="0.2">
      <c r="A7076">
        <v>7015</v>
      </c>
      <c r="B7076" s="138">
        <f>'Expenditures 15-22'!K218</f>
        <v>52476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160621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160621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160621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160621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160621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160621</v>
      </c>
      <c r="D7224" s="2" t="str">
        <f t="shared" si="111"/>
        <v>Error?</v>
      </c>
    </row>
    <row r="7225" spans="1:4" x14ac:dyDescent="0.2">
      <c r="A7225">
        <v>7164</v>
      </c>
      <c r="B7225" s="138">
        <f>'Expenditures 15-22'!K343</f>
        <v>-1322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17668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6558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789306</v>
      </c>
      <c r="D7251" s="2" t="str">
        <f t="shared" si="112"/>
        <v>Error?</v>
      </c>
    </row>
    <row r="7252" spans="1:4" x14ac:dyDescent="0.2">
      <c r="A7252">
        <f t="shared" si="113"/>
        <v>7191</v>
      </c>
      <c r="B7252" s="138">
        <f>'Expenditures 15-22'!D9</f>
        <v>112242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2236069</v>
      </c>
      <c r="D7597" s="2" t="str">
        <f t="shared" si="122"/>
        <v>Error?</v>
      </c>
      <c r="E7597" s="2" t="s">
        <v>19</v>
      </c>
    </row>
    <row r="7598" spans="1:5" x14ac:dyDescent="0.2">
      <c r="A7598">
        <f t="shared" si="123"/>
        <v>7537</v>
      </c>
      <c r="B7598" s="138">
        <f>'Cap Outlay Deprec 26'!D6</f>
        <v>29100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2265169</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2265169</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101301</v>
      </c>
      <c r="D7624" s="2" t="str">
        <f t="shared" si="124"/>
        <v>Error?</v>
      </c>
      <c r="E7624" s="2" t="s">
        <v>19</v>
      </c>
    </row>
    <row r="7625" spans="1:5" x14ac:dyDescent="0.2">
      <c r="A7625">
        <f t="shared" si="123"/>
        <v>7564</v>
      </c>
      <c r="B7625" s="138">
        <f>'Cap Outlay Deprec 26'!I17</f>
        <v>10130.1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3025733.1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17482</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1532</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247228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710691</v>
      </c>
      <c r="D7759" s="2" t="str">
        <f t="shared" si="127"/>
        <v>Error?</v>
      </c>
      <c r="E7759" s="4" t="s">
        <v>1400</v>
      </c>
    </row>
    <row r="7760" spans="1:6" x14ac:dyDescent="0.2">
      <c r="A7760">
        <v>7699</v>
      </c>
      <c r="B7760" s="138">
        <f>'Aud Quest 2'!J90</f>
        <v>710691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4168525</v>
      </c>
      <c r="D7797" s="2" t="str">
        <f t="shared" si="127"/>
        <v>Error?</v>
      </c>
      <c r="E7797" s="4" t="s">
        <v>2017</v>
      </c>
    </row>
    <row r="7798" spans="1:5" x14ac:dyDescent="0.2">
      <c r="A7798">
        <v>7737</v>
      </c>
      <c r="B7798" s="138">
        <f>'Contracts Paid in CY 29'!F141</f>
        <v>175000</v>
      </c>
      <c r="D7798" s="2" t="str">
        <f t="shared" si="127"/>
        <v>Error?</v>
      </c>
      <c r="E7798" s="4" t="s">
        <v>2017</v>
      </c>
    </row>
    <row r="7799" spans="1:5" x14ac:dyDescent="0.2">
      <c r="A7799">
        <v>7738</v>
      </c>
      <c r="B7799" s="138">
        <f>'Contracts Paid in CY 29'!G141</f>
        <v>3993525</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2" sqref="B42"/>
    </sheetView>
  </sheetViews>
  <sheetFormatPr defaultColWidth="9.140625" defaultRowHeight="12.75" x14ac:dyDescent="0.2"/>
  <cols>
    <col min="1" max="1" width="7.85546875" style="1179" customWidth="1"/>
    <col min="2" max="2" width="2.28515625" style="1175" customWidth="1"/>
    <col min="3" max="3" width="9.140625" style="1179"/>
    <col min="4" max="4" width="16.5703125"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703" t="s">
        <v>1253</v>
      </c>
      <c r="B2" s="2703"/>
      <c r="C2" s="2703"/>
      <c r="D2" s="2703"/>
      <c r="E2" s="2703"/>
      <c r="F2" s="2703"/>
      <c r="G2" s="2703"/>
      <c r="H2" s="2703"/>
      <c r="I2" s="2703"/>
      <c r="J2" s="2703"/>
      <c r="K2" s="2703"/>
      <c r="L2" s="2703"/>
    </row>
    <row r="3" spans="1:29" ht="13.5" customHeight="1" x14ac:dyDescent="0.2">
      <c r="A3" s="2689" t="s">
        <v>1252</v>
      </c>
      <c r="B3" s="2689"/>
      <c r="C3" s="2689"/>
      <c r="D3" s="2689"/>
      <c r="E3" s="2689"/>
      <c r="F3" s="2689"/>
      <c r="G3" s="2689"/>
      <c r="H3" s="2689"/>
      <c r="I3" s="2689"/>
      <c r="J3" s="2689"/>
      <c r="K3" s="2689"/>
      <c r="L3" s="2689"/>
    </row>
    <row r="4" spans="1:29" ht="13.5" customHeight="1" x14ac:dyDescent="0.2">
      <c r="A4" s="2703" t="s">
        <v>1799</v>
      </c>
      <c r="B4" s="2720"/>
      <c r="C4" s="2720"/>
      <c r="D4" s="2720"/>
      <c r="E4" s="2720"/>
      <c r="F4" s="2720"/>
      <c r="G4" s="2720"/>
      <c r="H4" s="2720"/>
      <c r="I4" s="2720"/>
      <c r="J4" s="2720"/>
      <c r="K4" s="2720"/>
      <c r="L4" s="272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39" customHeight="1" x14ac:dyDescent="0.2">
      <c r="A7" s="2721" t="str">
        <f>COVER!A17</f>
        <v>Grayslake  CCSD 46</v>
      </c>
      <c r="B7" s="2722"/>
      <c r="C7" s="2722"/>
      <c r="D7" s="2723"/>
      <c r="E7" s="2724">
        <f>COVER!A13</f>
        <v>34049046004</v>
      </c>
      <c r="F7" s="2725"/>
      <c r="G7" s="2690" t="str">
        <f>COVER!T23</f>
        <v>066-005142</v>
      </c>
      <c r="H7" s="2691"/>
      <c r="I7" s="2691"/>
      <c r="J7" s="2691"/>
      <c r="K7" s="2691"/>
      <c r="L7" s="269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693"/>
      <c r="B9" s="2694"/>
      <c r="C9" s="2694"/>
      <c r="D9" s="2694"/>
      <c r="E9" s="2694"/>
      <c r="F9" s="2695"/>
      <c r="G9" s="2696" t="str">
        <f>COVER!T13</f>
        <v>EDER, CASELLA &amp; CO.</v>
      </c>
      <c r="H9" s="2697"/>
      <c r="I9" s="2697"/>
      <c r="J9" s="2697"/>
      <c r="K9" s="2697"/>
      <c r="L9" s="2698"/>
    </row>
    <row r="10" spans="1:29" ht="13.5" customHeight="1" x14ac:dyDescent="0.2">
      <c r="A10" s="2680">
        <f>COVER!A38</f>
        <v>0</v>
      </c>
      <c r="B10" s="2681"/>
      <c r="C10" s="2681"/>
      <c r="D10" s="2681"/>
      <c r="E10" s="2681"/>
      <c r="F10" s="2682"/>
      <c r="G10" s="2696" t="str">
        <f>COVER!T17</f>
        <v>5400 WEST ELM STREET, SUITE 203</v>
      </c>
      <c r="H10" s="2709"/>
      <c r="I10" s="2709"/>
      <c r="J10" s="2709"/>
      <c r="K10" s="2709"/>
      <c r="L10" s="2710"/>
    </row>
    <row r="11" spans="1:29" ht="13.5" customHeight="1" x14ac:dyDescent="0.2">
      <c r="A11" s="1183" t="s">
        <v>1599</v>
      </c>
      <c r="B11" s="1184"/>
      <c r="C11" s="1185"/>
      <c r="D11" s="1190"/>
      <c r="E11" s="1185"/>
      <c r="F11" s="1189"/>
      <c r="G11" s="2696" t="str">
        <f>COVER!T19</f>
        <v>MCHENRY</v>
      </c>
      <c r="H11" s="2709"/>
      <c r="I11" s="2709"/>
      <c r="J11" s="2709"/>
      <c r="K11" s="2709"/>
      <c r="L11" s="2710"/>
    </row>
    <row r="12" spans="1:29" ht="13.5" customHeight="1" x14ac:dyDescent="0.2">
      <c r="A12" s="2714" t="s">
        <v>1598</v>
      </c>
      <c r="B12" s="2715"/>
      <c r="C12" s="2715"/>
      <c r="D12" s="2715"/>
      <c r="E12" s="2715"/>
      <c r="F12" s="2716"/>
      <c r="G12" s="2711"/>
      <c r="H12" s="2712"/>
      <c r="I12" s="2712"/>
      <c r="J12" s="2712"/>
      <c r="K12" s="2712"/>
      <c r="L12" s="2713"/>
    </row>
    <row r="13" spans="1:29" ht="13.5" customHeight="1" x14ac:dyDescent="0.2">
      <c r="A13" s="2696"/>
      <c r="B13" s="2709"/>
      <c r="C13" s="2709"/>
      <c r="D13" s="2709"/>
      <c r="E13" s="2709"/>
      <c r="F13" s="2710"/>
      <c r="G13" s="2704" t="s">
        <v>1600</v>
      </c>
      <c r="H13" s="2705"/>
      <c r="I13" s="2717" t="str">
        <f>COVER!T25</f>
        <v>cpas@edercasella.com</v>
      </c>
      <c r="J13" s="2718"/>
      <c r="K13" s="2718"/>
      <c r="L13" s="2719"/>
    </row>
    <row r="14" spans="1:29" ht="13.5" customHeight="1" x14ac:dyDescent="0.2">
      <c r="A14" s="2696" t="str">
        <f>COVER!A19</f>
        <v>565 FREDERICK RD</v>
      </c>
      <c r="B14" s="2709"/>
      <c r="C14" s="2709"/>
      <c r="D14" s="2709"/>
      <c r="E14" s="2709"/>
      <c r="F14" s="2710"/>
      <c r="G14" s="1194" t="s">
        <v>1247</v>
      </c>
      <c r="H14" s="1192"/>
      <c r="I14" s="1192"/>
      <c r="J14" s="1192"/>
      <c r="K14" s="1192"/>
      <c r="L14" s="1193"/>
    </row>
    <row r="15" spans="1:29" ht="13.5" customHeight="1" x14ac:dyDescent="0.2">
      <c r="A15" s="2696" t="str">
        <f>COVER!A21</f>
        <v>GRAYSLAKE</v>
      </c>
      <c r="B15" s="2709"/>
      <c r="C15" s="2709"/>
      <c r="D15" s="2709"/>
      <c r="E15" s="2709"/>
      <c r="F15" s="2710"/>
      <c r="G15" s="2706" t="str">
        <f>COVER!T15</f>
        <v>CHERYDEN JUERGENSEN</v>
      </c>
      <c r="H15" s="2707"/>
      <c r="I15" s="2707"/>
      <c r="J15" s="2707"/>
      <c r="K15" s="2707"/>
      <c r="L15" s="2708"/>
    </row>
    <row r="16" spans="1:29" ht="12.2" customHeight="1" x14ac:dyDescent="0.2">
      <c r="A16" s="2686">
        <f>COVER!A25</f>
        <v>60030</v>
      </c>
      <c r="B16" s="2687"/>
      <c r="C16" s="2687"/>
      <c r="D16" s="2687"/>
      <c r="E16" s="2687"/>
      <c r="F16" s="2688"/>
      <c r="G16" s="2699"/>
      <c r="H16" s="2700"/>
      <c r="I16" s="2700"/>
      <c r="J16" s="2700"/>
      <c r="K16" s="2700"/>
      <c r="L16" s="2701"/>
    </row>
    <row r="17" spans="1:13" ht="12.2" customHeight="1" x14ac:dyDescent="0.2">
      <c r="A17" s="2702"/>
      <c r="B17" s="2687"/>
      <c r="C17" s="2687"/>
      <c r="D17" s="2687"/>
      <c r="E17" s="2687"/>
      <c r="F17" s="2688"/>
      <c r="G17" s="1194" t="s">
        <v>1246</v>
      </c>
      <c r="H17" s="1192"/>
      <c r="I17" s="1192"/>
      <c r="J17" s="1192"/>
      <c r="K17" s="1196" t="s">
        <v>1245</v>
      </c>
      <c r="L17" s="1189"/>
      <c r="M17" s="1182"/>
    </row>
    <row r="18" spans="1:13" ht="12.2" customHeight="1" x14ac:dyDescent="0.2">
      <c r="A18" s="2680"/>
      <c r="B18" s="2681"/>
      <c r="C18" s="2681"/>
      <c r="D18" s="2681"/>
      <c r="E18" s="2681"/>
      <c r="F18" s="2682"/>
      <c r="G18" s="2683" t="str">
        <f>COVER!T21</f>
        <v>815-344-1300</v>
      </c>
      <c r="H18" s="2684"/>
      <c r="I18" s="2684"/>
      <c r="J18" s="2684"/>
      <c r="K18" s="2683" t="str">
        <f>COVER!X21</f>
        <v>815-344-1320</v>
      </c>
      <c r="L18" s="268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t="s">
        <v>2074</v>
      </c>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t="s">
        <v>2074</v>
      </c>
      <c r="C26" s="1201" t="s">
        <v>1801</v>
      </c>
    </row>
    <row r="27" spans="1:13" s="1197" customFormat="1" ht="9" customHeight="1" x14ac:dyDescent="0.2">
      <c r="B27" s="1202"/>
      <c r="C27" s="1201"/>
    </row>
    <row r="28" spans="1:13" s="1197" customFormat="1" ht="12.2" customHeight="1" x14ac:dyDescent="0.2">
      <c r="A28" s="1204"/>
      <c r="B28" s="1200" t="s">
        <v>2074</v>
      </c>
      <c r="C28" s="1201" t="s">
        <v>1802</v>
      </c>
    </row>
    <row r="29" spans="1:13" s="1197" customFormat="1" ht="9" customHeight="1" x14ac:dyDescent="0.2">
      <c r="A29" s="1204"/>
      <c r="B29" s="1202"/>
      <c r="C29" s="1201"/>
    </row>
    <row r="30" spans="1:13" s="1197" customFormat="1" ht="12.2" customHeight="1" x14ac:dyDescent="0.2">
      <c r="B30" s="1200" t="s">
        <v>2074</v>
      </c>
      <c r="C30" s="1201" t="s">
        <v>1643</v>
      </c>
      <c r="D30" s="1195"/>
      <c r="E30" s="1195"/>
    </row>
    <row r="31" spans="1:13" s="1197" customFormat="1" ht="9" customHeight="1" x14ac:dyDescent="0.2">
      <c r="B31" s="1202"/>
      <c r="C31" s="1201"/>
      <c r="D31" s="1195"/>
      <c r="E31" s="1195"/>
    </row>
    <row r="32" spans="1:13" s="1197" customFormat="1" ht="12.2" customHeight="1" x14ac:dyDescent="0.2">
      <c r="B32" s="1200" t="s">
        <v>2074</v>
      </c>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t="s">
        <v>2074</v>
      </c>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t="s">
        <v>2074</v>
      </c>
      <c r="C38" s="1201" t="s">
        <v>1647</v>
      </c>
    </row>
    <row r="39" spans="1:8" ht="9" customHeight="1" x14ac:dyDescent="0.2">
      <c r="B39" s="1202"/>
      <c r="C39" s="1205"/>
    </row>
    <row r="40" spans="1:8" s="1197" customFormat="1" ht="13.5" customHeight="1" x14ac:dyDescent="0.2">
      <c r="B40" s="1200" t="s">
        <v>2074</v>
      </c>
      <c r="C40" s="1201" t="s">
        <v>1648</v>
      </c>
    </row>
    <row r="41" spans="1:8" ht="9" customHeight="1" x14ac:dyDescent="0.2">
      <c r="A41" s="1206"/>
      <c r="B41" s="1202"/>
      <c r="C41" s="1205"/>
    </row>
    <row r="42" spans="1:8" s="1197" customFormat="1" ht="13.5" customHeight="1" x14ac:dyDescent="0.2">
      <c r="B42" s="1200" t="s">
        <v>2074</v>
      </c>
      <c r="C42" s="1201" t="s">
        <v>1944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6"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726" t="str">
        <f>'Single Audit Cover'!A7</f>
        <v>Grayslake  CCSD 46</v>
      </c>
      <c r="B1" s="2720"/>
      <c r="C1" s="2720"/>
      <c r="D1" s="2720"/>
    </row>
    <row r="2" spans="1:11" s="1213" customFormat="1" ht="12.75" x14ac:dyDescent="0.2">
      <c r="A2" s="2727">
        <f>'Single Audit Cover'!E7</f>
        <v>34049046004</v>
      </c>
      <c r="B2" s="2728"/>
      <c r="C2" s="2728"/>
      <c r="D2" s="2728"/>
    </row>
    <row r="3" spans="1:11" s="1213" customFormat="1" ht="12.75" x14ac:dyDescent="0.2">
      <c r="A3" s="2726" t="s">
        <v>1593</v>
      </c>
      <c r="B3" s="2720"/>
      <c r="C3" s="2720"/>
      <c r="D3" s="2720"/>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1945</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8" sqref="D3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730" t="str">
        <f>'Single Audit Cover'!A7</f>
        <v>Grayslake  CCSD 46</v>
      </c>
      <c r="B1" s="2730"/>
      <c r="C1" s="2730"/>
      <c r="D1" s="2730"/>
      <c r="E1" s="2730"/>
    </row>
    <row r="2" spans="1:5" x14ac:dyDescent="0.2">
      <c r="A2" s="2731">
        <f>'Single Audit Cover'!E7</f>
        <v>34049046004</v>
      </c>
      <c r="B2" s="2731"/>
      <c r="C2" s="2731"/>
      <c r="D2" s="2731"/>
      <c r="E2" s="2731"/>
    </row>
    <row r="3" spans="1:5" ht="4.5" customHeight="1" x14ac:dyDescent="0.2"/>
    <row r="4" spans="1:5" x14ac:dyDescent="0.2">
      <c r="A4" s="2730" t="s">
        <v>1307</v>
      </c>
      <c r="B4" s="2730"/>
      <c r="C4" s="2730"/>
      <c r="D4" s="2730"/>
      <c r="E4" s="2730"/>
    </row>
    <row r="5" spans="1:5" x14ac:dyDescent="0.2">
      <c r="A5" s="2733" t="str">
        <f>'Single Audit Cover'!A4</f>
        <v>Year Ending June 30, 2018</v>
      </c>
      <c r="B5" s="2733"/>
      <c r="C5" s="2733"/>
      <c r="D5" s="2733"/>
      <c r="E5" s="2733"/>
    </row>
    <row r="6" spans="1:5" x14ac:dyDescent="0.2">
      <c r="A6" s="2730" t="s">
        <v>1306</v>
      </c>
      <c r="B6" s="2730"/>
      <c r="C6" s="2730"/>
      <c r="D6" s="2730"/>
      <c r="E6" s="2730"/>
    </row>
    <row r="8" spans="1:5" x14ac:dyDescent="0.2">
      <c r="A8" s="1258" t="s">
        <v>1305</v>
      </c>
    </row>
    <row r="10" spans="1:5" x14ac:dyDescent="0.2">
      <c r="A10" s="1259" t="s">
        <v>1304</v>
      </c>
      <c r="B10" s="1260" t="s">
        <v>1303</v>
      </c>
      <c r="C10" s="1260"/>
      <c r="D10" s="1261">
        <f>SUM('Acct Summary 7-8'!C7:K7)</f>
        <v>1829520</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61977</v>
      </c>
    </row>
    <row r="15" spans="1:5" x14ac:dyDescent="0.2">
      <c r="A15" s="1259"/>
      <c r="B15" s="1260"/>
      <c r="C15" s="1260"/>
    </row>
    <row r="16" spans="1:5" x14ac:dyDescent="0.2">
      <c r="A16" s="1259" t="s">
        <v>1953</v>
      </c>
      <c r="B16" s="1260"/>
      <c r="C16" s="1260"/>
    </row>
    <row r="17" spans="1:4" x14ac:dyDescent="0.2">
      <c r="A17" s="1259" t="s">
        <v>1601</v>
      </c>
      <c r="B17" s="1260" t="s">
        <v>1298</v>
      </c>
      <c r="C17" s="1260"/>
      <c r="D17" s="1262">
        <f>-SUM('Revenues 9-14'!C271:D271,'Revenues 9-14'!F271:G271)</f>
        <v>-426318</v>
      </c>
    </row>
    <row r="19" spans="1:4" ht="13.5" thickBot="1" x14ac:dyDescent="0.25">
      <c r="A19" s="1263" t="s">
        <v>1297</v>
      </c>
      <c r="D19" s="1264">
        <f>SUM(D10:D17)</f>
        <v>1465179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732" t="s">
        <v>2143</v>
      </c>
      <c r="B24" s="2732"/>
      <c r="D24" s="1266">
        <v>2371</v>
      </c>
    </row>
    <row r="25" spans="1:4" x14ac:dyDescent="0.2">
      <c r="A25" s="2729" t="s">
        <v>2144</v>
      </c>
      <c r="B25" s="2729"/>
      <c r="D25" s="1266">
        <v>1</v>
      </c>
    </row>
    <row r="26" spans="1:4" x14ac:dyDescent="0.2">
      <c r="A26" s="2729"/>
      <c r="B26" s="2729"/>
      <c r="D26" s="1266"/>
    </row>
    <row r="27" spans="1:4" x14ac:dyDescent="0.2">
      <c r="A27" s="2729"/>
      <c r="B27" s="2729"/>
      <c r="D27" s="1266"/>
    </row>
    <row r="28" spans="1:4" x14ac:dyDescent="0.2">
      <c r="A28" s="2729"/>
      <c r="B28" s="2729"/>
      <c r="D28" s="1266"/>
    </row>
    <row r="29" spans="1:4" x14ac:dyDescent="0.2">
      <c r="A29" s="2729"/>
      <c r="B29" s="2729"/>
      <c r="D29" s="1266"/>
    </row>
    <row r="30" spans="1:4" x14ac:dyDescent="0.2">
      <c r="A30" s="2729"/>
      <c r="B30" s="2729"/>
      <c r="D30" s="1266"/>
    </row>
    <row r="32" spans="1:4" x14ac:dyDescent="0.2">
      <c r="A32" s="1258" t="s">
        <v>1295</v>
      </c>
      <c r="D32" s="1261">
        <f>SUM(D19:D30)</f>
        <v>1467551</v>
      </c>
    </row>
    <row r="33" spans="1:4" x14ac:dyDescent="0.2">
      <c r="D33" s="1267"/>
    </row>
    <row r="34" spans="1:4" x14ac:dyDescent="0.2">
      <c r="A34" s="317" t="s">
        <v>1294</v>
      </c>
    </row>
    <row r="35" spans="1:4" x14ac:dyDescent="0.2">
      <c r="A35" s="317" t="s">
        <v>1293</v>
      </c>
      <c r="B35" s="1256" t="s">
        <v>1292</v>
      </c>
      <c r="D35" s="1268">
        <v>1467551</v>
      </c>
    </row>
    <row r="37" spans="1:4" x14ac:dyDescent="0.2">
      <c r="A37" s="1258" t="s">
        <v>1291</v>
      </c>
    </row>
    <row r="39" spans="1:4" ht="13.35" customHeight="1" x14ac:dyDescent="0.2">
      <c r="A39" s="1265" t="s">
        <v>1290</v>
      </c>
    </row>
    <row r="40" spans="1:4" x14ac:dyDescent="0.2">
      <c r="A40" s="2729"/>
      <c r="B40" s="2729"/>
      <c r="D40" s="1266"/>
    </row>
    <row r="41" spans="1:4" x14ac:dyDescent="0.2">
      <c r="A41" s="2729"/>
      <c r="B41" s="2729"/>
      <c r="D41" s="1269"/>
    </row>
    <row r="42" spans="1:4" x14ac:dyDescent="0.2">
      <c r="A42" s="2729"/>
      <c r="B42" s="2729"/>
      <c r="D42" s="1269"/>
    </row>
    <row r="43" spans="1:4" x14ac:dyDescent="0.2">
      <c r="A43" s="2729"/>
      <c r="B43" s="2729"/>
      <c r="D43" s="1269"/>
    </row>
    <row r="44" spans="1:4" x14ac:dyDescent="0.2">
      <c r="A44" s="2729"/>
      <c r="B44" s="2729"/>
      <c r="D44" s="1269"/>
    </row>
    <row r="45" spans="1:4" x14ac:dyDescent="0.2">
      <c r="A45" s="2729"/>
      <c r="B45" s="2729"/>
      <c r="D45" s="1269"/>
    </row>
    <row r="47" spans="1:4" x14ac:dyDescent="0.2">
      <c r="B47" s="1270" t="s">
        <v>1289</v>
      </c>
      <c r="C47" s="1270"/>
      <c r="D47" s="1271">
        <f>SUM(D35:D45)</f>
        <v>1467551</v>
      </c>
    </row>
    <row r="49" spans="2:4" x14ac:dyDescent="0.2">
      <c r="B49" s="1270" t="s">
        <v>1288</v>
      </c>
      <c r="C49" s="1270"/>
      <c r="D49" s="127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B20" sqref="B20"/>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735" t="str">
        <f>'Single Audit Cover'!A7</f>
        <v>Grayslake  CCSD 46</v>
      </c>
      <c r="B1" s="2735"/>
      <c r="C1" s="2735"/>
      <c r="D1" s="2735"/>
      <c r="E1" s="2735"/>
      <c r="F1" s="2735"/>
    </row>
    <row r="2" spans="1:7" ht="13.5" customHeight="1" x14ac:dyDescent="0.2">
      <c r="A2" s="2736">
        <f>'Single Audit Cover'!E7</f>
        <v>34049046004</v>
      </c>
      <c r="B2" s="2736"/>
      <c r="C2" s="2736"/>
      <c r="D2" s="2736"/>
      <c r="E2" s="2736"/>
      <c r="F2" s="2736"/>
      <c r="G2" s="1273"/>
    </row>
    <row r="3" spans="1:7" ht="15.75" customHeight="1" x14ac:dyDescent="0.2">
      <c r="A3" s="2737" t="s">
        <v>1333</v>
      </c>
      <c r="B3" s="2737"/>
      <c r="C3" s="2737"/>
      <c r="D3" s="2737"/>
      <c r="E3" s="2737"/>
      <c r="F3" s="2737"/>
    </row>
    <row r="4" spans="1:7" ht="13.5" customHeight="1" x14ac:dyDescent="0.2">
      <c r="A4" s="2738" t="str">
        <f>'Single Audit Cover'!A4</f>
        <v>Year Ending June 30, 2018</v>
      </c>
      <c r="B4" s="2738"/>
      <c r="C4" s="2738"/>
      <c r="D4" s="2738"/>
      <c r="E4" s="2738"/>
      <c r="F4" s="2738"/>
    </row>
    <row r="5" spans="1:7" ht="8.25" customHeight="1" x14ac:dyDescent="0.2">
      <c r="C5" s="317"/>
      <c r="D5" s="317"/>
    </row>
    <row r="6" spans="1:7" ht="13.5" customHeight="1" x14ac:dyDescent="0.2">
      <c r="A6" s="1274" t="s">
        <v>1831</v>
      </c>
      <c r="C6" s="317"/>
      <c r="D6" s="317"/>
    </row>
    <row r="7" spans="1:7" ht="60.95" customHeight="1" x14ac:dyDescent="0.2">
      <c r="A7" s="2734" t="s">
        <v>2145</v>
      </c>
      <c r="B7" s="2734"/>
      <c r="C7" s="2734"/>
      <c r="D7" s="2734"/>
      <c r="E7" s="2734"/>
      <c r="F7" s="2734"/>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1628</v>
      </c>
      <c r="B10" s="1278"/>
      <c r="C10" s="1279"/>
      <c r="D10" s="1278" t="s">
        <v>1629</v>
      </c>
      <c r="E10" s="1279" t="s">
        <v>2074</v>
      </c>
      <c r="F10" s="1278" t="s">
        <v>101</v>
      </c>
      <c r="G10" s="1276"/>
    </row>
    <row r="11" spans="1:7" ht="12" customHeight="1" x14ac:dyDescent="0.2">
      <c r="A11" s="1277"/>
      <c r="B11" s="1278"/>
      <c r="C11" s="1922"/>
      <c r="D11" s="1278"/>
      <c r="E11" s="1922"/>
      <c r="F11" s="1278"/>
      <c r="G11" s="1276"/>
    </row>
    <row r="12" spans="1:7" x14ac:dyDescent="0.2">
      <c r="A12" s="1274" t="s">
        <v>1669</v>
      </c>
      <c r="C12" s="1258"/>
      <c r="D12" s="1258"/>
    </row>
    <row r="13" spans="1:7" ht="21.75" customHeight="1" x14ac:dyDescent="0.2">
      <c r="A13" s="2734" t="s">
        <v>2146</v>
      </c>
      <c r="B13" s="2734"/>
      <c r="C13" s="2734"/>
      <c r="D13" s="2734"/>
      <c r="E13" s="2734"/>
      <c r="F13" s="2734"/>
    </row>
    <row r="14" spans="1:7" ht="9.75" customHeight="1" x14ac:dyDescent="0.2">
      <c r="C14" s="1258"/>
      <c r="D14" s="1258"/>
    </row>
    <row r="15" spans="1:7" ht="13.5" customHeight="1" x14ac:dyDescent="0.2">
      <c r="C15" s="1866" t="s">
        <v>1332</v>
      </c>
      <c r="D15" s="2740" t="s">
        <v>1331</v>
      </c>
      <c r="E15" s="2740"/>
      <c r="F15" s="2740"/>
    </row>
    <row r="16" spans="1:7" ht="13.5" customHeight="1" x14ac:dyDescent="0.2">
      <c r="A16" s="1280"/>
      <c r="B16" s="1274" t="s">
        <v>1330</v>
      </c>
      <c r="C16" s="1866" t="s">
        <v>1329</v>
      </c>
      <c r="D16" s="2741" t="s">
        <v>1670</v>
      </c>
      <c r="E16" s="2741"/>
      <c r="F16" s="2741"/>
    </row>
    <row r="17" spans="1:6" ht="20.45" customHeight="1" x14ac:dyDescent="0.2">
      <c r="A17" s="1281"/>
      <c r="B17" s="1282" t="s">
        <v>2206</v>
      </c>
      <c r="C17" s="1283"/>
      <c r="D17" s="2739"/>
      <c r="E17" s="2739"/>
      <c r="F17" s="2739"/>
    </row>
    <row r="18" spans="1:6" ht="20.65" customHeight="1" x14ac:dyDescent="0.2">
      <c r="A18" s="1281"/>
      <c r="B18" s="1282"/>
      <c r="C18" s="1283"/>
      <c r="D18" s="2739"/>
      <c r="E18" s="2739"/>
      <c r="F18" s="2739"/>
    </row>
    <row r="19" spans="1:6" ht="20.65" customHeight="1" x14ac:dyDescent="0.2">
      <c r="A19" s="1281"/>
      <c r="B19" s="1282"/>
      <c r="C19" s="1283"/>
      <c r="D19" s="2739"/>
      <c r="E19" s="2739"/>
      <c r="F19" s="2739"/>
    </row>
    <row r="20" spans="1:6" ht="20.65" customHeight="1" x14ac:dyDescent="0.2">
      <c r="A20" s="1281"/>
      <c r="B20" s="1282"/>
      <c r="C20" s="1283"/>
      <c r="D20" s="2739"/>
      <c r="E20" s="2739"/>
      <c r="F20" s="2739"/>
    </row>
    <row r="21" spans="1:6" ht="20.65" customHeight="1" x14ac:dyDescent="0.2">
      <c r="A21" s="1281"/>
      <c r="B21" s="1282"/>
      <c r="C21" s="1283"/>
      <c r="D21" s="2739"/>
      <c r="E21" s="2739"/>
      <c r="F21" s="2739"/>
    </row>
    <row r="22" spans="1:6" ht="20.65" customHeight="1" x14ac:dyDescent="0.2">
      <c r="A22" s="1281"/>
      <c r="B22" s="1282"/>
      <c r="C22" s="1283"/>
      <c r="D22" s="2739"/>
      <c r="E22" s="2739"/>
      <c r="F22" s="2739"/>
    </row>
    <row r="23" spans="1:6" ht="20.65" customHeight="1" x14ac:dyDescent="0.2">
      <c r="A23" s="1281"/>
      <c r="B23" s="1282"/>
      <c r="C23" s="1283"/>
      <c r="D23" s="2739"/>
      <c r="E23" s="2739"/>
      <c r="F23" s="2739"/>
    </row>
    <row r="24" spans="1:6" ht="20.65" customHeight="1" x14ac:dyDescent="0.2">
      <c r="A24" s="1281"/>
      <c r="B24" s="1282"/>
      <c r="C24" s="1283"/>
      <c r="D24" s="2739"/>
      <c r="E24" s="2739"/>
      <c r="F24" s="2739"/>
    </row>
    <row r="25" spans="1:6" ht="20.65" customHeight="1" x14ac:dyDescent="0.2">
      <c r="A25" s="1281"/>
      <c r="B25" s="1282"/>
      <c r="C25" s="1283"/>
      <c r="D25" s="2739"/>
      <c r="E25" s="2739"/>
      <c r="F25" s="2739"/>
    </row>
    <row r="26" spans="1:6" ht="20.65" customHeight="1" x14ac:dyDescent="0.2">
      <c r="A26" s="1281"/>
      <c r="B26" s="1282"/>
      <c r="C26" s="1283"/>
      <c r="D26" s="2739"/>
      <c r="E26" s="2739"/>
      <c r="F26" s="2739"/>
    </row>
    <row r="27" spans="1:6" ht="20.65" customHeight="1" x14ac:dyDescent="0.2">
      <c r="A27" s="1281"/>
      <c r="B27" s="1282"/>
      <c r="C27" s="1283"/>
      <c r="D27" s="2739"/>
      <c r="E27" s="2739"/>
      <c r="F27" s="2739"/>
    </row>
    <row r="28" spans="1:6" ht="20.65" customHeight="1" x14ac:dyDescent="0.2">
      <c r="A28" s="1281"/>
      <c r="B28" s="1282"/>
      <c r="C28" s="1283"/>
      <c r="D28" s="2739"/>
      <c r="E28" s="2739"/>
      <c r="F28" s="2739"/>
    </row>
    <row r="29" spans="1:6" ht="20.65" customHeight="1" x14ac:dyDescent="0.2">
      <c r="A29" s="1281"/>
      <c r="B29" s="1282"/>
      <c r="C29" s="1283"/>
      <c r="D29" s="2739"/>
      <c r="E29" s="2739"/>
      <c r="F29" s="2739"/>
    </row>
    <row r="30" spans="1:6" ht="12" customHeight="1" x14ac:dyDescent="0.2">
      <c r="A30" s="328"/>
      <c r="B30" s="328"/>
      <c r="C30" s="1474"/>
      <c r="D30" s="1923"/>
      <c r="E30" s="1284"/>
    </row>
    <row r="31" spans="1:6" ht="12" customHeight="1" x14ac:dyDescent="0.2">
      <c r="A31" s="1285" t="s">
        <v>1630</v>
      </c>
      <c r="B31" s="328"/>
      <c r="C31" s="1474"/>
      <c r="D31" s="1923"/>
      <c r="E31" s="1284"/>
    </row>
    <row r="32" spans="1:6" ht="30" customHeight="1" x14ac:dyDescent="0.2">
      <c r="A32" s="2743" t="s">
        <v>2147</v>
      </c>
      <c r="B32" s="2743"/>
      <c r="C32" s="2743"/>
      <c r="D32" s="2743"/>
      <c r="E32" s="2743"/>
      <c r="F32" s="2743"/>
    </row>
    <row r="33" spans="1:6" ht="13.5" customHeight="1" x14ac:dyDescent="0.2">
      <c r="A33" s="328" t="s">
        <v>1509</v>
      </c>
      <c r="B33" s="328"/>
      <c r="C33" s="1286">
        <v>61977</v>
      </c>
      <c r="D33" s="1923"/>
      <c r="E33" s="1284"/>
    </row>
    <row r="34" spans="1:6" ht="13.5" customHeight="1" x14ac:dyDescent="0.2">
      <c r="A34" s="328" t="s">
        <v>1946</v>
      </c>
      <c r="B34" s="328"/>
      <c r="C34" s="1287">
        <v>0</v>
      </c>
      <c r="D34" s="1923" t="s">
        <v>1671</v>
      </c>
      <c r="E34" s="2744">
        <f>+C33+C34</f>
        <v>61977</v>
      </c>
      <c r="F34" s="2745"/>
    </row>
    <row r="35" spans="1:6" ht="12" customHeight="1" x14ac:dyDescent="0.2">
      <c r="A35" s="328"/>
      <c r="B35" s="328"/>
      <c r="C35" s="1924"/>
      <c r="D35" s="1923"/>
      <c r="E35" s="1288"/>
      <c r="F35" s="1289"/>
    </row>
    <row r="36" spans="1:6" ht="13.5" customHeight="1" x14ac:dyDescent="0.2">
      <c r="A36" s="1285" t="s">
        <v>1631</v>
      </c>
      <c r="B36" s="328"/>
      <c r="C36" s="1474"/>
      <c r="D36" s="1923"/>
      <c r="E36" s="1284"/>
    </row>
    <row r="37" spans="1:6" ht="14.25" customHeight="1" x14ac:dyDescent="0.2">
      <c r="A37" s="328" t="s">
        <v>1563</v>
      </c>
      <c r="B37" s="328"/>
      <c r="C37" s="1925"/>
      <c r="D37" s="1923"/>
      <c r="E37" s="1284"/>
    </row>
    <row r="38" spans="1:6" ht="14.25" customHeight="1" x14ac:dyDescent="0.2">
      <c r="A38" s="328"/>
      <c r="B38" s="328" t="s">
        <v>1510</v>
      </c>
      <c r="C38" s="1290" t="s">
        <v>401</v>
      </c>
      <c r="D38" s="1923"/>
      <c r="E38" s="1284"/>
    </row>
    <row r="39" spans="1:6" ht="14.25" customHeight="1" x14ac:dyDescent="0.2">
      <c r="A39" s="328"/>
      <c r="B39" s="328" t="s">
        <v>1511</v>
      </c>
      <c r="C39" s="1290" t="s">
        <v>401</v>
      </c>
      <c r="D39" s="1923"/>
      <c r="E39" s="1284"/>
    </row>
    <row r="40" spans="1:6" ht="14.25" customHeight="1" x14ac:dyDescent="0.2">
      <c r="A40" s="328"/>
      <c r="B40" s="328" t="s">
        <v>1512</v>
      </c>
      <c r="C40" s="1290" t="s">
        <v>401</v>
      </c>
      <c r="D40" s="1923"/>
      <c r="E40" s="1284"/>
    </row>
    <row r="41" spans="1:6" ht="14.25" customHeight="1" x14ac:dyDescent="0.2">
      <c r="A41" s="328"/>
      <c r="B41" s="328" t="s">
        <v>1513</v>
      </c>
      <c r="C41" s="1290" t="s">
        <v>401</v>
      </c>
      <c r="D41" s="1923"/>
      <c r="E41" s="1284"/>
    </row>
    <row r="42" spans="1:6" ht="14.25" customHeight="1" x14ac:dyDescent="0.2">
      <c r="A42" s="328" t="s">
        <v>1514</v>
      </c>
      <c r="B42" s="328"/>
      <c r="C42" s="1921" t="s">
        <v>401</v>
      </c>
      <c r="D42" s="1923"/>
      <c r="E42" s="1284"/>
    </row>
    <row r="43" spans="1:6" ht="14.25" customHeight="1" x14ac:dyDescent="0.2">
      <c r="A43" s="328" t="s">
        <v>1515</v>
      </c>
      <c r="B43" s="328"/>
      <c r="C43" s="1291" t="s">
        <v>401</v>
      </c>
      <c r="D43" s="1923"/>
      <c r="E43" s="1284"/>
    </row>
    <row r="44" spans="1:6" ht="14.25" customHeight="1" x14ac:dyDescent="0.2">
      <c r="A44" s="328"/>
      <c r="B44" s="328"/>
      <c r="C44" s="1925" t="s">
        <v>1516</v>
      </c>
      <c r="D44" s="1923"/>
      <c r="E44" s="1284"/>
    </row>
    <row r="45" spans="1:6" ht="13.5" customHeight="1" x14ac:dyDescent="0.2">
      <c r="B45" s="322"/>
      <c r="C45" s="1292"/>
      <c r="D45" s="1292"/>
    </row>
    <row r="46" spans="1:6" x14ac:dyDescent="0.2">
      <c r="A46" s="1293" t="s">
        <v>1833</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746" t="s">
        <v>1672</v>
      </c>
      <c r="C49" s="2746"/>
      <c r="D49" s="2746"/>
      <c r="E49" s="1395"/>
    </row>
    <row r="50" spans="1:5" s="1298" customFormat="1" ht="3.75" customHeight="1" x14ac:dyDescent="0.2">
      <c r="A50" s="1297"/>
      <c r="B50" s="1865"/>
      <c r="C50" s="1865"/>
      <c r="D50" s="1865"/>
      <c r="E50" s="1395"/>
    </row>
    <row r="51" spans="1:5" s="1298" customFormat="1" ht="20.25" customHeight="1" x14ac:dyDescent="0.2">
      <c r="A51" s="1299">
        <v>6</v>
      </c>
      <c r="B51" s="2742" t="s">
        <v>1632</v>
      </c>
      <c r="C51" s="2742"/>
      <c r="D51" s="2742"/>
    </row>
    <row r="52" spans="1:5" ht="14.25" customHeight="1" x14ac:dyDescent="0.2">
      <c r="A52" s="1299"/>
      <c r="B52" s="2742"/>
      <c r="C52" s="2742"/>
      <c r="D52" s="274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69" zoomScaleNormal="69" workbookViewId="0">
      <selection activeCell="L28" sqref="L28"/>
    </sheetView>
  </sheetViews>
  <sheetFormatPr defaultColWidth="33.5703125" defaultRowHeight="12.75" x14ac:dyDescent="0.2"/>
  <cols>
    <col min="1" max="1" width="0.140625" style="317" customWidth="1"/>
    <col min="2" max="2" width="34.5703125" style="317" customWidth="1"/>
    <col min="3" max="3" width="8.7109375" style="1353" customWidth="1"/>
    <col min="4" max="4" width="12.7109375" style="1354"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689" t="str">
        <f>'Single Audit Cover'!A7</f>
        <v>Grayslake  CCSD 46</v>
      </c>
      <c r="C1" s="2747"/>
      <c r="D1" s="2747"/>
      <c r="E1" s="2747"/>
      <c r="F1" s="2747"/>
      <c r="G1" s="2747"/>
      <c r="H1" s="2747"/>
      <c r="I1" s="2747"/>
      <c r="J1" s="2747"/>
      <c r="K1" s="2747"/>
      <c r="L1" s="2747"/>
      <c r="M1" s="2747"/>
    </row>
    <row r="2" spans="2:14" ht="15" x14ac:dyDescent="0.2">
      <c r="B2" s="2736">
        <f>'Single Audit Cover'!E7</f>
        <v>34049046004</v>
      </c>
      <c r="C2" s="2736"/>
      <c r="D2" s="2736"/>
      <c r="E2" s="2736"/>
      <c r="F2" s="2736"/>
      <c r="G2" s="2736"/>
      <c r="H2" s="2736"/>
      <c r="I2" s="2736"/>
      <c r="J2" s="2736"/>
      <c r="K2" s="2736"/>
      <c r="L2" s="2736"/>
      <c r="M2" s="2736"/>
      <c r="N2" s="1300"/>
    </row>
    <row r="3" spans="2:14" ht="15" x14ac:dyDescent="0.2">
      <c r="B3" s="2748" t="s">
        <v>1281</v>
      </c>
      <c r="C3" s="2748"/>
      <c r="D3" s="2748"/>
      <c r="E3" s="2748"/>
      <c r="F3" s="2748"/>
      <c r="G3" s="2748"/>
      <c r="H3" s="2748"/>
      <c r="I3" s="2748"/>
      <c r="J3" s="2748"/>
      <c r="K3" s="2748"/>
      <c r="L3" s="2748"/>
      <c r="M3" s="2748"/>
      <c r="N3" s="1300"/>
    </row>
    <row r="4" spans="2:14" ht="15" x14ac:dyDescent="0.2">
      <c r="B4" s="2749" t="str">
        <f>'Single Audit Cover'!A4</f>
        <v>Year Ending June 30, 2018</v>
      </c>
      <c r="C4" s="2749"/>
      <c r="D4" s="2749"/>
      <c r="E4" s="2749"/>
      <c r="F4" s="2749"/>
      <c r="G4" s="2749"/>
      <c r="H4" s="2749"/>
      <c r="I4" s="2749"/>
      <c r="J4" s="2749"/>
      <c r="K4" s="2749"/>
      <c r="L4" s="2749"/>
      <c r="M4" s="2749"/>
      <c r="N4" s="1300"/>
    </row>
    <row r="6" spans="2:14" x14ac:dyDescent="0.2">
      <c r="B6" s="1301"/>
      <c r="C6" s="1302"/>
      <c r="D6" s="1303" t="s">
        <v>1327</v>
      </c>
      <c r="E6" s="1304" t="s">
        <v>548</v>
      </c>
      <c r="F6" s="1305"/>
      <c r="G6" s="1306" t="s">
        <v>1834</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2"/>
      <c r="C8" s="1311" t="s">
        <v>1326</v>
      </c>
      <c r="D8" s="1312" t="s">
        <v>1325</v>
      </c>
      <c r="E8" s="1320" t="s">
        <v>1324</v>
      </c>
      <c r="F8" s="1321" t="s">
        <v>1324</v>
      </c>
      <c r="G8" s="1322" t="s">
        <v>1324</v>
      </c>
      <c r="H8" s="1315" t="s">
        <v>1663</v>
      </c>
      <c r="I8" s="1317" t="s">
        <v>1324</v>
      </c>
      <c r="J8" s="1316" t="s">
        <v>1947</v>
      </c>
      <c r="K8" s="1317" t="s">
        <v>1323</v>
      </c>
      <c r="L8" s="1318" t="s">
        <v>1319</v>
      </c>
      <c r="M8" s="1319" t="s">
        <v>30</v>
      </c>
    </row>
    <row r="9" spans="2:14" ht="14.25" x14ac:dyDescent="0.2">
      <c r="B9" s="1323" t="s">
        <v>1321</v>
      </c>
      <c r="C9" s="1311" t="s">
        <v>1835</v>
      </c>
      <c r="D9" s="1312" t="s">
        <v>1836</v>
      </c>
      <c r="E9" s="1320" t="s">
        <v>1663</v>
      </c>
      <c r="F9" s="1321" t="s">
        <v>1947</v>
      </c>
      <c r="G9" s="1322" t="s">
        <v>1663</v>
      </c>
      <c r="H9" s="1315" t="s">
        <v>1664</v>
      </c>
      <c r="I9" s="1317" t="s">
        <v>1947</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987" t="s">
        <v>2148</v>
      </c>
      <c r="C11" s="1988"/>
      <c r="D11" s="1989"/>
      <c r="E11" s="1990"/>
      <c r="F11" s="1990"/>
      <c r="G11" s="1990"/>
      <c r="H11" s="1990"/>
      <c r="I11" s="1990"/>
      <c r="J11" s="1990"/>
      <c r="K11" s="1990"/>
      <c r="L11" s="1336"/>
      <c r="M11" s="1336"/>
    </row>
    <row r="12" spans="2:14" ht="20.100000000000001" customHeight="1" x14ac:dyDescent="0.2">
      <c r="B12" s="1994" t="s">
        <v>2149</v>
      </c>
      <c r="C12" s="1991"/>
      <c r="D12" s="1992"/>
      <c r="E12" s="1993"/>
      <c r="F12" s="1993"/>
      <c r="G12" s="1993"/>
      <c r="H12" s="1993"/>
      <c r="I12" s="1993"/>
      <c r="J12" s="1993"/>
      <c r="K12" s="1993"/>
      <c r="L12" s="1336"/>
      <c r="M12" s="1339"/>
    </row>
    <row r="13" spans="2:14" ht="20.100000000000001" customHeight="1" x14ac:dyDescent="0.2">
      <c r="B13" s="1995" t="s">
        <v>2150</v>
      </c>
      <c r="C13" s="1991">
        <v>10.555</v>
      </c>
      <c r="D13" s="1992" t="s">
        <v>2151</v>
      </c>
      <c r="E13" s="1993"/>
      <c r="F13" s="1993">
        <v>20674</v>
      </c>
      <c r="G13" s="1993"/>
      <c r="H13" s="1993"/>
      <c r="I13" s="1993">
        <v>20674</v>
      </c>
      <c r="J13" s="1993"/>
      <c r="K13" s="1993"/>
      <c r="L13" s="1336">
        <f t="shared" ref="L13:L23" si="0">+G13+I13+K13</f>
        <v>20674</v>
      </c>
      <c r="M13" s="1997" t="s">
        <v>2162</v>
      </c>
    </row>
    <row r="14" spans="2:14" ht="20.100000000000001" customHeight="1" x14ac:dyDescent="0.2">
      <c r="B14" s="1995"/>
      <c r="C14" s="1991"/>
      <c r="D14" s="1992"/>
      <c r="E14" s="1993"/>
      <c r="F14" s="1993"/>
      <c r="G14" s="1993"/>
      <c r="H14" s="1993"/>
      <c r="I14" s="1993"/>
      <c r="J14" s="1993"/>
      <c r="K14" s="1993"/>
      <c r="L14" s="1336"/>
      <c r="M14" s="1997"/>
    </row>
    <row r="15" spans="2:14" ht="20.100000000000001" customHeight="1" x14ac:dyDescent="0.2">
      <c r="B15" s="1987"/>
      <c r="C15" s="1991"/>
      <c r="D15" s="1992"/>
      <c r="E15" s="1993"/>
      <c r="F15" s="1993"/>
      <c r="G15" s="1993"/>
      <c r="H15" s="1993"/>
      <c r="I15" s="1993"/>
      <c r="J15" s="1993"/>
      <c r="K15" s="1993"/>
      <c r="L15" s="1336"/>
      <c r="M15" s="1997"/>
    </row>
    <row r="16" spans="2:14" ht="20.100000000000001" customHeight="1" x14ac:dyDescent="0.2">
      <c r="B16" s="1987" t="s">
        <v>2152</v>
      </c>
      <c r="C16" s="1991"/>
      <c r="D16" s="1992"/>
      <c r="E16" s="1993"/>
      <c r="F16" s="1993"/>
      <c r="G16" s="1993"/>
      <c r="H16" s="1993"/>
      <c r="I16" s="1993"/>
      <c r="J16" s="1993"/>
      <c r="K16" s="1993"/>
      <c r="L16" s="1336"/>
      <c r="M16" s="1997"/>
    </row>
    <row r="17" spans="2:14" ht="20.100000000000001" customHeight="1" x14ac:dyDescent="0.2">
      <c r="B17" s="1994" t="s">
        <v>2149</v>
      </c>
      <c r="C17" s="1991"/>
      <c r="D17" s="1992"/>
      <c r="E17" s="1993"/>
      <c r="F17" s="1993"/>
      <c r="G17" s="1993"/>
      <c r="H17" s="1993"/>
      <c r="I17" s="1993"/>
      <c r="J17" s="1993"/>
      <c r="K17" s="1993"/>
      <c r="L17" s="1336"/>
      <c r="M17" s="1997"/>
    </row>
    <row r="18" spans="2:14" ht="20.100000000000001" customHeight="1" x14ac:dyDescent="0.2">
      <c r="B18" s="1995" t="s">
        <v>2153</v>
      </c>
      <c r="C18" s="1991">
        <v>10.555</v>
      </c>
      <c r="D18" s="1992" t="s">
        <v>2154</v>
      </c>
      <c r="E18" s="1993">
        <v>298987</v>
      </c>
      <c r="F18" s="1993">
        <v>59210</v>
      </c>
      <c r="G18" s="1993">
        <v>298987</v>
      </c>
      <c r="H18" s="1993"/>
      <c r="I18" s="1993">
        <v>59210</v>
      </c>
      <c r="J18" s="1993"/>
      <c r="K18" s="1993"/>
      <c r="L18" s="1336">
        <f t="shared" si="0"/>
        <v>358197</v>
      </c>
      <c r="M18" s="1997" t="s">
        <v>2162</v>
      </c>
    </row>
    <row r="19" spans="2:14" ht="20.100000000000001" customHeight="1" x14ac:dyDescent="0.2">
      <c r="B19" s="1995" t="s">
        <v>2155</v>
      </c>
      <c r="C19" s="1991">
        <v>10.555</v>
      </c>
      <c r="D19" s="1992" t="s">
        <v>2156</v>
      </c>
      <c r="E19" s="1993"/>
      <c r="F19" s="1993">
        <v>336488</v>
      </c>
      <c r="G19" s="1993"/>
      <c r="H19" s="1993"/>
      <c r="I19" s="1993">
        <v>336488</v>
      </c>
      <c r="J19" s="1993"/>
      <c r="K19" s="1993"/>
      <c r="L19" s="1336">
        <f t="shared" si="0"/>
        <v>336488</v>
      </c>
      <c r="M19" s="1997" t="s">
        <v>2162</v>
      </c>
    </row>
    <row r="20" spans="2:14" ht="20.100000000000001" customHeight="1" x14ac:dyDescent="0.2">
      <c r="B20" s="1995" t="s">
        <v>2150</v>
      </c>
      <c r="C20" s="1991">
        <v>10.555</v>
      </c>
      <c r="D20" s="1992" t="s">
        <v>2151</v>
      </c>
      <c r="E20" s="1993"/>
      <c r="F20" s="1993">
        <v>41303</v>
      </c>
      <c r="G20" s="1993"/>
      <c r="H20" s="1993"/>
      <c r="I20" s="1993">
        <v>41303</v>
      </c>
      <c r="J20" s="1993"/>
      <c r="K20" s="1993"/>
      <c r="L20" s="1336">
        <f t="shared" si="0"/>
        <v>41303</v>
      </c>
      <c r="M20" s="1997" t="s">
        <v>2162</v>
      </c>
    </row>
    <row r="21" spans="2:14" ht="20.100000000000001" customHeight="1" x14ac:dyDescent="0.2">
      <c r="B21" s="1995" t="s">
        <v>2157</v>
      </c>
      <c r="C21" s="1991">
        <v>10.553000000000001</v>
      </c>
      <c r="D21" s="1992" t="s">
        <v>2158</v>
      </c>
      <c r="E21" s="1993">
        <v>65538</v>
      </c>
      <c r="F21" s="1993">
        <v>11692</v>
      </c>
      <c r="G21" s="1993">
        <v>65538</v>
      </c>
      <c r="H21" s="1993"/>
      <c r="I21" s="1993">
        <v>11692</v>
      </c>
      <c r="J21" s="1993"/>
      <c r="K21" s="1993"/>
      <c r="L21" s="1336">
        <f t="shared" si="0"/>
        <v>77230</v>
      </c>
      <c r="M21" s="1997" t="s">
        <v>2162</v>
      </c>
    </row>
    <row r="22" spans="2:14" ht="20.100000000000001" customHeight="1" x14ac:dyDescent="0.2">
      <c r="B22" s="1995" t="s">
        <v>2159</v>
      </c>
      <c r="C22" s="1991">
        <v>10.553000000000001</v>
      </c>
      <c r="D22" s="1992" t="s">
        <v>2160</v>
      </c>
      <c r="E22" s="1993"/>
      <c r="F22" s="1993">
        <v>78436</v>
      </c>
      <c r="G22" s="1993"/>
      <c r="H22" s="1993"/>
      <c r="I22" s="1993">
        <v>78436</v>
      </c>
      <c r="J22" s="1993"/>
      <c r="K22" s="1993"/>
      <c r="L22" s="1336">
        <f t="shared" si="0"/>
        <v>78436</v>
      </c>
      <c r="M22" s="1997" t="s">
        <v>2162</v>
      </c>
    </row>
    <row r="23" spans="2:14" ht="20.100000000000001" customHeight="1" x14ac:dyDescent="0.2">
      <c r="B23" s="1996" t="s">
        <v>2161</v>
      </c>
      <c r="C23" s="1337"/>
      <c r="D23" s="1338"/>
      <c r="E23" s="1339">
        <f>SUM(E13:E22)</f>
        <v>364525</v>
      </c>
      <c r="F23" s="1339">
        <f>SUM(F13:F22)</f>
        <v>547803</v>
      </c>
      <c r="G23" s="1339">
        <f>SUM(G13:G22)</f>
        <v>364525</v>
      </c>
      <c r="H23" s="1339"/>
      <c r="I23" s="1339">
        <f>SUM(I13:I22)</f>
        <v>547803</v>
      </c>
      <c r="J23" s="1339"/>
      <c r="K23" s="1339"/>
      <c r="L23" s="1336">
        <f t="shared" si="0"/>
        <v>912328</v>
      </c>
      <c r="M23" s="1997"/>
    </row>
    <row r="24" spans="2:14" ht="20.100000000000001" customHeight="1" x14ac:dyDescent="0.2">
      <c r="B24" s="1335"/>
      <c r="C24" s="1337"/>
      <c r="D24" s="1338"/>
      <c r="E24" s="1339"/>
      <c r="F24" s="1339"/>
      <c r="G24" s="1339"/>
      <c r="H24" s="1339"/>
      <c r="I24" s="1339"/>
      <c r="J24" s="1339"/>
      <c r="K24" s="1339"/>
      <c r="L24" s="1336"/>
      <c r="M24" s="1997"/>
    </row>
    <row r="25" spans="2:14" ht="20.100000000000001" customHeight="1" x14ac:dyDescent="0.2">
      <c r="B25" s="1335"/>
      <c r="C25" s="1337"/>
      <c r="D25" s="1338"/>
      <c r="E25" s="1339"/>
      <c r="F25" s="1339"/>
      <c r="G25" s="1339"/>
      <c r="H25" s="1339"/>
      <c r="I25" s="1339"/>
      <c r="J25" s="1339"/>
      <c r="K25" s="1339"/>
      <c r="L25" s="1336"/>
      <c r="M25" s="1339"/>
    </row>
    <row r="26" spans="2:14" ht="20.100000000000001" customHeight="1" x14ac:dyDescent="0.2">
      <c r="B26" s="1335"/>
      <c r="C26" s="1337"/>
      <c r="D26" s="1338"/>
      <c r="E26" s="1339"/>
      <c r="F26" s="1339"/>
      <c r="G26" s="1339"/>
      <c r="H26" s="1339"/>
      <c r="I26" s="1339"/>
      <c r="J26" s="1339"/>
      <c r="K26" s="1339"/>
      <c r="L26" s="1336"/>
      <c r="M26" s="1339"/>
    </row>
    <row r="27" spans="2:14" ht="20.100000000000001" customHeight="1" x14ac:dyDescent="0.2">
      <c r="B27" s="1335"/>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5"/>
      <c r="C29" s="1345"/>
      <c r="D29" s="1346"/>
      <c r="E29" s="1255"/>
      <c r="F29" s="1255"/>
      <c r="G29" s="1248"/>
      <c r="H29" s="1248"/>
      <c r="I29" s="1248"/>
      <c r="J29" s="1248"/>
      <c r="K29" s="1248"/>
      <c r="L29" s="1248"/>
      <c r="M29" s="1255"/>
      <c r="N29" s="1340"/>
    </row>
    <row r="30" spans="2:14" ht="13.5" customHeight="1" x14ac:dyDescent="0.2">
      <c r="B30" s="1280" t="s">
        <v>1837</v>
      </c>
      <c r="C30" s="1345"/>
      <c r="D30" s="1346"/>
      <c r="E30" s="1255"/>
      <c r="F30" s="1255"/>
      <c r="G30" s="1248"/>
      <c r="H30" s="1248"/>
      <c r="I30" s="1248"/>
      <c r="J30" s="1248"/>
      <c r="K30" s="1248"/>
      <c r="L30" s="1248"/>
      <c r="M30" s="1255"/>
      <c r="N30" s="1340"/>
    </row>
    <row r="31" spans="2:14" ht="8.25" customHeight="1" x14ac:dyDescent="0.2">
      <c r="B31" s="1280"/>
      <c r="C31" s="1345"/>
      <c r="D31" s="1346"/>
      <c r="E31" s="1255"/>
      <c r="F31" s="1255"/>
      <c r="G31" s="1248"/>
      <c r="H31" s="1248"/>
      <c r="I31" s="1248"/>
      <c r="J31" s="1248"/>
      <c r="K31" s="1248"/>
      <c r="L31" s="1248"/>
      <c r="M31" s="1255"/>
      <c r="N31" s="1340"/>
    </row>
    <row r="32" spans="2:14" x14ac:dyDescent="0.2">
      <c r="B32" s="1347" t="s">
        <v>1948</v>
      </c>
      <c r="C32" s="1348"/>
      <c r="D32" s="1349"/>
      <c r="E32" s="1350"/>
      <c r="F32" s="1350"/>
      <c r="G32" s="1350"/>
      <c r="H32" s="1350"/>
      <c r="I32" s="317"/>
      <c r="J32" s="317"/>
    </row>
    <row r="33" spans="2:13" x14ac:dyDescent="0.2">
      <c r="B33" s="1275"/>
      <c r="C33" s="1351"/>
      <c r="D33" s="1352"/>
      <c r="E33" s="1276"/>
      <c r="F33" s="1276"/>
      <c r="G33" s="317"/>
      <c r="H33" s="317"/>
      <c r="I33" s="317"/>
      <c r="J33" s="317"/>
    </row>
    <row r="34" spans="2:13" ht="13.5" customHeight="1" x14ac:dyDescent="0.2">
      <c r="B34" s="1274" t="s">
        <v>1308</v>
      </c>
      <c r="G34" s="317"/>
      <c r="H34" s="317"/>
      <c r="I34" s="317"/>
      <c r="J34" s="317"/>
    </row>
    <row r="35" spans="2:13" ht="13.5" customHeight="1" x14ac:dyDescent="0.2">
      <c r="B35" s="1355"/>
      <c r="C35" s="1356"/>
      <c r="D35" s="1357"/>
      <c r="E35" s="1295"/>
      <c r="F35" s="1295"/>
      <c r="G35" s="1295"/>
      <c r="H35" s="1295"/>
      <c r="I35" s="1295"/>
      <c r="J35" s="1295"/>
      <c r="K35" s="1358"/>
      <c r="L35" s="1358"/>
      <c r="M35" s="1295"/>
    </row>
    <row r="36" spans="2:13" ht="3" customHeight="1" x14ac:dyDescent="0.2">
      <c r="B36" s="1359"/>
      <c r="G36" s="317"/>
      <c r="H36" s="317"/>
      <c r="I36" s="317"/>
      <c r="J36" s="317"/>
    </row>
    <row r="37" spans="2:13" ht="11.25" customHeight="1" x14ac:dyDescent="0.2">
      <c r="B37" s="1360" t="s">
        <v>1838</v>
      </c>
      <c r="C37" s="1361"/>
      <c r="D37" s="1361"/>
      <c r="E37" s="1361"/>
      <c r="F37" s="1361"/>
      <c r="G37" s="1361"/>
      <c r="H37" s="1361"/>
      <c r="I37" s="1362"/>
      <c r="J37" s="1362"/>
      <c r="K37" s="1362"/>
      <c r="L37" s="1362"/>
      <c r="M37" s="1362"/>
    </row>
    <row r="38" spans="2:13" ht="11.25" customHeight="1" x14ac:dyDescent="0.2">
      <c r="B38" s="1363" t="s">
        <v>1666</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1839</v>
      </c>
      <c r="C40" s="1362"/>
      <c r="D40" s="1362"/>
      <c r="E40" s="1362"/>
      <c r="F40" s="1362"/>
      <c r="G40" s="1362"/>
      <c r="H40" s="1362"/>
      <c r="I40" s="1362"/>
      <c r="J40" s="1362"/>
      <c r="K40" s="1362"/>
      <c r="L40" s="1362"/>
      <c r="M40" s="1362"/>
    </row>
    <row r="41" spans="2:13" ht="11.25" customHeight="1" x14ac:dyDescent="0.2">
      <c r="B41" s="1298" t="s">
        <v>1667</v>
      </c>
      <c r="C41" s="1364"/>
      <c r="D41" s="1365"/>
      <c r="E41" s="1298"/>
      <c r="F41" s="1298"/>
      <c r="G41" s="1298"/>
      <c r="H41" s="1298"/>
      <c r="I41" s="1298"/>
      <c r="J41" s="1298"/>
      <c r="K41" s="1366"/>
      <c r="L41" s="1366"/>
      <c r="M41" s="1298"/>
    </row>
    <row r="42" spans="2:13" ht="0.75" customHeight="1" x14ac:dyDescent="0.2">
      <c r="B42" s="1298"/>
      <c r="C42" s="1364"/>
      <c r="D42" s="1365"/>
      <c r="E42" s="1298"/>
      <c r="F42" s="1298"/>
      <c r="G42" s="1298"/>
      <c r="H42" s="1298"/>
      <c r="I42" s="1298"/>
      <c r="J42" s="1298"/>
      <c r="K42" s="1366"/>
      <c r="L42" s="1366"/>
      <c r="M42" s="1298"/>
    </row>
    <row r="43" spans="2:13" ht="11.25" customHeight="1" x14ac:dyDescent="0.2">
      <c r="B43" s="1367" t="s">
        <v>1840</v>
      </c>
      <c r="C43" s="1364"/>
      <c r="D43" s="1365"/>
      <c r="E43" s="1298"/>
      <c r="F43" s="1298"/>
      <c r="G43" s="1298"/>
      <c r="H43" s="1298"/>
      <c r="I43" s="1298"/>
      <c r="J43" s="1298"/>
      <c r="K43" s="1366"/>
      <c r="L43" s="1366"/>
      <c r="M43" s="1298"/>
    </row>
    <row r="44" spans="2:13" ht="3.95" customHeight="1" x14ac:dyDescent="0.2">
      <c r="B44" s="1367"/>
      <c r="C44" s="1364"/>
      <c r="D44" s="1365"/>
      <c r="E44" s="1298"/>
      <c r="F44" s="1298"/>
      <c r="G44" s="1298"/>
      <c r="H44" s="1298"/>
      <c r="I44" s="1298"/>
      <c r="J44" s="1298"/>
      <c r="K44" s="1366"/>
      <c r="L44" s="1366"/>
      <c r="M44" s="1298"/>
    </row>
    <row r="45" spans="2:13" ht="11.25" customHeight="1" x14ac:dyDescent="0.2">
      <c r="B45" s="1368" t="s">
        <v>1841</v>
      </c>
      <c r="C45" s="1364"/>
      <c r="D45" s="1365"/>
      <c r="E45" s="1298"/>
      <c r="F45" s="1298"/>
      <c r="G45" s="1298"/>
      <c r="H45" s="1298"/>
      <c r="I45" s="1298"/>
      <c r="J45" s="1298"/>
      <c r="K45" s="1366"/>
      <c r="L45" s="1366"/>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zoomScaleSheetLayoutView="87" workbookViewId="0">
      <selection activeCell="I24" activeCellId="2" sqref="I15 I23 I24"/>
    </sheetView>
  </sheetViews>
  <sheetFormatPr defaultColWidth="33.5703125" defaultRowHeight="12.75" x14ac:dyDescent="0.2"/>
  <cols>
    <col min="1" max="1" width="0.140625" style="1998" customWidth="1"/>
    <col min="2" max="2" width="36.85546875" style="1998" customWidth="1"/>
    <col min="3" max="3" width="8.7109375" style="2061" customWidth="1"/>
    <col min="4" max="4" width="12.7109375" style="2062" customWidth="1"/>
    <col min="5" max="6" width="11.7109375" style="1998" customWidth="1"/>
    <col min="7" max="7" width="11.7109375" style="2001" customWidth="1"/>
    <col min="8" max="8" width="13.7109375" style="2001" bestFit="1" customWidth="1"/>
    <col min="9" max="9" width="11.7109375" style="2001" customWidth="1"/>
    <col min="10" max="10" width="13.7109375" style="2001" customWidth="1"/>
    <col min="11" max="11" width="11.7109375" style="2001" customWidth="1"/>
    <col min="12" max="12" width="10.42578125" style="2001" customWidth="1"/>
    <col min="13" max="13" width="11.7109375" style="1998" customWidth="1"/>
    <col min="14" max="14" width="2.7109375" style="1998" customWidth="1"/>
    <col min="15" max="16384" width="33.5703125" style="1998"/>
  </cols>
  <sheetData>
    <row r="1" spans="2:14" ht="11.85" customHeight="1" x14ac:dyDescent="0.2">
      <c r="B1" s="2689" t="str">
        <f>'Single Audit Cover'!A7</f>
        <v>Grayslake  CCSD 46</v>
      </c>
      <c r="C1" s="2747"/>
      <c r="D1" s="2747"/>
      <c r="E1" s="2747"/>
      <c r="F1" s="2747"/>
      <c r="G1" s="2747"/>
      <c r="H1" s="2747"/>
      <c r="I1" s="2747"/>
      <c r="J1" s="2747"/>
      <c r="K1" s="2747"/>
      <c r="L1" s="2747"/>
      <c r="M1" s="2747"/>
    </row>
    <row r="2" spans="2:14" ht="15" x14ac:dyDescent="0.2">
      <c r="B2" s="2736">
        <f>'Single Audit Cover'!E7</f>
        <v>34049046004</v>
      </c>
      <c r="C2" s="2736"/>
      <c r="D2" s="2736"/>
      <c r="E2" s="2736"/>
      <c r="F2" s="2736"/>
      <c r="G2" s="2736"/>
      <c r="H2" s="2736"/>
      <c r="I2" s="2736"/>
      <c r="J2" s="2736"/>
      <c r="K2" s="2736"/>
      <c r="L2" s="2736"/>
      <c r="M2" s="2736"/>
      <c r="N2" s="2008"/>
    </row>
    <row r="3" spans="2:14" ht="15" x14ac:dyDescent="0.2">
      <c r="B3" s="2748" t="s">
        <v>1281</v>
      </c>
      <c r="C3" s="2748"/>
      <c r="D3" s="2748"/>
      <c r="E3" s="2748"/>
      <c r="F3" s="2748"/>
      <c r="G3" s="2748"/>
      <c r="H3" s="2748"/>
      <c r="I3" s="2748"/>
      <c r="J3" s="2748"/>
      <c r="K3" s="2748"/>
      <c r="L3" s="2748"/>
      <c r="M3" s="2748"/>
      <c r="N3" s="2008"/>
    </row>
    <row r="4" spans="2:14" ht="15" x14ac:dyDescent="0.2">
      <c r="B4" s="2749" t="str">
        <f>'Single Audit Cover'!A4</f>
        <v>Year Ending June 30, 2018</v>
      </c>
      <c r="C4" s="2749"/>
      <c r="D4" s="2749"/>
      <c r="E4" s="2749"/>
      <c r="F4" s="2749"/>
      <c r="G4" s="2749"/>
      <c r="H4" s="2749"/>
      <c r="I4" s="2749"/>
      <c r="J4" s="2749"/>
      <c r="K4" s="2749"/>
      <c r="L4" s="2749"/>
      <c r="M4" s="2749"/>
      <c r="N4" s="2008"/>
    </row>
    <row r="6" spans="2:14" x14ac:dyDescent="0.2">
      <c r="B6" s="2009"/>
      <c r="C6" s="2010"/>
      <c r="D6" s="2011" t="s">
        <v>1327</v>
      </c>
      <c r="E6" s="2012" t="s">
        <v>548</v>
      </c>
      <c r="F6" s="2013"/>
      <c r="G6" s="2014" t="s">
        <v>1834</v>
      </c>
      <c r="H6" s="2012"/>
      <c r="I6" s="2012"/>
      <c r="J6" s="2012"/>
      <c r="K6" s="2015"/>
      <c r="L6" s="2016"/>
      <c r="M6" s="2017"/>
    </row>
    <row r="7" spans="2:14" x14ac:dyDescent="0.2">
      <c r="B7" s="2018" t="s">
        <v>1662</v>
      </c>
      <c r="C7" s="2019"/>
      <c r="D7" s="2020"/>
      <c r="E7" s="2021"/>
      <c r="F7" s="2022"/>
      <c r="G7" s="2021"/>
      <c r="H7" s="2023" t="s">
        <v>1324</v>
      </c>
      <c r="I7" s="2021"/>
      <c r="J7" s="2024" t="s">
        <v>1324</v>
      </c>
      <c r="K7" s="2025"/>
      <c r="L7" s="2026" t="s">
        <v>1322</v>
      </c>
      <c r="M7" s="2027"/>
    </row>
    <row r="8" spans="2:14" x14ac:dyDescent="0.2">
      <c r="B8" s="2078"/>
      <c r="C8" s="2019" t="s">
        <v>1326</v>
      </c>
      <c r="D8" s="2020" t="s">
        <v>1325</v>
      </c>
      <c r="E8" s="2028" t="s">
        <v>1324</v>
      </c>
      <c r="F8" s="2029" t="s">
        <v>1324</v>
      </c>
      <c r="G8" s="2030" t="s">
        <v>1324</v>
      </c>
      <c r="H8" s="2023" t="s">
        <v>1663</v>
      </c>
      <c r="I8" s="2025" t="s">
        <v>1324</v>
      </c>
      <c r="J8" s="2024" t="s">
        <v>1947</v>
      </c>
      <c r="K8" s="2025" t="s">
        <v>1323</v>
      </c>
      <c r="L8" s="2026" t="s">
        <v>1319</v>
      </c>
      <c r="M8" s="2027" t="s">
        <v>30</v>
      </c>
    </row>
    <row r="9" spans="2:14" ht="14.25" x14ac:dyDescent="0.2">
      <c r="B9" s="2031" t="s">
        <v>1321</v>
      </c>
      <c r="C9" s="2019" t="s">
        <v>1835</v>
      </c>
      <c r="D9" s="2020" t="s">
        <v>1836</v>
      </c>
      <c r="E9" s="2028" t="s">
        <v>1663</v>
      </c>
      <c r="F9" s="2029" t="s">
        <v>1947</v>
      </c>
      <c r="G9" s="2030" t="s">
        <v>1663</v>
      </c>
      <c r="H9" s="2023" t="s">
        <v>1664</v>
      </c>
      <c r="I9" s="2025" t="s">
        <v>1947</v>
      </c>
      <c r="J9" s="2024" t="s">
        <v>1664</v>
      </c>
      <c r="K9" s="2025" t="s">
        <v>1320</v>
      </c>
      <c r="L9" s="2032" t="s">
        <v>1665</v>
      </c>
      <c r="M9" s="2027"/>
    </row>
    <row r="10" spans="2:14" ht="11.85" customHeight="1" x14ac:dyDescent="0.2">
      <c r="B10" s="2031" t="s">
        <v>1318</v>
      </c>
      <c r="C10" s="2033" t="s">
        <v>1317</v>
      </c>
      <c r="D10" s="2034" t="s">
        <v>1316</v>
      </c>
      <c r="E10" s="2035" t="s">
        <v>1315</v>
      </c>
      <c r="F10" s="2036" t="s">
        <v>1314</v>
      </c>
      <c r="G10" s="2037" t="s">
        <v>1313</v>
      </c>
      <c r="H10" s="2038" t="s">
        <v>1328</v>
      </c>
      <c r="I10" s="2039" t="s">
        <v>1312</v>
      </c>
      <c r="J10" s="2040" t="s">
        <v>1328</v>
      </c>
      <c r="K10" s="2041" t="s">
        <v>1311</v>
      </c>
      <c r="L10" s="2041" t="s">
        <v>1310</v>
      </c>
      <c r="M10" s="2042" t="s">
        <v>1309</v>
      </c>
    </row>
    <row r="11" spans="2:14" ht="20.100000000000001" customHeight="1" x14ac:dyDescent="0.2">
      <c r="B11" s="2079" t="s">
        <v>2163</v>
      </c>
      <c r="C11" s="2080"/>
      <c r="D11" s="2081"/>
      <c r="E11" s="2082"/>
      <c r="F11" s="2082"/>
      <c r="G11" s="2082"/>
      <c r="H11" s="2082"/>
      <c r="I11" s="2082"/>
      <c r="J11" s="2044"/>
      <c r="K11" s="2044"/>
      <c r="L11" s="2044"/>
      <c r="M11" s="2044"/>
    </row>
    <row r="12" spans="2:14" ht="20.100000000000001" customHeight="1" x14ac:dyDescent="0.2">
      <c r="B12" s="2086" t="s">
        <v>2149</v>
      </c>
      <c r="C12" s="2083"/>
      <c r="D12" s="2084"/>
      <c r="E12" s="2085"/>
      <c r="F12" s="2085"/>
      <c r="G12" s="2085"/>
      <c r="H12" s="2085"/>
      <c r="I12" s="2085"/>
      <c r="J12" s="2047"/>
      <c r="K12" s="2047"/>
      <c r="L12" s="2044"/>
      <c r="M12" s="2047"/>
    </row>
    <row r="13" spans="2:14" ht="20.100000000000001" customHeight="1" x14ac:dyDescent="0.2">
      <c r="B13" s="2087" t="s">
        <v>2164</v>
      </c>
      <c r="C13" s="2083">
        <v>84.01</v>
      </c>
      <c r="D13" s="2084" t="s">
        <v>2165</v>
      </c>
      <c r="E13" s="2085">
        <v>297439</v>
      </c>
      <c r="F13" s="2085">
        <v>13978</v>
      </c>
      <c r="G13" s="2085">
        <v>297439</v>
      </c>
      <c r="H13" s="2085"/>
      <c r="I13" s="2085">
        <v>13978</v>
      </c>
      <c r="J13" s="2047"/>
      <c r="K13" s="2047"/>
      <c r="L13" s="2044">
        <f t="shared" ref="L13:L23" si="0">+G13+I13+K13</f>
        <v>311417</v>
      </c>
      <c r="M13" s="2089">
        <v>343158</v>
      </c>
    </row>
    <row r="14" spans="2:14" ht="20.100000000000001" customHeight="1" x14ac:dyDescent="0.2">
      <c r="B14" s="2087" t="s">
        <v>2166</v>
      </c>
      <c r="C14" s="2083">
        <v>84.01</v>
      </c>
      <c r="D14" s="2084" t="s">
        <v>2167</v>
      </c>
      <c r="E14" s="2085"/>
      <c r="F14" s="2085">
        <v>257577</v>
      </c>
      <c r="G14" s="2085"/>
      <c r="H14" s="2085"/>
      <c r="I14" s="2085">
        <v>257577</v>
      </c>
      <c r="J14" s="2047"/>
      <c r="K14" s="2047"/>
      <c r="L14" s="2044">
        <f>G14+I14+K14</f>
        <v>257577</v>
      </c>
      <c r="M14" s="2089">
        <v>330499</v>
      </c>
    </row>
    <row r="15" spans="2:14" ht="20.100000000000001" customHeight="1" x14ac:dyDescent="0.2">
      <c r="B15" s="2087" t="s">
        <v>2168</v>
      </c>
      <c r="C15" s="2083">
        <v>84.027000000000001</v>
      </c>
      <c r="D15" s="2084" t="s">
        <v>2169</v>
      </c>
      <c r="E15" s="2085"/>
      <c r="F15" s="2085">
        <v>39971</v>
      </c>
      <c r="G15" s="2085"/>
      <c r="H15" s="2085"/>
      <c r="I15" s="2085">
        <v>39971</v>
      </c>
      <c r="J15" s="2047"/>
      <c r="K15" s="2047"/>
      <c r="L15" s="2044">
        <f>G15+I15+K15</f>
        <v>39971</v>
      </c>
      <c r="M15" s="2089" t="s">
        <v>2162</v>
      </c>
    </row>
    <row r="16" spans="2:14" ht="20.100000000000001" customHeight="1" x14ac:dyDescent="0.2">
      <c r="B16" s="2087" t="s">
        <v>2170</v>
      </c>
      <c r="C16" s="2083" t="s">
        <v>2171</v>
      </c>
      <c r="D16" s="2084" t="s">
        <v>2172</v>
      </c>
      <c r="E16" s="2085"/>
      <c r="F16" s="2085">
        <v>377</v>
      </c>
      <c r="G16" s="2085"/>
      <c r="H16" s="2085"/>
      <c r="I16" s="2085">
        <v>377</v>
      </c>
      <c r="J16" s="2047"/>
      <c r="K16" s="2047"/>
      <c r="L16" s="2044">
        <f>G16+I16+K16</f>
        <v>377</v>
      </c>
      <c r="M16" s="2089">
        <v>4664</v>
      </c>
    </row>
    <row r="17" spans="2:14" ht="20.100000000000001" customHeight="1" x14ac:dyDescent="0.2">
      <c r="B17" s="2087" t="s">
        <v>2173</v>
      </c>
      <c r="C17" s="2083">
        <v>84.364999999999995</v>
      </c>
      <c r="D17" s="2084" t="s">
        <v>2174</v>
      </c>
      <c r="E17" s="2085">
        <v>45880</v>
      </c>
      <c r="F17" s="2085">
        <v>5908</v>
      </c>
      <c r="G17" s="2085">
        <v>45880</v>
      </c>
      <c r="H17" s="2085"/>
      <c r="I17" s="2085">
        <v>5908</v>
      </c>
      <c r="J17" s="2047"/>
      <c r="K17" s="2047"/>
      <c r="L17" s="2044">
        <f>G17+I17+K17</f>
        <v>51788</v>
      </c>
      <c r="M17" s="2089">
        <v>64293</v>
      </c>
    </row>
    <row r="18" spans="2:14" ht="20.100000000000001" customHeight="1" x14ac:dyDescent="0.2">
      <c r="B18" s="2087" t="s">
        <v>2175</v>
      </c>
      <c r="C18" s="2083">
        <v>84.364999999999995</v>
      </c>
      <c r="D18" s="2084" t="s">
        <v>2176</v>
      </c>
      <c r="E18" s="2085"/>
      <c r="F18" s="2085">
        <v>53473</v>
      </c>
      <c r="G18" s="2085"/>
      <c r="H18" s="2085"/>
      <c r="I18" s="2085">
        <v>53473</v>
      </c>
      <c r="J18" s="2047"/>
      <c r="K18" s="2047"/>
      <c r="L18" s="2044">
        <f t="shared" si="0"/>
        <v>53473</v>
      </c>
      <c r="M18" s="2089">
        <v>63597</v>
      </c>
    </row>
    <row r="19" spans="2:14" ht="20.100000000000001" customHeight="1" x14ac:dyDescent="0.2">
      <c r="B19" s="2087" t="s">
        <v>782</v>
      </c>
      <c r="C19" s="2083">
        <v>84.367000000000004</v>
      </c>
      <c r="D19" s="2084" t="s">
        <v>2177</v>
      </c>
      <c r="E19" s="2085"/>
      <c r="F19" s="2085">
        <v>97875</v>
      </c>
      <c r="G19" s="2085"/>
      <c r="H19" s="2085"/>
      <c r="I19" s="2085">
        <v>97875</v>
      </c>
      <c r="J19" s="2047"/>
      <c r="K19" s="2047"/>
      <c r="L19" s="2044">
        <f t="shared" si="0"/>
        <v>97875</v>
      </c>
      <c r="M19" s="2089">
        <v>109469</v>
      </c>
    </row>
    <row r="20" spans="2:14" ht="20.100000000000001" customHeight="1" x14ac:dyDescent="0.2">
      <c r="B20" s="2079"/>
      <c r="C20" s="2083"/>
      <c r="D20" s="2084"/>
      <c r="E20" s="2085"/>
      <c r="F20" s="2085"/>
      <c r="G20" s="2085"/>
      <c r="H20" s="2085"/>
      <c r="I20" s="2085"/>
      <c r="J20" s="2047"/>
      <c r="K20" s="2047"/>
      <c r="L20" s="2044"/>
      <c r="M20" s="2089"/>
    </row>
    <row r="21" spans="2:14" ht="20.100000000000001" customHeight="1" x14ac:dyDescent="0.2">
      <c r="B21" s="2079" t="s">
        <v>2163</v>
      </c>
      <c r="C21" s="2083"/>
      <c r="D21" s="2084"/>
      <c r="E21" s="2085"/>
      <c r="F21" s="2085"/>
      <c r="G21" s="2085"/>
      <c r="H21" s="2085"/>
      <c r="I21" s="2085"/>
      <c r="J21" s="2047"/>
      <c r="K21" s="2047"/>
      <c r="L21" s="2044"/>
      <c r="M21" s="2089"/>
    </row>
    <row r="22" spans="2:14" ht="20.100000000000001" customHeight="1" x14ac:dyDescent="0.2">
      <c r="B22" s="2086" t="s">
        <v>2178</v>
      </c>
      <c r="C22" s="2083"/>
      <c r="D22" s="2084"/>
      <c r="E22" s="2085"/>
      <c r="F22" s="2085"/>
      <c r="G22" s="2085"/>
      <c r="H22" s="2085"/>
      <c r="I22" s="2085"/>
      <c r="J22" s="2047"/>
      <c r="K22" s="2047"/>
      <c r="L22" s="2044"/>
      <c r="M22" s="2089"/>
    </row>
    <row r="23" spans="2:14" ht="20.100000000000001" customHeight="1" x14ac:dyDescent="0.2">
      <c r="B23" s="2087" t="s">
        <v>2179</v>
      </c>
      <c r="C23" s="2083" t="s">
        <v>2180</v>
      </c>
      <c r="D23" s="2084" t="s">
        <v>2181</v>
      </c>
      <c r="E23" s="2085"/>
      <c r="F23" s="2088">
        <v>379695</v>
      </c>
      <c r="G23" s="2085"/>
      <c r="H23" s="2085"/>
      <c r="I23" s="2085">
        <v>379695</v>
      </c>
      <c r="J23" s="2047"/>
      <c r="K23" s="2047"/>
      <c r="L23" s="2044">
        <f t="shared" si="0"/>
        <v>379695</v>
      </c>
      <c r="M23" s="2089">
        <v>558286</v>
      </c>
    </row>
    <row r="24" spans="2:14" ht="20.100000000000001" customHeight="1" x14ac:dyDescent="0.2">
      <c r="B24" s="2087" t="s">
        <v>2182</v>
      </c>
      <c r="C24" s="2083" t="s">
        <v>2183</v>
      </c>
      <c r="D24" s="2084" t="s">
        <v>2184</v>
      </c>
      <c r="E24" s="2085"/>
      <c r="F24" s="2088">
        <v>11626</v>
      </c>
      <c r="G24" s="2085"/>
      <c r="H24" s="2085"/>
      <c r="I24" s="2085">
        <v>11626</v>
      </c>
      <c r="J24" s="2047"/>
      <c r="K24" s="2047"/>
      <c r="L24" s="2044">
        <f>G24+I24+K24</f>
        <v>11626</v>
      </c>
      <c r="M24" s="2089">
        <v>47844</v>
      </c>
    </row>
    <row r="25" spans="2:14" ht="20.100000000000001" customHeight="1" x14ac:dyDescent="0.2">
      <c r="B25" s="2043"/>
      <c r="C25" s="2045"/>
      <c r="D25" s="2046"/>
      <c r="E25" s="2047"/>
      <c r="F25" s="2047"/>
      <c r="G25" s="2047"/>
      <c r="H25" s="2047"/>
      <c r="I25" s="2047"/>
      <c r="J25" s="2047"/>
      <c r="K25" s="2047"/>
      <c r="L25" s="2044"/>
      <c r="M25" s="2047"/>
    </row>
    <row r="26" spans="2:14" ht="20.100000000000001" customHeight="1" x14ac:dyDescent="0.2">
      <c r="B26" s="2135" t="s">
        <v>2185</v>
      </c>
      <c r="C26" s="2045"/>
      <c r="D26" s="2046"/>
      <c r="E26" s="2047">
        <f>SUM(E13:E25)</f>
        <v>343319</v>
      </c>
      <c r="F26" s="2047">
        <f>SUM(F13:F25)</f>
        <v>860480</v>
      </c>
      <c r="G26" s="2047">
        <f>SUM(G13:G25)</f>
        <v>343319</v>
      </c>
      <c r="H26" s="2047"/>
      <c r="I26" s="2047">
        <f>SUM(I13:I25)</f>
        <v>860480</v>
      </c>
      <c r="J26" s="2047"/>
      <c r="K26" s="2047"/>
      <c r="L26" s="2044">
        <f>SUM(L13:L25)</f>
        <v>1203799</v>
      </c>
      <c r="M26" s="2047"/>
    </row>
    <row r="27" spans="2:14" ht="20.100000000000001" customHeight="1" x14ac:dyDescent="0.2">
      <c r="B27" s="2043"/>
      <c r="C27" s="2045"/>
      <c r="D27" s="2046"/>
      <c r="E27" s="2047"/>
      <c r="F27" s="2047"/>
      <c r="G27" s="2047"/>
      <c r="H27" s="2047"/>
      <c r="I27" s="2047"/>
      <c r="J27" s="2047"/>
      <c r="K27" s="2047"/>
      <c r="L27" s="2044"/>
      <c r="M27" s="2047"/>
      <c r="N27" s="2048"/>
    </row>
    <row r="28" spans="2:14" ht="12.75" customHeight="1" x14ac:dyDescent="0.2">
      <c r="B28" s="2049"/>
      <c r="C28" s="2050"/>
      <c r="D28" s="2051"/>
      <c r="E28" s="2052"/>
      <c r="F28" s="2052"/>
      <c r="G28" s="2052"/>
      <c r="H28" s="2052"/>
      <c r="I28" s="2052"/>
      <c r="J28" s="2052"/>
      <c r="K28" s="2052"/>
      <c r="L28" s="2052"/>
      <c r="M28" s="2052"/>
      <c r="N28" s="2048"/>
    </row>
    <row r="29" spans="2:14" x14ac:dyDescent="0.2">
      <c r="B29" s="2000"/>
      <c r="C29" s="2053"/>
      <c r="D29" s="2054"/>
      <c r="E29" s="2000"/>
      <c r="F29" s="2000"/>
      <c r="G29" s="1999"/>
      <c r="H29" s="1999"/>
      <c r="I29" s="1999"/>
      <c r="J29" s="1999"/>
      <c r="K29" s="1999"/>
      <c r="L29" s="1999"/>
      <c r="M29" s="2000"/>
      <c r="N29" s="2048"/>
    </row>
    <row r="30" spans="2:14" ht="13.5" customHeight="1" x14ac:dyDescent="0.2">
      <c r="B30" s="2005" t="s">
        <v>1837</v>
      </c>
      <c r="C30" s="2053"/>
      <c r="D30" s="2054"/>
      <c r="E30" s="2000"/>
      <c r="F30" s="2000"/>
      <c r="G30" s="1999"/>
      <c r="H30" s="1999"/>
      <c r="I30" s="1999"/>
      <c r="J30" s="1999"/>
      <c r="K30" s="1999"/>
      <c r="L30" s="1999"/>
      <c r="M30" s="2000"/>
      <c r="N30" s="2048"/>
    </row>
    <row r="31" spans="2:14" ht="8.25" customHeight="1" x14ac:dyDescent="0.2">
      <c r="B31" s="2005"/>
      <c r="C31" s="2053"/>
      <c r="D31" s="2054"/>
      <c r="E31" s="2000"/>
      <c r="F31" s="2000"/>
      <c r="G31" s="1999"/>
      <c r="H31" s="1999"/>
      <c r="I31" s="1999"/>
      <c r="J31" s="1999"/>
      <c r="K31" s="1999"/>
      <c r="L31" s="1999"/>
      <c r="M31" s="2000"/>
      <c r="N31" s="2048"/>
    </row>
    <row r="32" spans="2:14" x14ac:dyDescent="0.2">
      <c r="B32" s="2055" t="s">
        <v>1948</v>
      </c>
      <c r="C32" s="2056"/>
      <c r="D32" s="2057"/>
      <c r="E32" s="2058"/>
      <c r="F32" s="2058"/>
      <c r="G32" s="2058"/>
      <c r="H32" s="2058"/>
      <c r="I32" s="1998"/>
      <c r="J32" s="1998"/>
    </row>
    <row r="33" spans="2:13" x14ac:dyDescent="0.2">
      <c r="B33" s="2003"/>
      <c r="C33" s="2059"/>
      <c r="D33" s="2060"/>
      <c r="E33" s="2004"/>
      <c r="F33" s="2004"/>
      <c r="G33" s="1998"/>
      <c r="H33" s="1998"/>
      <c r="I33" s="1998"/>
      <c r="J33" s="1998"/>
    </row>
    <row r="34" spans="2:13" ht="13.5" customHeight="1" x14ac:dyDescent="0.2">
      <c r="B34" s="2002" t="s">
        <v>1308</v>
      </c>
      <c r="G34" s="1998"/>
      <c r="H34" s="1998"/>
      <c r="I34" s="1998"/>
      <c r="J34" s="1998"/>
    </row>
    <row r="35" spans="2:13" ht="13.5" customHeight="1" x14ac:dyDescent="0.2">
      <c r="B35" s="2063"/>
      <c r="C35" s="2064"/>
      <c r="D35" s="2065"/>
      <c r="E35" s="2006"/>
      <c r="F35" s="2006"/>
      <c r="G35" s="2006"/>
      <c r="H35" s="2006"/>
      <c r="I35" s="2006"/>
      <c r="J35" s="2006"/>
      <c r="K35" s="2066"/>
      <c r="L35" s="2066"/>
      <c r="M35" s="2006"/>
    </row>
    <row r="36" spans="2:13" ht="3" customHeight="1" x14ac:dyDescent="0.2">
      <c r="B36" s="2067"/>
      <c r="G36" s="1998"/>
      <c r="H36" s="1998"/>
      <c r="I36" s="1998"/>
      <c r="J36" s="1998"/>
    </row>
    <row r="37" spans="2:13" ht="11.25" customHeight="1" x14ac:dyDescent="0.2">
      <c r="B37" s="2068" t="s">
        <v>1838</v>
      </c>
      <c r="C37" s="2069"/>
      <c r="D37" s="2069"/>
      <c r="E37" s="2069"/>
      <c r="F37" s="2069"/>
      <c r="G37" s="2069"/>
      <c r="H37" s="2069"/>
      <c r="I37" s="2070"/>
      <c r="J37" s="2070"/>
      <c r="K37" s="2070"/>
      <c r="L37" s="2070"/>
      <c r="M37" s="2070"/>
    </row>
    <row r="38" spans="2:13" ht="11.25" customHeight="1" x14ac:dyDescent="0.2">
      <c r="B38" s="2071" t="s">
        <v>1666</v>
      </c>
      <c r="C38" s="2070"/>
      <c r="D38" s="2070"/>
      <c r="E38" s="2070"/>
      <c r="F38" s="2070"/>
      <c r="G38" s="2070"/>
      <c r="H38" s="2070"/>
      <c r="I38" s="2070"/>
      <c r="J38" s="2070"/>
      <c r="K38" s="2070"/>
      <c r="L38" s="2070"/>
      <c r="M38" s="2070"/>
    </row>
    <row r="39" spans="2:13" ht="3.95" customHeight="1" x14ac:dyDescent="0.2">
      <c r="B39" s="2071"/>
      <c r="C39" s="2070"/>
      <c r="D39" s="2070"/>
      <c r="E39" s="2070"/>
      <c r="F39" s="2070"/>
      <c r="G39" s="2070"/>
      <c r="H39" s="2070"/>
      <c r="I39" s="2070"/>
      <c r="J39" s="2070"/>
      <c r="K39" s="2070"/>
      <c r="L39" s="2070"/>
      <c r="M39" s="2070"/>
    </row>
    <row r="40" spans="2:13" ht="11.25" customHeight="1" x14ac:dyDescent="0.2">
      <c r="B40" s="2068" t="s">
        <v>1839</v>
      </c>
      <c r="C40" s="2070"/>
      <c r="D40" s="2070"/>
      <c r="E40" s="2070"/>
      <c r="F40" s="2070"/>
      <c r="G40" s="2070"/>
      <c r="H40" s="2070"/>
      <c r="I40" s="2070"/>
      <c r="J40" s="2070"/>
      <c r="K40" s="2070"/>
      <c r="L40" s="2070"/>
      <c r="M40" s="2070"/>
    </row>
    <row r="41" spans="2:13" ht="11.25" customHeight="1" x14ac:dyDescent="0.2">
      <c r="B41" s="2007" t="s">
        <v>1667</v>
      </c>
      <c r="C41" s="2072"/>
      <c r="D41" s="2073"/>
      <c r="E41" s="2007"/>
      <c r="F41" s="2007"/>
      <c r="G41" s="2007"/>
      <c r="H41" s="2007"/>
      <c r="I41" s="2007"/>
      <c r="J41" s="2007"/>
      <c r="K41" s="2074"/>
      <c r="L41" s="2074"/>
      <c r="M41" s="2007"/>
    </row>
    <row r="42" spans="2:13" ht="0.75" customHeight="1" x14ac:dyDescent="0.2">
      <c r="B42" s="2007"/>
      <c r="C42" s="2072"/>
      <c r="D42" s="2073"/>
      <c r="E42" s="2007"/>
      <c r="F42" s="2007"/>
      <c r="G42" s="2007"/>
      <c r="H42" s="2007"/>
      <c r="I42" s="2007"/>
      <c r="J42" s="2007"/>
      <c r="K42" s="2074"/>
      <c r="L42" s="2074"/>
      <c r="M42" s="2007"/>
    </row>
    <row r="43" spans="2:13" ht="11.25" customHeight="1" x14ac:dyDescent="0.2">
      <c r="B43" s="2075" t="s">
        <v>1840</v>
      </c>
      <c r="C43" s="2072"/>
      <c r="D43" s="2073"/>
      <c r="E43" s="2007"/>
      <c r="F43" s="2007"/>
      <c r="G43" s="2007"/>
      <c r="H43" s="2007"/>
      <c r="I43" s="2007"/>
      <c r="J43" s="2007"/>
      <c r="K43" s="2074"/>
      <c r="L43" s="2074"/>
      <c r="M43" s="2007"/>
    </row>
    <row r="44" spans="2:13" ht="3.95" customHeight="1" x14ac:dyDescent="0.2">
      <c r="B44" s="2075"/>
      <c r="C44" s="2072"/>
      <c r="D44" s="2073"/>
      <c r="E44" s="2007"/>
      <c r="F44" s="2007"/>
      <c r="G44" s="2007"/>
      <c r="H44" s="2007"/>
      <c r="I44" s="2007"/>
      <c r="J44" s="2007"/>
      <c r="K44" s="2074"/>
      <c r="L44" s="2074"/>
      <c r="M44" s="2007"/>
    </row>
    <row r="45" spans="2:13" ht="11.25" customHeight="1" x14ac:dyDescent="0.2">
      <c r="B45" s="2076" t="s">
        <v>1841</v>
      </c>
      <c r="C45" s="2072"/>
      <c r="D45" s="2073"/>
      <c r="E45" s="2007"/>
      <c r="F45" s="2007"/>
      <c r="G45" s="2007"/>
      <c r="H45" s="2007"/>
      <c r="I45" s="2007"/>
      <c r="J45" s="2007"/>
      <c r="K45" s="2074"/>
      <c r="L45" s="2074"/>
      <c r="M45" s="2007"/>
    </row>
    <row r="46" spans="2:13" ht="11.25" customHeight="1" x14ac:dyDescent="0.2">
      <c r="B46" s="2007" t="s">
        <v>1668</v>
      </c>
      <c r="G46" s="1998"/>
      <c r="H46" s="1998"/>
      <c r="I46" s="1998"/>
      <c r="J46" s="1998"/>
    </row>
    <row r="47" spans="2:13" ht="11.1" customHeight="1" x14ac:dyDescent="0.2">
      <c r="B47" s="2007"/>
      <c r="G47" s="1998"/>
      <c r="H47" s="1998"/>
      <c r="I47" s="1998"/>
      <c r="J47" s="1998"/>
    </row>
    <row r="48" spans="2:13" ht="11.1" customHeight="1" x14ac:dyDescent="0.2">
      <c r="B48" s="2007"/>
      <c r="G48" s="1998"/>
      <c r="H48" s="1998"/>
      <c r="I48" s="1998"/>
      <c r="J48" s="1998"/>
    </row>
    <row r="49" spans="7:13" ht="13.5" customHeight="1" x14ac:dyDescent="0.2">
      <c r="M49" s="2077"/>
    </row>
    <row r="50" spans="7:13" ht="13.5" customHeight="1" x14ac:dyDescent="0.2">
      <c r="M50" s="2077"/>
    </row>
    <row r="51" spans="7:13" ht="13.5" customHeight="1" x14ac:dyDescent="0.2">
      <c r="M51" s="2077"/>
    </row>
    <row r="52" spans="7:13" ht="13.5" customHeight="1" x14ac:dyDescent="0.2">
      <c r="G52" s="1998"/>
      <c r="H52" s="1998"/>
      <c r="I52" s="1998"/>
      <c r="J52" s="1998"/>
    </row>
    <row r="53" spans="7:13" ht="13.5" customHeight="1" x14ac:dyDescent="0.2">
      <c r="G53" s="1998"/>
      <c r="H53" s="1998"/>
      <c r="I53" s="1998"/>
      <c r="J53" s="1998"/>
    </row>
    <row r="54" spans="7:13" ht="13.5" customHeight="1" x14ac:dyDescent="0.2">
      <c r="G54" s="1998"/>
      <c r="H54" s="1998"/>
      <c r="I54" s="1998"/>
      <c r="J54" s="1998"/>
    </row>
    <row r="55" spans="7:13" ht="13.5" customHeight="1" x14ac:dyDescent="0.2">
      <c r="G55" s="1998"/>
      <c r="H55" s="1998"/>
      <c r="I55" s="1998"/>
      <c r="J55" s="1998"/>
    </row>
    <row r="56" spans="7:13" ht="13.5" customHeight="1" x14ac:dyDescent="0.2">
      <c r="G56" s="1998"/>
      <c r="H56" s="1998"/>
      <c r="I56" s="1998"/>
      <c r="J56" s="1998"/>
    </row>
    <row r="57" spans="7:13" ht="13.5" customHeight="1" x14ac:dyDescent="0.2">
      <c r="G57" s="1998"/>
      <c r="H57" s="1998"/>
      <c r="I57" s="1998"/>
      <c r="J57" s="1998"/>
    </row>
    <row r="58" spans="7:13" ht="13.5" customHeight="1" x14ac:dyDescent="0.2">
      <c r="G58" s="1998"/>
      <c r="H58" s="1998"/>
      <c r="I58" s="1998"/>
      <c r="J58" s="199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BreakPreview" zoomScale="60" zoomScaleNormal="69" workbookViewId="0">
      <selection activeCell="K23" sqref="K23"/>
    </sheetView>
  </sheetViews>
  <sheetFormatPr defaultColWidth="33.5703125" defaultRowHeight="12.75" x14ac:dyDescent="0.2"/>
  <cols>
    <col min="1" max="1" width="0.140625" style="2090" customWidth="1"/>
    <col min="2" max="2" width="36.85546875" style="2090" customWidth="1"/>
    <col min="3" max="3" width="8.7109375" style="2153" customWidth="1"/>
    <col min="4" max="4" width="12.7109375" style="2154" customWidth="1"/>
    <col min="5" max="6" width="11.7109375" style="2090" customWidth="1"/>
    <col min="7" max="7" width="11.7109375" style="2093" customWidth="1"/>
    <col min="8" max="8" width="13.7109375" style="2093" bestFit="1" customWidth="1"/>
    <col min="9" max="9" width="11.7109375" style="2093" customWidth="1"/>
    <col min="10" max="10" width="13.7109375" style="2093" customWidth="1"/>
    <col min="11" max="11" width="11.7109375" style="2093" customWidth="1"/>
    <col min="12" max="12" width="10" style="2093" customWidth="1"/>
    <col min="13" max="13" width="11.7109375" style="2090" customWidth="1"/>
    <col min="14" max="14" width="2.7109375" style="2090" customWidth="1"/>
    <col min="15" max="16384" width="33.5703125" style="2090"/>
  </cols>
  <sheetData>
    <row r="1" spans="2:14" ht="11.85" customHeight="1" x14ac:dyDescent="0.2">
      <c r="B1" s="2689" t="str">
        <f>'Single Audit Cover'!A7</f>
        <v>Grayslake  CCSD 46</v>
      </c>
      <c r="C1" s="2747"/>
      <c r="D1" s="2747"/>
      <c r="E1" s="2747"/>
      <c r="F1" s="2747"/>
      <c r="G1" s="2747"/>
      <c r="H1" s="2747"/>
      <c r="I1" s="2747"/>
      <c r="J1" s="2747"/>
      <c r="K1" s="2747"/>
      <c r="L1" s="2747"/>
      <c r="M1" s="2747"/>
    </row>
    <row r="2" spans="2:14" ht="15" x14ac:dyDescent="0.2">
      <c r="B2" s="2736">
        <f>'Single Audit Cover'!E7</f>
        <v>34049046004</v>
      </c>
      <c r="C2" s="2736"/>
      <c r="D2" s="2736"/>
      <c r="E2" s="2736"/>
      <c r="F2" s="2736"/>
      <c r="G2" s="2736"/>
      <c r="H2" s="2736"/>
      <c r="I2" s="2736"/>
      <c r="J2" s="2736"/>
      <c r="K2" s="2736"/>
      <c r="L2" s="2736"/>
      <c r="M2" s="2736"/>
      <c r="N2" s="2100"/>
    </row>
    <row r="3" spans="2:14" ht="15" x14ac:dyDescent="0.2">
      <c r="B3" s="2748" t="s">
        <v>1281</v>
      </c>
      <c r="C3" s="2748"/>
      <c r="D3" s="2748"/>
      <c r="E3" s="2748"/>
      <c r="F3" s="2748"/>
      <c r="G3" s="2748"/>
      <c r="H3" s="2748"/>
      <c r="I3" s="2748"/>
      <c r="J3" s="2748"/>
      <c r="K3" s="2748"/>
      <c r="L3" s="2748"/>
      <c r="M3" s="2748"/>
      <c r="N3" s="2100"/>
    </row>
    <row r="4" spans="2:14" ht="15" x14ac:dyDescent="0.2">
      <c r="B4" s="2749" t="str">
        <f>'Single Audit Cover'!A4</f>
        <v>Year Ending June 30, 2018</v>
      </c>
      <c r="C4" s="2749"/>
      <c r="D4" s="2749"/>
      <c r="E4" s="2749"/>
      <c r="F4" s="2749"/>
      <c r="G4" s="2749"/>
      <c r="H4" s="2749"/>
      <c r="I4" s="2749"/>
      <c r="J4" s="2749"/>
      <c r="K4" s="2749"/>
      <c r="L4" s="2749"/>
      <c r="M4" s="2749"/>
      <c r="N4" s="2100"/>
    </row>
    <row r="6" spans="2:14" x14ac:dyDescent="0.2">
      <c r="B6" s="2101"/>
      <c r="C6" s="2102"/>
      <c r="D6" s="2103" t="s">
        <v>1327</v>
      </c>
      <c r="E6" s="2104" t="s">
        <v>548</v>
      </c>
      <c r="F6" s="2105"/>
      <c r="G6" s="2106" t="s">
        <v>1834</v>
      </c>
      <c r="H6" s="2104"/>
      <c r="I6" s="2104"/>
      <c r="J6" s="2104"/>
      <c r="K6" s="2107"/>
      <c r="L6" s="2108"/>
      <c r="M6" s="2109"/>
    </row>
    <row r="7" spans="2:14" x14ac:dyDescent="0.2">
      <c r="B7" s="2110" t="s">
        <v>1662</v>
      </c>
      <c r="C7" s="2111"/>
      <c r="D7" s="2112"/>
      <c r="E7" s="2113"/>
      <c r="F7" s="2114"/>
      <c r="G7" s="2113"/>
      <c r="H7" s="2115" t="s">
        <v>1324</v>
      </c>
      <c r="I7" s="2113"/>
      <c r="J7" s="2116" t="s">
        <v>1324</v>
      </c>
      <c r="K7" s="2117"/>
      <c r="L7" s="2118" t="s">
        <v>1322</v>
      </c>
      <c r="M7" s="2119"/>
    </row>
    <row r="8" spans="2:14" x14ac:dyDescent="0.2">
      <c r="B8" s="2170"/>
      <c r="C8" s="2111" t="s">
        <v>1326</v>
      </c>
      <c r="D8" s="2112" t="s">
        <v>1325</v>
      </c>
      <c r="E8" s="2120" t="s">
        <v>1324</v>
      </c>
      <c r="F8" s="2121" t="s">
        <v>1324</v>
      </c>
      <c r="G8" s="2122" t="s">
        <v>1324</v>
      </c>
      <c r="H8" s="2115" t="s">
        <v>1663</v>
      </c>
      <c r="I8" s="2117" t="s">
        <v>1324</v>
      </c>
      <c r="J8" s="2116" t="s">
        <v>1947</v>
      </c>
      <c r="K8" s="2117" t="s">
        <v>1323</v>
      </c>
      <c r="L8" s="2118" t="s">
        <v>1319</v>
      </c>
      <c r="M8" s="2119" t="s">
        <v>30</v>
      </c>
    </row>
    <row r="9" spans="2:14" ht="14.25" x14ac:dyDescent="0.2">
      <c r="B9" s="2123" t="s">
        <v>1321</v>
      </c>
      <c r="C9" s="2111" t="s">
        <v>1835</v>
      </c>
      <c r="D9" s="2112" t="s">
        <v>1836</v>
      </c>
      <c r="E9" s="2120" t="s">
        <v>1663</v>
      </c>
      <c r="F9" s="2121" t="s">
        <v>1947</v>
      </c>
      <c r="G9" s="2122" t="s">
        <v>1663</v>
      </c>
      <c r="H9" s="2115" t="s">
        <v>1664</v>
      </c>
      <c r="I9" s="2117" t="s">
        <v>1947</v>
      </c>
      <c r="J9" s="2116" t="s">
        <v>1664</v>
      </c>
      <c r="K9" s="2117" t="s">
        <v>1320</v>
      </c>
      <c r="L9" s="2124" t="s">
        <v>1665</v>
      </c>
      <c r="M9" s="2119"/>
    </row>
    <row r="10" spans="2:14" ht="11.85" customHeight="1" x14ac:dyDescent="0.2">
      <c r="B10" s="2123" t="s">
        <v>1318</v>
      </c>
      <c r="C10" s="2125" t="s">
        <v>1317</v>
      </c>
      <c r="D10" s="2126" t="s">
        <v>1316</v>
      </c>
      <c r="E10" s="2127" t="s">
        <v>1315</v>
      </c>
      <c r="F10" s="2128" t="s">
        <v>1314</v>
      </c>
      <c r="G10" s="2129" t="s">
        <v>1313</v>
      </c>
      <c r="H10" s="2130" t="s">
        <v>1328</v>
      </c>
      <c r="I10" s="2131" t="s">
        <v>1312</v>
      </c>
      <c r="J10" s="2132" t="s">
        <v>1328</v>
      </c>
      <c r="K10" s="2133" t="s">
        <v>1311</v>
      </c>
      <c r="L10" s="2133" t="s">
        <v>1310</v>
      </c>
      <c r="M10" s="2134" t="s">
        <v>1309</v>
      </c>
    </row>
    <row r="11" spans="2:14" ht="20.100000000000001" customHeight="1" x14ac:dyDescent="0.2">
      <c r="B11" s="2174" t="s">
        <v>2186</v>
      </c>
      <c r="C11" s="2175"/>
      <c r="D11" s="2176"/>
      <c r="E11" s="2177"/>
      <c r="F11" s="2177"/>
      <c r="G11" s="2177"/>
      <c r="H11" s="2177"/>
      <c r="I11" s="2177"/>
      <c r="J11" s="2136"/>
      <c r="K11" s="2136"/>
      <c r="L11" s="2136"/>
      <c r="M11" s="2136"/>
    </row>
    <row r="12" spans="2:14" ht="20.100000000000001" customHeight="1" x14ac:dyDescent="0.2">
      <c r="B12" s="2181" t="s">
        <v>2187</v>
      </c>
      <c r="C12" s="2178"/>
      <c r="D12" s="2179"/>
      <c r="E12" s="2180"/>
      <c r="F12" s="2180"/>
      <c r="G12" s="2180"/>
      <c r="H12" s="2180"/>
      <c r="I12" s="2180"/>
      <c r="J12" s="2139"/>
      <c r="K12" s="2139"/>
      <c r="L12" s="2136"/>
      <c r="M12" s="2139"/>
    </row>
    <row r="13" spans="2:14" ht="20.100000000000001" customHeight="1" x14ac:dyDescent="0.2">
      <c r="B13" s="2182" t="s">
        <v>2188</v>
      </c>
      <c r="C13" s="2178">
        <v>93.787999999999997</v>
      </c>
      <c r="D13" s="2179" t="s">
        <v>2189</v>
      </c>
      <c r="E13" s="2180"/>
      <c r="F13" s="2180">
        <v>59268</v>
      </c>
      <c r="G13" s="2180"/>
      <c r="H13" s="2180"/>
      <c r="I13" s="2180">
        <v>59268</v>
      </c>
      <c r="J13" s="2139"/>
      <c r="K13" s="2139"/>
      <c r="L13" s="2136">
        <f t="shared" ref="L13" si="0">+G13+I13+K13</f>
        <v>59268</v>
      </c>
      <c r="M13" s="2139" t="s">
        <v>2162</v>
      </c>
    </row>
    <row r="14" spans="2:14" ht="20.100000000000001" customHeight="1" x14ac:dyDescent="0.2">
      <c r="B14" s="2182"/>
      <c r="C14" s="2178"/>
      <c r="D14" s="2179"/>
      <c r="E14" s="2180"/>
      <c r="F14" s="2180"/>
      <c r="G14" s="2180"/>
      <c r="H14" s="2180"/>
      <c r="I14" s="2180"/>
      <c r="J14" s="2139"/>
      <c r="K14" s="2139"/>
      <c r="L14" s="2136"/>
      <c r="M14" s="2139"/>
    </row>
    <row r="15" spans="2:14" ht="20.100000000000001" customHeight="1" x14ac:dyDescent="0.2">
      <c r="B15" s="2174" t="s">
        <v>2190</v>
      </c>
      <c r="C15" s="2178"/>
      <c r="D15" s="2179"/>
      <c r="E15" s="2180">
        <f>E13</f>
        <v>0</v>
      </c>
      <c r="F15" s="2180">
        <f>F13</f>
        <v>59268</v>
      </c>
      <c r="G15" s="2180">
        <f>G13</f>
        <v>0</v>
      </c>
      <c r="H15" s="2180"/>
      <c r="I15" s="2180">
        <f>I13</f>
        <v>59268</v>
      </c>
      <c r="J15" s="2139"/>
      <c r="K15" s="2139"/>
      <c r="L15" s="2136">
        <f>G15+I15+K15</f>
        <v>59268</v>
      </c>
      <c r="M15" s="2139"/>
    </row>
    <row r="16" spans="2:14" ht="20.100000000000001" customHeight="1" x14ac:dyDescent="0.2">
      <c r="B16" s="2182"/>
      <c r="C16" s="2178"/>
      <c r="D16" s="2179"/>
      <c r="E16" s="2180"/>
      <c r="F16" s="2180"/>
      <c r="G16" s="2180"/>
      <c r="H16" s="2180"/>
      <c r="I16" s="2180"/>
      <c r="J16" s="2139"/>
      <c r="K16" s="2139"/>
      <c r="L16" s="2136"/>
      <c r="M16" s="2139"/>
    </row>
    <row r="17" spans="2:14" ht="20.100000000000001" customHeight="1" x14ac:dyDescent="0.2">
      <c r="B17" s="2183" t="s">
        <v>2191</v>
      </c>
      <c r="C17" s="2137"/>
      <c r="D17" s="2138"/>
      <c r="E17" s="2139">
        <f>' SEFA'!E23+' SEFA (1)'!E26+' SEFA (2)'!E15</f>
        <v>707844</v>
      </c>
      <c r="F17" s="2139">
        <f>' SEFA'!F23+' SEFA (1)'!F26+' SEFA (2)'!F15</f>
        <v>1467551</v>
      </c>
      <c r="G17" s="2139">
        <f>' SEFA'!G23+' SEFA (1)'!G26+' SEFA (2)'!G15</f>
        <v>707844</v>
      </c>
      <c r="H17" s="2139"/>
      <c r="I17" s="2139">
        <f>' SEFA'!I23+' SEFA (1)'!I26+' SEFA (2)'!I15</f>
        <v>1467551</v>
      </c>
      <c r="J17" s="2139"/>
      <c r="K17" s="2139"/>
      <c r="L17" s="2136">
        <f>' SEFA'!L23+' SEFA (1)'!L26+' SEFA (2)'!L15</f>
        <v>2175395</v>
      </c>
      <c r="M17" s="2139"/>
    </row>
    <row r="18" spans="2:14" ht="20.100000000000001" customHeight="1" x14ac:dyDescent="0.2">
      <c r="B18" s="2185"/>
      <c r="C18" s="2137"/>
      <c r="D18" s="2138"/>
      <c r="E18" s="2139"/>
      <c r="F18" s="2139"/>
      <c r="G18" s="2139"/>
      <c r="H18" s="2139"/>
      <c r="I18" s="2139"/>
      <c r="J18" s="2139"/>
      <c r="K18" s="2139"/>
      <c r="L18" s="2136"/>
      <c r="M18" s="2139"/>
    </row>
    <row r="19" spans="2:14" ht="20.100000000000001" customHeight="1" x14ac:dyDescent="0.2">
      <c r="B19" s="2186" t="s">
        <v>2192</v>
      </c>
      <c r="C19" s="2137"/>
      <c r="D19" s="2138"/>
      <c r="E19" s="2139"/>
      <c r="F19" s="2139"/>
      <c r="G19" s="2139"/>
      <c r="H19" s="2139"/>
      <c r="I19" s="2139"/>
      <c r="J19" s="2139"/>
      <c r="K19" s="2139"/>
      <c r="L19" s="2136"/>
      <c r="M19" s="2139"/>
    </row>
    <row r="20" spans="2:14" ht="20.100000000000001" customHeight="1" x14ac:dyDescent="0.2">
      <c r="B20" s="2186" t="s">
        <v>2193</v>
      </c>
      <c r="C20" s="2137"/>
      <c r="D20" s="2138"/>
      <c r="E20" s="2139"/>
      <c r="F20" s="2139"/>
      <c r="G20" s="2139"/>
      <c r="H20" s="2139"/>
      <c r="I20" s="2139"/>
      <c r="J20" s="2139"/>
      <c r="K20" s="2139"/>
      <c r="L20" s="2136"/>
      <c r="M20" s="2139"/>
    </row>
    <row r="21" spans="2:14" ht="20.100000000000001" customHeight="1" x14ac:dyDescent="0.2">
      <c r="B21" s="2135"/>
      <c r="C21" s="2137"/>
      <c r="D21" s="2138"/>
      <c r="E21" s="2139"/>
      <c r="F21" s="2139"/>
      <c r="G21" s="2139"/>
      <c r="H21" s="2139"/>
      <c r="I21" s="2139"/>
      <c r="J21" s="2139"/>
      <c r="K21" s="2139"/>
      <c r="L21" s="2136"/>
      <c r="M21" s="2139"/>
    </row>
    <row r="22" spans="2:14" ht="20.100000000000001" customHeight="1" x14ac:dyDescent="0.2">
      <c r="B22" s="2171"/>
      <c r="C22" s="2137"/>
      <c r="D22" s="2138"/>
      <c r="E22" s="2139"/>
      <c r="F22" s="2139"/>
      <c r="G22" s="2139"/>
      <c r="H22" s="2139"/>
      <c r="I22" s="2139"/>
      <c r="J22" s="2139"/>
      <c r="K22" s="2139"/>
      <c r="L22" s="2136"/>
      <c r="M22" s="2139"/>
    </row>
    <row r="23" spans="2:14" ht="20.100000000000001" customHeight="1" x14ac:dyDescent="0.2">
      <c r="B23" s="2172"/>
      <c r="C23" s="2137"/>
      <c r="D23" s="2138"/>
      <c r="E23" s="2139"/>
      <c r="F23" s="2173"/>
      <c r="G23" s="2139"/>
      <c r="H23" s="2139"/>
      <c r="I23" s="2139"/>
      <c r="J23" s="2139"/>
      <c r="K23" s="2139"/>
      <c r="L23" s="2136"/>
      <c r="M23" s="2139"/>
    </row>
    <row r="24" spans="2:14" ht="20.100000000000001" customHeight="1" x14ac:dyDescent="0.2">
      <c r="B24" s="2172"/>
      <c r="C24" s="2137"/>
      <c r="D24" s="2138"/>
      <c r="E24" s="2139"/>
      <c r="F24" s="2173"/>
      <c r="G24" s="2139"/>
      <c r="H24" s="2139"/>
      <c r="I24" s="2139"/>
      <c r="J24" s="2139"/>
      <c r="K24" s="2139"/>
      <c r="L24" s="2136"/>
      <c r="M24" s="2139"/>
    </row>
    <row r="25" spans="2:14" ht="20.100000000000001" customHeight="1" x14ac:dyDescent="0.2">
      <c r="B25" s="2135"/>
      <c r="C25" s="2137"/>
      <c r="D25" s="2138"/>
      <c r="E25" s="2139"/>
      <c r="F25" s="2139"/>
      <c r="G25" s="2139"/>
      <c r="H25" s="2139"/>
      <c r="I25" s="2139"/>
      <c r="J25" s="2139"/>
      <c r="K25" s="2139"/>
      <c r="L25" s="2136"/>
      <c r="M25" s="2139"/>
    </row>
    <row r="26" spans="2:14" ht="20.100000000000001" customHeight="1" x14ac:dyDescent="0.2">
      <c r="B26" s="2135"/>
      <c r="C26" s="2137"/>
      <c r="D26" s="2138"/>
      <c r="E26" s="2139"/>
      <c r="F26" s="2139"/>
      <c r="G26" s="2139"/>
      <c r="H26" s="2139"/>
      <c r="I26" s="2139"/>
      <c r="J26" s="2139"/>
      <c r="K26" s="2139"/>
      <c r="L26" s="2136"/>
      <c r="M26" s="2139"/>
    </row>
    <row r="27" spans="2:14" ht="20.100000000000001" customHeight="1" x14ac:dyDescent="0.2">
      <c r="B27" s="2135"/>
      <c r="C27" s="2137"/>
      <c r="D27" s="2138"/>
      <c r="E27" s="2139"/>
      <c r="F27" s="2139"/>
      <c r="G27" s="2139"/>
      <c r="H27" s="2139"/>
      <c r="I27" s="2139"/>
      <c r="J27" s="2139"/>
      <c r="K27" s="2139"/>
      <c r="L27" s="2136"/>
      <c r="M27" s="2139"/>
      <c r="N27" s="2140"/>
    </row>
    <row r="28" spans="2:14" ht="12.75" customHeight="1" x14ac:dyDescent="0.2">
      <c r="B28" s="2141"/>
      <c r="C28" s="2142"/>
      <c r="D28" s="2143"/>
      <c r="E28" s="2144"/>
      <c r="F28" s="2144"/>
      <c r="G28" s="2144"/>
      <c r="H28" s="2144"/>
      <c r="I28" s="2144"/>
      <c r="J28" s="2144"/>
      <c r="K28" s="2144"/>
      <c r="L28" s="2144"/>
      <c r="M28" s="2144"/>
      <c r="N28" s="2140"/>
    </row>
    <row r="29" spans="2:14" x14ac:dyDescent="0.2">
      <c r="B29" s="2092"/>
      <c r="C29" s="2145"/>
      <c r="D29" s="2146"/>
      <c r="E29" s="2092"/>
      <c r="F29" s="2092"/>
      <c r="G29" s="2091"/>
      <c r="H29" s="2091"/>
      <c r="I29" s="2091"/>
      <c r="J29" s="2091"/>
      <c r="K29" s="2091"/>
      <c r="L29" s="2091"/>
      <c r="M29" s="2092"/>
      <c r="N29" s="2140"/>
    </row>
    <row r="30" spans="2:14" ht="13.5" customHeight="1" x14ac:dyDescent="0.2">
      <c r="B30" s="2097" t="s">
        <v>1837</v>
      </c>
      <c r="C30" s="2145"/>
      <c r="D30" s="2146"/>
      <c r="E30" s="2092"/>
      <c r="F30" s="2092"/>
      <c r="G30" s="2091"/>
      <c r="H30" s="2091"/>
      <c r="I30" s="2091"/>
      <c r="J30" s="2091"/>
      <c r="K30" s="2091"/>
      <c r="L30" s="2091"/>
      <c r="M30" s="2092"/>
      <c r="N30" s="2140"/>
    </row>
    <row r="31" spans="2:14" ht="8.25" customHeight="1" x14ac:dyDescent="0.2">
      <c r="B31" s="2097"/>
      <c r="C31" s="2145"/>
      <c r="D31" s="2146"/>
      <c r="E31" s="2092"/>
      <c r="F31" s="2092"/>
      <c r="G31" s="2091"/>
      <c r="H31" s="2091"/>
      <c r="I31" s="2091"/>
      <c r="J31" s="2091"/>
      <c r="K31" s="2091"/>
      <c r="L31" s="2091"/>
      <c r="M31" s="2092"/>
      <c r="N31" s="2140"/>
    </row>
    <row r="32" spans="2:14" x14ac:dyDescent="0.2">
      <c r="B32" s="2147" t="s">
        <v>1948</v>
      </c>
      <c r="C32" s="2148"/>
      <c r="D32" s="2149"/>
      <c r="E32" s="2150"/>
      <c r="F32" s="2150"/>
      <c r="G32" s="2150"/>
      <c r="H32" s="2150"/>
      <c r="I32" s="2090"/>
      <c r="J32" s="2090"/>
    </row>
    <row r="33" spans="2:13" x14ac:dyDescent="0.2">
      <c r="B33" s="2095"/>
      <c r="C33" s="2151"/>
      <c r="D33" s="2152"/>
      <c r="E33" s="2096"/>
      <c r="F33" s="2096"/>
      <c r="G33" s="2090"/>
      <c r="H33" s="2090"/>
      <c r="I33" s="2090"/>
      <c r="J33" s="2090"/>
    </row>
    <row r="34" spans="2:13" ht="13.5" customHeight="1" x14ac:dyDescent="0.2">
      <c r="B34" s="2094" t="s">
        <v>1308</v>
      </c>
      <c r="G34" s="2090"/>
      <c r="H34" s="2090"/>
      <c r="I34" s="2090"/>
      <c r="J34" s="2090"/>
    </row>
    <row r="35" spans="2:13" ht="13.5" customHeight="1" x14ac:dyDescent="0.2">
      <c r="B35" s="2155"/>
      <c r="C35" s="2156"/>
      <c r="D35" s="2157"/>
      <c r="E35" s="2098"/>
      <c r="F35" s="2098"/>
      <c r="G35" s="2098"/>
      <c r="H35" s="2098"/>
      <c r="I35" s="2098"/>
      <c r="J35" s="2098"/>
      <c r="K35" s="2158"/>
      <c r="L35" s="2158"/>
      <c r="M35" s="2098"/>
    </row>
    <row r="36" spans="2:13" ht="3" customHeight="1" x14ac:dyDescent="0.2">
      <c r="B36" s="2159"/>
      <c r="G36" s="2090"/>
      <c r="H36" s="2090"/>
      <c r="I36" s="2090"/>
      <c r="J36" s="2090"/>
    </row>
    <row r="37" spans="2:13" ht="11.25" customHeight="1" x14ac:dyDescent="0.2">
      <c r="B37" s="2160" t="s">
        <v>1838</v>
      </c>
      <c r="C37" s="2161"/>
      <c r="D37" s="2161"/>
      <c r="E37" s="2161"/>
      <c r="F37" s="2161"/>
      <c r="G37" s="2161"/>
      <c r="H37" s="2161"/>
      <c r="I37" s="2162"/>
      <c r="J37" s="2162"/>
      <c r="K37" s="2162"/>
      <c r="L37" s="2162"/>
      <c r="M37" s="2162"/>
    </row>
    <row r="38" spans="2:13" ht="11.25" customHeight="1" x14ac:dyDescent="0.2">
      <c r="B38" s="2163" t="s">
        <v>1666</v>
      </c>
      <c r="C38" s="2162"/>
      <c r="D38" s="2162"/>
      <c r="E38" s="2162"/>
      <c r="F38" s="2162"/>
      <c r="G38" s="2162"/>
      <c r="H38" s="2162"/>
      <c r="I38" s="2162"/>
      <c r="J38" s="2162"/>
      <c r="K38" s="2162"/>
      <c r="L38" s="2162"/>
      <c r="M38" s="2162"/>
    </row>
    <row r="39" spans="2:13" ht="3.95" customHeight="1" x14ac:dyDescent="0.2">
      <c r="B39" s="2163"/>
      <c r="C39" s="2162"/>
      <c r="D39" s="2162"/>
      <c r="E39" s="2162"/>
      <c r="F39" s="2162"/>
      <c r="G39" s="2162"/>
      <c r="H39" s="2162"/>
      <c r="I39" s="2162"/>
      <c r="J39" s="2162"/>
      <c r="K39" s="2162"/>
      <c r="L39" s="2162"/>
      <c r="M39" s="2162"/>
    </row>
    <row r="40" spans="2:13" ht="11.25" customHeight="1" x14ac:dyDescent="0.2">
      <c r="B40" s="2160" t="s">
        <v>1839</v>
      </c>
      <c r="C40" s="2162"/>
      <c r="D40" s="2162"/>
      <c r="E40" s="2162"/>
      <c r="F40" s="2162"/>
      <c r="G40" s="2162"/>
      <c r="H40" s="2162"/>
      <c r="I40" s="2162"/>
      <c r="J40" s="2162"/>
      <c r="K40" s="2162"/>
      <c r="L40" s="2162"/>
      <c r="M40" s="2162"/>
    </row>
    <row r="41" spans="2:13" ht="11.25" customHeight="1" x14ac:dyDescent="0.2">
      <c r="B41" s="2099" t="s">
        <v>1667</v>
      </c>
      <c r="C41" s="2164"/>
      <c r="D41" s="2165"/>
      <c r="E41" s="2099"/>
      <c r="F41" s="2099"/>
      <c r="G41" s="2099"/>
      <c r="H41" s="2099"/>
      <c r="I41" s="2099"/>
      <c r="J41" s="2099"/>
      <c r="K41" s="2166"/>
      <c r="L41" s="2166"/>
      <c r="M41" s="2099"/>
    </row>
    <row r="42" spans="2:13" ht="0.75" customHeight="1" x14ac:dyDescent="0.2">
      <c r="B42" s="2099"/>
      <c r="C42" s="2164"/>
      <c r="D42" s="2165"/>
      <c r="E42" s="2099"/>
      <c r="F42" s="2099"/>
      <c r="G42" s="2099"/>
      <c r="H42" s="2099"/>
      <c r="I42" s="2099"/>
      <c r="J42" s="2099"/>
      <c r="K42" s="2166"/>
      <c r="L42" s="2166"/>
      <c r="M42" s="2099"/>
    </row>
    <row r="43" spans="2:13" ht="11.25" customHeight="1" x14ac:dyDescent="0.2">
      <c r="B43" s="2167" t="s">
        <v>1840</v>
      </c>
      <c r="C43" s="2164"/>
      <c r="D43" s="2165"/>
      <c r="E43" s="2099"/>
      <c r="F43" s="2099"/>
      <c r="G43" s="2099"/>
      <c r="H43" s="2099"/>
      <c r="I43" s="2099"/>
      <c r="J43" s="2099"/>
      <c r="K43" s="2166"/>
      <c r="L43" s="2166"/>
      <c r="M43" s="2099"/>
    </row>
    <row r="44" spans="2:13" ht="3.95" customHeight="1" x14ac:dyDescent="0.2">
      <c r="B44" s="2167"/>
      <c r="C44" s="2164"/>
      <c r="D44" s="2165"/>
      <c r="E44" s="2099"/>
      <c r="F44" s="2099"/>
      <c r="G44" s="2099"/>
      <c r="H44" s="2099"/>
      <c r="I44" s="2099"/>
      <c r="J44" s="2099"/>
      <c r="K44" s="2166"/>
      <c r="L44" s="2166"/>
      <c r="M44" s="2099"/>
    </row>
    <row r="45" spans="2:13" ht="11.25" customHeight="1" x14ac:dyDescent="0.2">
      <c r="B45" s="2168" t="s">
        <v>1841</v>
      </c>
      <c r="C45" s="2164"/>
      <c r="D45" s="2165"/>
      <c r="E45" s="2099"/>
      <c r="F45" s="2099"/>
      <c r="G45" s="2099"/>
      <c r="H45" s="2099"/>
      <c r="I45" s="2099"/>
      <c r="J45" s="2099"/>
      <c r="K45" s="2166"/>
      <c r="L45" s="2166"/>
      <c r="M45" s="2099"/>
    </row>
    <row r="46" spans="2:13" ht="11.25" customHeight="1" x14ac:dyDescent="0.2">
      <c r="B46" s="2099" t="s">
        <v>1668</v>
      </c>
      <c r="G46" s="2090"/>
      <c r="H46" s="2090"/>
      <c r="I46" s="2090"/>
      <c r="J46" s="2090"/>
    </row>
    <row r="47" spans="2:13" ht="11.1" customHeight="1" x14ac:dyDescent="0.2">
      <c r="B47" s="2099"/>
      <c r="G47" s="2090"/>
      <c r="H47" s="2090"/>
      <c r="I47" s="2090"/>
      <c r="J47" s="2090"/>
    </row>
    <row r="48" spans="2:13" ht="11.1" customHeight="1" x14ac:dyDescent="0.2">
      <c r="B48" s="2099"/>
      <c r="G48" s="2090"/>
      <c r="H48" s="2090"/>
      <c r="I48" s="2090"/>
      <c r="J48" s="2090"/>
    </row>
    <row r="49" spans="7:13" ht="13.5" customHeight="1" x14ac:dyDescent="0.2">
      <c r="M49" s="2169"/>
    </row>
    <row r="50" spans="7:13" ht="13.5" customHeight="1" x14ac:dyDescent="0.2">
      <c r="M50" s="2169"/>
    </row>
    <row r="51" spans="7:13" ht="13.5" customHeight="1" x14ac:dyDescent="0.2">
      <c r="M51" s="2169"/>
    </row>
    <row r="52" spans="7:13" ht="13.5" customHeight="1" x14ac:dyDescent="0.2">
      <c r="G52" s="2090"/>
      <c r="H52" s="2090"/>
      <c r="I52" s="2090"/>
      <c r="J52" s="2090"/>
    </row>
    <row r="53" spans="7:13" ht="13.5" customHeight="1" x14ac:dyDescent="0.2">
      <c r="G53" s="2090"/>
      <c r="H53" s="2090"/>
      <c r="I53" s="2090"/>
      <c r="J53" s="2090"/>
    </row>
    <row r="54" spans="7:13" ht="13.5" customHeight="1" x14ac:dyDescent="0.2">
      <c r="G54" s="2090"/>
      <c r="H54" s="2090"/>
      <c r="I54" s="2090"/>
      <c r="J54" s="2090"/>
    </row>
    <row r="55" spans="7:13" ht="13.5" customHeight="1" x14ac:dyDescent="0.2">
      <c r="G55" s="2090"/>
      <c r="H55" s="2090"/>
      <c r="I55" s="2090"/>
      <c r="J55" s="2090"/>
    </row>
    <row r="56" spans="7:13" ht="13.5" customHeight="1" x14ac:dyDescent="0.2">
      <c r="G56" s="2090"/>
      <c r="H56" s="2090"/>
      <c r="I56" s="2090"/>
      <c r="J56" s="2090"/>
    </row>
    <row r="57" spans="7:13" ht="13.5" customHeight="1" x14ac:dyDescent="0.2">
      <c r="G57" s="2090"/>
      <c r="H57" s="2090"/>
      <c r="I57" s="2090"/>
      <c r="J57" s="2090"/>
    </row>
    <row r="58" spans="7:13" ht="13.5" customHeight="1" x14ac:dyDescent="0.2">
      <c r="G58" s="2090"/>
      <c r="H58" s="2090"/>
      <c r="I58" s="2090"/>
      <c r="J58" s="2090"/>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3" zoomScale="110" zoomScaleNormal="110" workbookViewId="0">
      <selection activeCell="G41" sqref="G41:I41"/>
    </sheetView>
  </sheetViews>
  <sheetFormatPr defaultColWidth="9.140625" defaultRowHeight="12.75" x14ac:dyDescent="0.2"/>
  <cols>
    <col min="1" max="1" width="1.42578125" style="1298" customWidth="1"/>
    <col min="2" max="2" width="24.42578125" style="1353"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754" t="str">
        <f>'Single Audit Cover'!A7</f>
        <v>Grayslake  CCSD 46</v>
      </c>
      <c r="C1" s="2755"/>
      <c r="D1" s="2755"/>
      <c r="E1" s="2755"/>
      <c r="F1" s="2755"/>
      <c r="G1" s="2755"/>
      <c r="H1" s="2755"/>
      <c r="I1" s="2755"/>
      <c r="J1" s="1418"/>
    </row>
    <row r="2" spans="2:10" s="317" customFormat="1" ht="12.75" customHeight="1" x14ac:dyDescent="0.2">
      <c r="B2" s="2756">
        <f>'Single Audit Cover'!E7</f>
        <v>34049046004</v>
      </c>
      <c r="C2" s="2757"/>
      <c r="D2" s="2757"/>
      <c r="E2" s="2757"/>
      <c r="F2" s="2757"/>
      <c r="G2" s="2757"/>
      <c r="H2" s="2757"/>
      <c r="I2" s="2757"/>
      <c r="J2" s="1418"/>
    </row>
    <row r="3" spans="2:10" s="317" customFormat="1" ht="12.75" customHeight="1" x14ac:dyDescent="0.2">
      <c r="B3" s="2758" t="s">
        <v>1347</v>
      </c>
      <c r="C3" s="2759"/>
      <c r="D3" s="2759"/>
      <c r="E3" s="2759"/>
      <c r="F3" s="2759"/>
      <c r="G3" s="2759"/>
      <c r="H3" s="2759"/>
      <c r="I3" s="2759"/>
      <c r="J3" s="1419"/>
    </row>
    <row r="4" spans="2:10" s="317" customFormat="1" ht="12.75" customHeight="1" x14ac:dyDescent="0.2">
      <c r="B4" s="2758" t="str">
        <f>'Single Audit Cover'!A4</f>
        <v>Year Ending June 30, 2018</v>
      </c>
      <c r="C4" s="2759"/>
      <c r="D4" s="2759"/>
      <c r="E4" s="2759"/>
      <c r="F4" s="2759"/>
      <c r="G4" s="2759"/>
      <c r="H4" s="2759"/>
      <c r="I4" s="2759"/>
    </row>
    <row r="5" spans="2:10" s="317" customFormat="1" ht="6.2" customHeight="1" x14ac:dyDescent="0.2">
      <c r="B5" s="1420" t="s">
        <v>1231</v>
      </c>
      <c r="C5" s="1292"/>
      <c r="D5" s="1292"/>
      <c r="E5" s="1379"/>
      <c r="F5" s="322"/>
      <c r="G5" s="322"/>
      <c r="H5" s="322"/>
      <c r="I5" s="322"/>
    </row>
    <row r="6" spans="2:10" s="317" customFormat="1" ht="6.2" customHeight="1" x14ac:dyDescent="0.2">
      <c r="B6" s="1421"/>
      <c r="C6" s="1375"/>
      <c r="D6" s="1375"/>
      <c r="E6" s="1376"/>
      <c r="F6" s="1375"/>
      <c r="G6" s="1375"/>
      <c r="H6" s="1375"/>
      <c r="I6" s="1375"/>
    </row>
    <row r="7" spans="2:10" s="317" customFormat="1" ht="13.5" customHeight="1" x14ac:dyDescent="0.2">
      <c r="B7" s="2758" t="s">
        <v>1346</v>
      </c>
      <c r="C7" s="2759"/>
      <c r="D7" s="2759"/>
      <c r="E7" s="2759"/>
      <c r="F7" s="2759"/>
      <c r="G7" s="2759"/>
      <c r="H7" s="2759"/>
      <c r="I7" s="2759"/>
    </row>
    <row r="8" spans="2:10" s="317" customFormat="1" ht="6.2" customHeight="1" x14ac:dyDescent="0.2">
      <c r="B8" s="1422" t="s">
        <v>1231</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1345</v>
      </c>
      <c r="C10" s="1427"/>
      <c r="D10" s="1427"/>
      <c r="E10" s="1256"/>
    </row>
    <row r="11" spans="2:10" s="317" customFormat="1" ht="13.5" customHeight="1" x14ac:dyDescent="0.2">
      <c r="B11" s="1345" t="s">
        <v>1344</v>
      </c>
      <c r="C11" s="2760" t="s">
        <v>2194</v>
      </c>
      <c r="D11" s="2760"/>
      <c r="E11" s="1428"/>
      <c r="F11" s="1428"/>
      <c r="G11" s="1428"/>
    </row>
    <row r="12" spans="2:10" s="317" customFormat="1" ht="11.45" customHeight="1" x14ac:dyDescent="0.2">
      <c r="B12" s="1353"/>
      <c r="C12" s="1429" t="s">
        <v>1517</v>
      </c>
      <c r="D12" s="1430"/>
      <c r="E12" s="1256"/>
    </row>
    <row r="13" spans="2:10" s="317" customFormat="1" ht="12.75" customHeight="1" x14ac:dyDescent="0.2">
      <c r="B13" s="1431"/>
      <c r="C13" s="1383"/>
      <c r="D13" s="1383"/>
      <c r="E13" s="1256"/>
    </row>
    <row r="14" spans="2:10" s="317" customFormat="1" ht="12.75" customHeight="1" x14ac:dyDescent="0.2">
      <c r="B14" s="1364" t="s">
        <v>1343</v>
      </c>
      <c r="C14" s="1280"/>
      <c r="E14" s="1256"/>
    </row>
    <row r="15" spans="2:10" s="317" customFormat="1" ht="13.5" customHeight="1" x14ac:dyDescent="0.2">
      <c r="B15" s="1432" t="s">
        <v>1340</v>
      </c>
      <c r="C15" s="1433"/>
      <c r="D15" s="1394"/>
      <c r="E15" s="1434" t="s">
        <v>2074</v>
      </c>
      <c r="F15" s="1298" t="s">
        <v>940</v>
      </c>
      <c r="G15" s="1434"/>
      <c r="H15" s="1298" t="s">
        <v>1338</v>
      </c>
      <c r="I15" s="1298"/>
    </row>
    <row r="16" spans="2:10" s="317" customFormat="1" ht="8.4499999999999993" customHeight="1" x14ac:dyDescent="0.2">
      <c r="B16" s="1364"/>
      <c r="C16" s="1280"/>
      <c r="E16" s="1379"/>
      <c r="F16" s="1298"/>
      <c r="G16" s="322"/>
      <c r="H16" s="1298"/>
      <c r="I16" s="1298"/>
    </row>
    <row r="17" spans="2:9" s="317" customFormat="1" ht="13.5" customHeight="1" x14ac:dyDescent="0.2">
      <c r="B17" s="1432" t="s">
        <v>1339</v>
      </c>
      <c r="C17" s="1433"/>
      <c r="D17" s="1394"/>
      <c r="E17" s="1435"/>
      <c r="F17" s="1255"/>
      <c r="G17" s="1435"/>
      <c r="H17" s="1298"/>
      <c r="I17" s="1298"/>
    </row>
    <row r="18" spans="2:9" s="317" customFormat="1" ht="12.75" customHeight="1" x14ac:dyDescent="0.2">
      <c r="B18" s="1432" t="s">
        <v>1518</v>
      </c>
      <c r="C18" s="1433"/>
      <c r="D18" s="1394"/>
      <c r="E18" s="1434" t="s">
        <v>2074</v>
      </c>
      <c r="F18" s="1298" t="s">
        <v>940</v>
      </c>
      <c r="G18" s="1434"/>
      <c r="H18" s="1298" t="s">
        <v>1338</v>
      </c>
      <c r="I18" s="1298"/>
    </row>
    <row r="19" spans="2:9" s="317" customFormat="1" ht="8.4499999999999993" customHeight="1" x14ac:dyDescent="0.2">
      <c r="B19" s="1364"/>
      <c r="C19" s="1280"/>
      <c r="E19" s="1379"/>
      <c r="F19" s="1298"/>
      <c r="G19" s="322"/>
      <c r="H19" s="1298"/>
      <c r="I19" s="1298"/>
    </row>
    <row r="20" spans="2:9" s="317" customFormat="1" ht="13.5" customHeight="1" x14ac:dyDescent="0.2">
      <c r="B20" s="1432" t="s">
        <v>1673</v>
      </c>
      <c r="C20" s="1433"/>
      <c r="D20" s="1394"/>
      <c r="E20" s="1434"/>
      <c r="F20" s="1298" t="s">
        <v>940</v>
      </c>
      <c r="G20" s="1434" t="s">
        <v>2074</v>
      </c>
      <c r="H20" s="1298" t="s">
        <v>101</v>
      </c>
      <c r="I20" s="1298"/>
    </row>
    <row r="21" spans="2:9" s="317" customFormat="1" ht="12.75" customHeight="1" x14ac:dyDescent="0.2">
      <c r="B21" s="1364"/>
      <c r="C21" s="1280"/>
      <c r="E21" s="1379"/>
      <c r="F21" s="1298"/>
      <c r="G21" s="322"/>
      <c r="H21" s="1298"/>
      <c r="I21" s="1298"/>
    </row>
    <row r="22" spans="2:9" s="317" customFormat="1" ht="12.75" customHeight="1" x14ac:dyDescent="0.2">
      <c r="B22" s="1426" t="s">
        <v>1342</v>
      </c>
      <c r="C22" s="1436"/>
      <c r="D22" s="1427"/>
      <c r="E22" s="1379"/>
      <c r="F22" s="1298"/>
      <c r="G22" s="322"/>
      <c r="H22" s="1298"/>
      <c r="I22" s="1298"/>
    </row>
    <row r="23" spans="2:9" s="317" customFormat="1" ht="12.75" customHeight="1" x14ac:dyDescent="0.2">
      <c r="B23" s="1364" t="s">
        <v>1341</v>
      </c>
      <c r="C23" s="1280"/>
      <c r="E23" s="1379"/>
      <c r="F23" s="1298"/>
      <c r="G23" s="322"/>
      <c r="H23" s="1298"/>
      <c r="I23" s="1298"/>
    </row>
    <row r="24" spans="2:9" s="317" customFormat="1" ht="13.5" customHeight="1" x14ac:dyDescent="0.2">
      <c r="B24" s="1432" t="s">
        <v>1340</v>
      </c>
      <c r="C24" s="1433"/>
      <c r="D24" s="1394"/>
      <c r="E24" s="1434"/>
      <c r="F24" s="1298" t="s">
        <v>940</v>
      </c>
      <c r="G24" s="1434" t="s">
        <v>2074</v>
      </c>
      <c r="H24" s="1298" t="s">
        <v>1338</v>
      </c>
      <c r="I24" s="1298"/>
    </row>
    <row r="25" spans="2:9" s="317" customFormat="1" ht="8.4499999999999993" customHeight="1" x14ac:dyDescent="0.2">
      <c r="B25" s="1364"/>
      <c r="C25" s="1280"/>
      <c r="E25" s="1379"/>
      <c r="F25" s="1298"/>
      <c r="G25" s="322"/>
      <c r="H25" s="1298"/>
      <c r="I25" s="1298"/>
    </row>
    <row r="26" spans="2:9" s="317" customFormat="1" ht="13.5" customHeight="1" x14ac:dyDescent="0.2">
      <c r="B26" s="1432" t="s">
        <v>1339</v>
      </c>
      <c r="C26" s="1433"/>
      <c r="D26" s="1394"/>
      <c r="E26" s="1435"/>
      <c r="F26" s="1255"/>
      <c r="G26" s="1435"/>
      <c r="H26" s="1298"/>
      <c r="I26" s="1298"/>
    </row>
    <row r="27" spans="2:9" s="317" customFormat="1" ht="12.75" customHeight="1" x14ac:dyDescent="0.2">
      <c r="B27" s="1432" t="s">
        <v>1518</v>
      </c>
      <c r="C27" s="1433"/>
      <c r="D27" s="1394"/>
      <c r="E27" s="1434"/>
      <c r="F27" s="1298" t="s">
        <v>940</v>
      </c>
      <c r="G27" s="1434" t="s">
        <v>2074</v>
      </c>
      <c r="H27" s="1298" t="s">
        <v>1338</v>
      </c>
      <c r="I27" s="1298"/>
    </row>
    <row r="28" spans="2:9" s="317" customFormat="1" ht="12.75" customHeight="1" x14ac:dyDescent="0.2">
      <c r="B28" s="1364"/>
      <c r="C28" s="1280"/>
      <c r="E28" s="1256"/>
    </row>
    <row r="29" spans="2:9" s="317" customFormat="1" ht="12.75" customHeight="1" x14ac:dyDescent="0.2">
      <c r="B29" s="1364" t="s">
        <v>1337</v>
      </c>
      <c r="C29" s="1280"/>
      <c r="D29" s="2761" t="s">
        <v>2194</v>
      </c>
      <c r="E29" s="2761"/>
      <c r="F29" s="2761"/>
      <c r="G29" s="2761"/>
      <c r="H29" s="2761"/>
      <c r="I29" s="2761"/>
    </row>
    <row r="30" spans="2:9" s="317" customFormat="1" x14ac:dyDescent="0.2">
      <c r="B30" s="1364"/>
      <c r="C30" s="322"/>
      <c r="D30" s="1429" t="s">
        <v>1848</v>
      </c>
      <c r="E30" s="1430"/>
      <c r="F30" s="1430"/>
      <c r="G30" s="1430"/>
      <c r="H30" s="1430"/>
      <c r="I30" s="1430"/>
    </row>
    <row r="31" spans="2:9" s="317" customFormat="1" ht="9.9499999999999993" customHeight="1" x14ac:dyDescent="0.2">
      <c r="B31" s="1364"/>
      <c r="E31" s="1256"/>
    </row>
    <row r="32" spans="2:9" s="317" customFormat="1" x14ac:dyDescent="0.2">
      <c r="B32" s="1364" t="s">
        <v>1336</v>
      </c>
      <c r="C32" s="1280"/>
      <c r="E32" s="1256"/>
    </row>
    <row r="33" spans="2:9" ht="13.5" customHeight="1" x14ac:dyDescent="0.2">
      <c r="B33" s="1364" t="s">
        <v>1633</v>
      </c>
      <c r="C33" s="1280"/>
      <c r="E33" s="1434" t="s">
        <v>2074</v>
      </c>
      <c r="F33" s="1298" t="s">
        <v>940</v>
      </c>
      <c r="G33" s="1434"/>
      <c r="H33" s="1298" t="s">
        <v>101</v>
      </c>
    </row>
    <row r="35" spans="2:9" x14ac:dyDescent="0.2">
      <c r="B35" s="1437" t="s">
        <v>1849</v>
      </c>
      <c r="C35" s="1438"/>
      <c r="D35" s="1265"/>
    </row>
    <row r="36" spans="2:9" ht="6" customHeight="1" x14ac:dyDescent="0.2">
      <c r="B36" s="1437"/>
      <c r="C36" s="1438"/>
      <c r="D36" s="1265"/>
    </row>
    <row r="37" spans="2:9" ht="17.25" customHeight="1" x14ac:dyDescent="0.2">
      <c r="B37" s="1439" t="s">
        <v>1850</v>
      </c>
      <c r="C37" s="2762" t="s">
        <v>1851</v>
      </c>
      <c r="D37" s="2763"/>
      <c r="E37" s="2763"/>
      <c r="F37" s="2764"/>
      <c r="G37" s="2762" t="s">
        <v>1674</v>
      </c>
      <c r="H37" s="2763"/>
      <c r="I37" s="2764"/>
    </row>
    <row r="38" spans="2:9" ht="16.5" customHeight="1" x14ac:dyDescent="0.2">
      <c r="B38" s="2184" t="s">
        <v>2195</v>
      </c>
      <c r="C38" s="2750" t="s">
        <v>2197</v>
      </c>
      <c r="D38" s="2751"/>
      <c r="E38" s="2751"/>
      <c r="F38" s="2752"/>
      <c r="G38" s="2765">
        <v>547803</v>
      </c>
      <c r="H38" s="2766"/>
      <c r="I38" s="2767"/>
    </row>
    <row r="39" spans="2:9" ht="16.5" customHeight="1" x14ac:dyDescent="0.2">
      <c r="B39" s="1440" t="s">
        <v>2196</v>
      </c>
      <c r="C39" s="2750" t="s">
        <v>2198</v>
      </c>
      <c r="D39" s="2751"/>
      <c r="E39" s="2751"/>
      <c r="F39" s="2752"/>
      <c r="G39" s="2753">
        <v>431292</v>
      </c>
      <c r="H39" s="2753"/>
      <c r="I39" s="2753"/>
    </row>
    <row r="40" spans="2:9" ht="16.5" customHeight="1" x14ac:dyDescent="0.2">
      <c r="B40" s="1440"/>
      <c r="C40" s="2750"/>
      <c r="D40" s="2751"/>
      <c r="E40" s="2751"/>
      <c r="F40" s="2752"/>
      <c r="G40" s="2753"/>
      <c r="H40" s="2753"/>
      <c r="I40" s="2753"/>
    </row>
    <row r="41" spans="2:9" ht="16.5" customHeight="1" x14ac:dyDescent="0.2">
      <c r="B41" s="1440"/>
      <c r="C41" s="2750"/>
      <c r="D41" s="2751"/>
      <c r="E41" s="2751"/>
      <c r="F41" s="2752"/>
      <c r="G41" s="2753"/>
      <c r="H41" s="2753"/>
      <c r="I41" s="2753"/>
    </row>
    <row r="42" spans="2:9" ht="16.5" customHeight="1" x14ac:dyDescent="0.2">
      <c r="B42" s="1440"/>
      <c r="C42" s="2750"/>
      <c r="D42" s="2751"/>
      <c r="E42" s="2751"/>
      <c r="F42" s="2752"/>
      <c r="G42" s="2753"/>
      <c r="H42" s="2753"/>
      <c r="I42" s="2753"/>
    </row>
    <row r="43" spans="2:9" ht="16.5" customHeight="1" x14ac:dyDescent="0.2">
      <c r="B43" s="1440"/>
      <c r="C43" s="2768" t="s">
        <v>1675</v>
      </c>
      <c r="D43" s="2769"/>
      <c r="E43" s="2769"/>
      <c r="F43" s="2770"/>
      <c r="G43" s="2771">
        <f>SUM(G38:I42)</f>
        <v>979095</v>
      </c>
      <c r="H43" s="2771"/>
      <c r="I43" s="2771"/>
    </row>
    <row r="44" spans="2:9" ht="12.75" customHeight="1" x14ac:dyDescent="0.2"/>
    <row r="45" spans="2:9" ht="12.75" customHeight="1" x14ac:dyDescent="0.2">
      <c r="B45" s="1431" t="s">
        <v>1949</v>
      </c>
      <c r="D45" s="2772">
        <v>1467551</v>
      </c>
      <c r="E45" s="2773"/>
    </row>
    <row r="46" spans="2:9" ht="5.25" customHeight="1" x14ac:dyDescent="0.2">
      <c r="B46" s="1441"/>
      <c r="D46" s="1442"/>
      <c r="E46" s="1443"/>
    </row>
    <row r="47" spans="2:9" ht="12.75" customHeight="1" x14ac:dyDescent="0.2">
      <c r="B47" s="1298" t="s">
        <v>1676</v>
      </c>
      <c r="C47" s="1298"/>
      <c r="D47" s="1444">
        <f>+G43/D45</f>
        <v>0.66716250406289113</v>
      </c>
      <c r="E47" s="1445"/>
      <c r="F47" s="1446"/>
      <c r="I47" s="1447"/>
    </row>
    <row r="48" spans="2:9" ht="9.9499999999999993" customHeight="1" x14ac:dyDescent="0.2"/>
    <row r="49" spans="1:9" x14ac:dyDescent="0.2">
      <c r="B49" s="1364" t="s">
        <v>1335</v>
      </c>
      <c r="C49" s="1280"/>
      <c r="D49" s="1280"/>
      <c r="E49" s="2774">
        <v>750000</v>
      </c>
      <c r="F49" s="2774"/>
      <c r="G49" s="2774"/>
      <c r="H49" s="322"/>
    </row>
    <row r="51" spans="1:9" ht="13.5" customHeight="1" x14ac:dyDescent="0.2">
      <c r="B51" s="1364" t="s">
        <v>1334</v>
      </c>
      <c r="C51" s="1280"/>
      <c r="E51" s="1434"/>
      <c r="F51" s="1298" t="s">
        <v>940</v>
      </c>
      <c r="G51" s="1434" t="s">
        <v>2074</v>
      </c>
      <c r="H51" s="1298" t="s">
        <v>101</v>
      </c>
    </row>
    <row r="52" spans="1:9" x14ac:dyDescent="0.2">
      <c r="B52" s="1356"/>
      <c r="C52" s="1295"/>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1852</v>
      </c>
      <c r="C54" s="1456"/>
      <c r="D54" s="1456"/>
    </row>
    <row r="55" spans="1:9" s="1457" customFormat="1" ht="12.75" customHeight="1" x14ac:dyDescent="0.2">
      <c r="A55" s="1454"/>
      <c r="B55" s="1458" t="s">
        <v>1677</v>
      </c>
      <c r="C55" s="1454"/>
      <c r="D55" s="1454"/>
    </row>
    <row r="56" spans="1:9" s="1457" customFormat="1" ht="12.75" customHeight="1" x14ac:dyDescent="0.2">
      <c r="A56" s="1454"/>
      <c r="B56" s="1458" t="s">
        <v>1678</v>
      </c>
      <c r="C56" s="1454"/>
      <c r="D56" s="1454"/>
    </row>
    <row r="57" spans="1:9" s="1457" customFormat="1" ht="3.95" customHeight="1" x14ac:dyDescent="0.2">
      <c r="A57" s="1454"/>
      <c r="B57" s="1458"/>
      <c r="C57" s="1454"/>
      <c r="D57" s="1454"/>
    </row>
    <row r="58" spans="1:9" s="1457" customFormat="1" ht="13.5" customHeight="1" x14ac:dyDescent="0.2">
      <c r="A58" s="1454"/>
      <c r="B58" s="1459" t="s">
        <v>1853</v>
      </c>
      <c r="C58" s="1460"/>
      <c r="D58" s="1460"/>
    </row>
    <row r="59" spans="1:9" s="1457" customFormat="1" ht="3.95" customHeight="1" x14ac:dyDescent="0.2">
      <c r="A59" s="1454"/>
      <c r="B59" s="1459"/>
      <c r="C59" s="1460"/>
      <c r="D59" s="1460"/>
    </row>
    <row r="60" spans="1:9" s="1457" customFormat="1" ht="13.5" customHeight="1" x14ac:dyDescent="0.2">
      <c r="A60" s="1454"/>
      <c r="B60" s="1459" t="s">
        <v>1854</v>
      </c>
      <c r="C60" s="1460"/>
      <c r="D60" s="1460"/>
    </row>
    <row r="61" spans="1:9" s="1457" customFormat="1" ht="3.95" customHeight="1" x14ac:dyDescent="0.2">
      <c r="A61" s="1454"/>
      <c r="B61" s="1459"/>
      <c r="C61" s="1460"/>
      <c r="D61" s="1460"/>
    </row>
    <row r="62" spans="1:9" s="1457" customFormat="1" ht="12.75" customHeight="1" x14ac:dyDescent="0.2">
      <c r="A62" s="1454"/>
      <c r="B62" s="1459" t="s">
        <v>1855</v>
      </c>
      <c r="C62" s="1460"/>
      <c r="D62" s="1460"/>
    </row>
    <row r="63" spans="1:9" s="1457" customFormat="1" ht="13.5" customHeight="1" x14ac:dyDescent="0.2">
      <c r="A63" s="1454"/>
      <c r="B63" s="1458" t="s">
        <v>1679</v>
      </c>
      <c r="C63" s="1454"/>
      <c r="D63" s="14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topLeftCell="A22" zoomScale="80" zoomScaleNormal="110" zoomScaleSheetLayoutView="8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754" t="str">
        <f>'Single Audit Cover'!A7</f>
        <v>Grayslake  CCSD 46</v>
      </c>
      <c r="C1" s="2754"/>
      <c r="D1" s="2754"/>
      <c r="E1" s="2754"/>
      <c r="F1" s="2754"/>
      <c r="G1" s="2754"/>
      <c r="H1" s="2754"/>
      <c r="I1" s="2754"/>
      <c r="J1" s="2754"/>
      <c r="K1" s="2754"/>
      <c r="L1" s="1370"/>
      <c r="M1" s="1370"/>
    </row>
    <row r="2" spans="1:13" ht="12" customHeight="1" x14ac:dyDescent="0.2">
      <c r="B2" s="2756">
        <f>'Single Audit Cover'!E7</f>
        <v>34049046004</v>
      </c>
      <c r="C2" s="2756"/>
      <c r="D2" s="2756"/>
      <c r="E2" s="2756"/>
      <c r="F2" s="2756"/>
      <c r="G2" s="2756"/>
      <c r="H2" s="2756"/>
      <c r="I2" s="2756"/>
      <c r="J2" s="2756"/>
      <c r="K2" s="2756"/>
      <c r="L2" s="1371"/>
      <c r="M2" s="1372"/>
    </row>
    <row r="3" spans="1:13" ht="10.35" customHeight="1" x14ac:dyDescent="0.2">
      <c r="B3" s="2777" t="s">
        <v>1347</v>
      </c>
      <c r="C3" s="2777"/>
      <c r="D3" s="2777"/>
      <c r="E3" s="2777"/>
      <c r="F3" s="2777"/>
      <c r="G3" s="2777"/>
      <c r="H3" s="2777"/>
      <c r="I3" s="2777"/>
      <c r="J3" s="2777"/>
      <c r="K3" s="2777"/>
      <c r="L3" s="1373"/>
      <c r="M3" s="1373"/>
    </row>
    <row r="4" spans="1:13" ht="14.25" customHeight="1" x14ac:dyDescent="0.2">
      <c r="B4" s="2778" t="str">
        <f>'Single Audit Cover'!A4</f>
        <v>Year Ending June 30, 2018</v>
      </c>
      <c r="C4" s="2778"/>
      <c r="D4" s="2778"/>
      <c r="E4" s="2778"/>
      <c r="F4" s="2778"/>
      <c r="G4" s="2778"/>
      <c r="H4" s="2778"/>
      <c r="I4" s="2778"/>
      <c r="J4" s="2778"/>
      <c r="K4" s="2778"/>
      <c r="L4" s="313"/>
      <c r="M4" s="313"/>
    </row>
    <row r="5" spans="1:13" ht="7.5" customHeight="1" x14ac:dyDescent="0.2">
      <c r="B5" s="1258" t="s">
        <v>1231</v>
      </c>
      <c r="C5" s="1258"/>
    </row>
    <row r="6" spans="1:13" ht="7.5" customHeight="1" x14ac:dyDescent="0.2">
      <c r="B6" s="1374"/>
      <c r="C6" s="1374"/>
      <c r="D6" s="1375"/>
      <c r="E6" s="1375"/>
      <c r="F6" s="1375"/>
      <c r="G6" s="1376"/>
      <c r="H6" s="1375"/>
      <c r="I6" s="1376"/>
      <c r="J6" s="1375"/>
      <c r="K6" s="1375"/>
      <c r="L6" s="1377"/>
    </row>
    <row r="7" spans="1:13" ht="12.75" customHeight="1" x14ac:dyDescent="0.2">
      <c r="A7" s="1280"/>
      <c r="B7" s="2778" t="s">
        <v>1363</v>
      </c>
      <c r="C7" s="2778"/>
      <c r="D7" s="2779"/>
      <c r="E7" s="2779"/>
      <c r="F7" s="2779"/>
      <c r="G7" s="2779"/>
      <c r="H7" s="2779"/>
      <c r="I7" s="2779"/>
      <c r="J7" s="2779"/>
      <c r="K7" s="277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1842</v>
      </c>
      <c r="C10" s="1381" t="s">
        <v>1950</v>
      </c>
      <c r="D10" s="1382">
        <v>1</v>
      </c>
      <c r="E10" s="322"/>
      <c r="F10" s="1383" t="s">
        <v>1362</v>
      </c>
      <c r="G10" s="1384"/>
      <c r="H10" s="1385" t="s">
        <v>1361</v>
      </c>
      <c r="I10" s="1384" t="s">
        <v>2074</v>
      </c>
      <c r="J10" s="1386" t="s">
        <v>1360</v>
      </c>
      <c r="K10" s="322"/>
      <c r="L10" s="1377"/>
    </row>
    <row r="11" spans="1:13" ht="13.5" customHeight="1" x14ac:dyDescent="0.2">
      <c r="B11" s="322"/>
      <c r="C11" s="322"/>
      <c r="D11" s="322"/>
      <c r="E11" s="322"/>
      <c r="F11" s="322"/>
      <c r="G11" s="1379"/>
      <c r="H11" s="322"/>
      <c r="I11" s="1387" t="s">
        <v>1359</v>
      </c>
      <c r="J11" s="322"/>
      <c r="K11" s="1388">
        <v>2010</v>
      </c>
      <c r="L11" s="1377"/>
    </row>
    <row r="12" spans="1:13" ht="13.5" customHeight="1" x14ac:dyDescent="0.2">
      <c r="B12" s="1292"/>
      <c r="C12" s="1292"/>
      <c r="D12" s="322"/>
      <c r="E12" s="322"/>
      <c r="F12" s="322"/>
      <c r="G12" s="1379"/>
      <c r="H12" s="322"/>
      <c r="I12" s="1379"/>
      <c r="J12" s="322"/>
      <c r="L12" s="1377"/>
    </row>
    <row r="13" spans="1:13" s="1280" customFormat="1" ht="13.5" customHeight="1" x14ac:dyDescent="0.2">
      <c r="B13" s="1389" t="s">
        <v>1358</v>
      </c>
      <c r="C13" s="1389"/>
      <c r="D13" s="1390"/>
      <c r="E13" s="1390"/>
      <c r="F13" s="1390"/>
      <c r="G13" s="1391"/>
      <c r="H13" s="1390"/>
      <c r="I13" s="1391"/>
      <c r="J13" s="1390"/>
      <c r="K13" s="1390"/>
      <c r="L13" s="1392"/>
    </row>
    <row r="14" spans="1:13" ht="45.75" customHeight="1" x14ac:dyDescent="0.2">
      <c r="B14" s="2776" t="s">
        <v>2199</v>
      </c>
      <c r="C14" s="2776"/>
      <c r="D14" s="2776"/>
      <c r="E14" s="2776"/>
      <c r="F14" s="2776"/>
      <c r="G14" s="2776"/>
      <c r="H14" s="2776"/>
      <c r="I14" s="2776"/>
      <c r="J14" s="2776"/>
      <c r="K14" s="2776"/>
      <c r="L14" s="1393"/>
    </row>
    <row r="15" spans="1:13" ht="4.5" customHeight="1" x14ac:dyDescent="0.2">
      <c r="B15" s="1394"/>
      <c r="C15" s="1394"/>
      <c r="D15" s="1395"/>
      <c r="E15" s="1395"/>
      <c r="F15" s="1395"/>
      <c r="H15" s="1395"/>
      <c r="J15" s="1395"/>
      <c r="K15" s="1395"/>
      <c r="L15" s="1393"/>
    </row>
    <row r="16" spans="1:13" s="1280" customFormat="1" ht="13.5" customHeight="1" x14ac:dyDescent="0.2">
      <c r="B16" s="1389" t="s">
        <v>1357</v>
      </c>
      <c r="C16" s="1389"/>
      <c r="D16" s="1390"/>
      <c r="E16" s="1390"/>
      <c r="F16" s="1390"/>
      <c r="G16" s="1391"/>
      <c r="H16" s="1390"/>
      <c r="I16" s="1391"/>
      <c r="J16" s="1390"/>
      <c r="K16" s="1390"/>
      <c r="L16" s="1392"/>
    </row>
    <row r="17" spans="2:12" ht="45.75" customHeight="1" x14ac:dyDescent="0.2">
      <c r="B17" s="2776" t="s">
        <v>2200</v>
      </c>
      <c r="C17" s="2776"/>
      <c r="D17" s="2776"/>
      <c r="E17" s="2776"/>
      <c r="F17" s="2776"/>
      <c r="G17" s="2776"/>
      <c r="H17" s="2776"/>
      <c r="I17" s="2776"/>
      <c r="J17" s="2776"/>
      <c r="K17" s="2776"/>
      <c r="L17" s="1377"/>
    </row>
    <row r="18" spans="2:12" ht="4.5" customHeight="1" x14ac:dyDescent="0.2">
      <c r="B18" s="1394"/>
      <c r="C18" s="1394"/>
      <c r="L18" s="1377"/>
    </row>
    <row r="19" spans="2:12" s="1280" customFormat="1" ht="13.5" customHeight="1" x14ac:dyDescent="0.2">
      <c r="B19" s="1389" t="s">
        <v>1843</v>
      </c>
      <c r="C19" s="1389"/>
      <c r="D19" s="1390"/>
      <c r="E19" s="1390"/>
      <c r="F19" s="1390"/>
      <c r="G19" s="1391"/>
      <c r="H19" s="1390"/>
      <c r="I19" s="1391"/>
      <c r="J19" s="1390"/>
      <c r="K19" s="1390"/>
      <c r="L19" s="1392"/>
    </row>
    <row r="20" spans="2:12" ht="45.75" customHeight="1" x14ac:dyDescent="0.2">
      <c r="B20" s="2780" t="s">
        <v>2201</v>
      </c>
      <c r="C20" s="2780"/>
      <c r="D20" s="2776"/>
      <c r="E20" s="2776"/>
      <c r="F20" s="2776"/>
      <c r="G20" s="2776"/>
      <c r="H20" s="2776"/>
      <c r="I20" s="2776"/>
      <c r="J20" s="2776"/>
      <c r="K20" s="2776"/>
      <c r="L20" s="1377"/>
    </row>
    <row r="21" spans="2:12" ht="4.5" customHeight="1" x14ac:dyDescent="0.2">
      <c r="B21" s="1396"/>
      <c r="C21" s="1396"/>
      <c r="L21" s="1377"/>
    </row>
    <row r="22" spans="2:12" ht="13.5" customHeight="1" x14ac:dyDescent="0.2">
      <c r="B22" s="1389" t="s">
        <v>1356</v>
      </c>
      <c r="C22" s="1389"/>
      <c r="D22" s="1375"/>
      <c r="E22" s="1375"/>
      <c r="F22" s="1375"/>
      <c r="G22" s="1376"/>
      <c r="H22" s="1375"/>
      <c r="I22" s="1376"/>
      <c r="J22" s="1375"/>
      <c r="K22" s="1375"/>
      <c r="L22" s="1377"/>
    </row>
    <row r="23" spans="2:12" ht="45" customHeight="1" x14ac:dyDescent="0.2">
      <c r="B23" s="2776" t="s">
        <v>2202</v>
      </c>
      <c r="C23" s="2776"/>
      <c r="D23" s="2776"/>
      <c r="E23" s="2776"/>
      <c r="F23" s="2776"/>
      <c r="G23" s="2776"/>
      <c r="H23" s="2776"/>
      <c r="I23" s="2776"/>
      <c r="J23" s="2776"/>
      <c r="K23" s="2776"/>
      <c r="L23" s="1377"/>
    </row>
    <row r="24" spans="2:12" ht="4.5" customHeight="1" x14ac:dyDescent="0.2">
      <c r="B24" s="1394"/>
      <c r="C24" s="1394"/>
      <c r="L24" s="1377"/>
    </row>
    <row r="25" spans="2:12" ht="13.5" customHeight="1" x14ac:dyDescent="0.2">
      <c r="B25" s="1389" t="s">
        <v>1355</v>
      </c>
      <c r="C25" s="1389"/>
      <c r="D25" s="1375"/>
      <c r="E25" s="1375"/>
      <c r="F25" s="1375"/>
      <c r="G25" s="1376"/>
      <c r="H25" s="1375"/>
      <c r="I25" s="1376"/>
      <c r="J25" s="1375"/>
      <c r="K25" s="1375"/>
      <c r="L25" s="1377"/>
    </row>
    <row r="26" spans="2:12" ht="45.75" customHeight="1" x14ac:dyDescent="0.2">
      <c r="B26" s="2776" t="s">
        <v>2203</v>
      </c>
      <c r="C26" s="2776"/>
      <c r="D26" s="2776"/>
      <c r="E26" s="2776"/>
      <c r="F26" s="2776"/>
      <c r="G26" s="2776"/>
      <c r="H26" s="2776"/>
      <c r="I26" s="2776"/>
      <c r="J26" s="2776"/>
      <c r="K26" s="2776"/>
      <c r="L26" s="1377"/>
    </row>
    <row r="27" spans="2:12" ht="4.5" customHeight="1" x14ac:dyDescent="0.2">
      <c r="B27" s="1394"/>
      <c r="C27" s="1394"/>
      <c r="L27" s="1377"/>
    </row>
    <row r="28" spans="2:12" ht="13.5" customHeight="1" x14ac:dyDescent="0.2">
      <c r="B28" s="1397" t="s">
        <v>1354</v>
      </c>
      <c r="C28" s="1397"/>
      <c r="D28" s="1375"/>
      <c r="E28" s="1375"/>
      <c r="F28" s="1375"/>
      <c r="G28" s="1376"/>
      <c r="H28" s="1375"/>
      <c r="I28" s="1376"/>
      <c r="J28" s="1375"/>
      <c r="K28" s="1375"/>
      <c r="L28" s="1377"/>
    </row>
    <row r="29" spans="2:12" ht="45.75" customHeight="1" x14ac:dyDescent="0.2">
      <c r="B29" s="2775" t="s">
        <v>2204</v>
      </c>
      <c r="C29" s="2775"/>
      <c r="D29" s="2776"/>
      <c r="E29" s="2776"/>
      <c r="F29" s="2776"/>
      <c r="G29" s="2776"/>
      <c r="H29" s="2776"/>
      <c r="I29" s="2776"/>
      <c r="J29" s="2776"/>
      <c r="K29" s="277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1844</v>
      </c>
      <c r="C31" s="1399"/>
      <c r="D31" s="1374"/>
      <c r="E31" s="1375"/>
      <c r="F31" s="1375"/>
      <c r="G31" s="1376"/>
      <c r="H31" s="1375"/>
      <c r="I31" s="1376"/>
      <c r="J31" s="1375"/>
      <c r="K31" s="1375"/>
      <c r="L31" s="1377"/>
    </row>
    <row r="32" spans="2:12" s="322" customFormat="1" ht="44.25" customHeight="1" x14ac:dyDescent="0.2">
      <c r="B32" s="2775" t="s">
        <v>2205</v>
      </c>
      <c r="C32" s="2775"/>
      <c r="D32" s="2776"/>
      <c r="E32" s="2776"/>
      <c r="F32" s="2776"/>
      <c r="G32" s="2776"/>
      <c r="H32" s="2776"/>
      <c r="I32" s="2776"/>
      <c r="J32" s="2776"/>
      <c r="K32" s="2776"/>
      <c r="L32" s="1377"/>
    </row>
    <row r="33" spans="1:13" s="322" customFormat="1" ht="4.5" customHeight="1" x14ac:dyDescent="0.2">
      <c r="B33" s="1398"/>
      <c r="C33" s="1398"/>
      <c r="G33" s="1379"/>
      <c r="I33" s="1379"/>
      <c r="L33" s="1377"/>
    </row>
    <row r="34" spans="1:13" s="322" customFormat="1" x14ac:dyDescent="0.2">
      <c r="A34" s="1295"/>
      <c r="B34" s="1413"/>
      <c r="C34" s="1413"/>
      <c r="D34" s="1413"/>
      <c r="E34" s="1413"/>
      <c r="F34" s="1413"/>
      <c r="G34" s="1414"/>
      <c r="H34" s="1413"/>
      <c r="I34" s="1414"/>
      <c r="J34" s="1413"/>
      <c r="K34" s="1413"/>
      <c r="L34" s="1377"/>
    </row>
    <row r="35" spans="1:13" ht="11.85" customHeight="1" x14ac:dyDescent="0.2">
      <c r="B35" s="1415" t="s">
        <v>1845</v>
      </c>
      <c r="C35" s="1415"/>
      <c r="D35" s="322"/>
      <c r="E35" s="322"/>
      <c r="F35" s="322"/>
      <c r="L35" s="1377"/>
    </row>
    <row r="36" spans="1:13" ht="9.6" customHeight="1" x14ac:dyDescent="0.2">
      <c r="B36" s="1298" t="s">
        <v>1951</v>
      </c>
      <c r="C36" s="1298"/>
      <c r="L36" s="1377"/>
    </row>
    <row r="37" spans="1:13" ht="9.6" customHeight="1" x14ac:dyDescent="0.2">
      <c r="B37" s="1298" t="s">
        <v>1952</v>
      </c>
      <c r="C37" s="1298"/>
    </row>
    <row r="38" spans="1:13" ht="11.85" customHeight="1" x14ac:dyDescent="0.2">
      <c r="B38" s="1416" t="s">
        <v>1846</v>
      </c>
      <c r="C38" s="1416"/>
    </row>
    <row r="39" spans="1:13" ht="9.6" customHeight="1" x14ac:dyDescent="0.2">
      <c r="B39" s="1298" t="s">
        <v>1348</v>
      </c>
      <c r="C39" s="1298"/>
      <c r="M39" s="1417"/>
    </row>
    <row r="40" spans="1:13" ht="12.6" customHeight="1" x14ac:dyDescent="0.2">
      <c r="B40" s="1416" t="s">
        <v>1847</v>
      </c>
      <c r="C40" s="1416"/>
      <c r="M40" s="1417"/>
    </row>
    <row r="41" spans="1:13" ht="9.6" customHeight="1" x14ac:dyDescent="0.2">
      <c r="B41" s="1298"/>
      <c r="C41" s="1298"/>
      <c r="M41" s="14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80" zoomScaleNormal="110" zoomScaleSheetLayoutView="80" workbookViewId="0">
      <selection activeCell="B14" sqref="B14:K14"/>
    </sheetView>
  </sheetViews>
  <sheetFormatPr defaultColWidth="9.140625" defaultRowHeight="12.75" x14ac:dyDescent="0.2"/>
  <cols>
    <col min="1" max="1" width="1.5703125" style="2192" customWidth="1"/>
    <col min="2" max="2" width="21.42578125" style="2192" customWidth="1"/>
    <col min="3" max="3" width="6.140625" style="2192" customWidth="1"/>
    <col min="4" max="4" width="4.42578125" style="2192" customWidth="1"/>
    <col min="5" max="5" width="3.5703125" style="2192" customWidth="1"/>
    <col min="6" max="6" width="20.140625" style="2192" customWidth="1"/>
    <col min="7" max="7" width="3.5703125" style="2194" customWidth="1"/>
    <col min="8" max="8" width="10.5703125" style="2192" customWidth="1"/>
    <col min="9" max="9" width="3.42578125" style="2194" customWidth="1"/>
    <col min="10" max="10" width="20.140625" style="2192" customWidth="1"/>
    <col min="11" max="11" width="8.5703125" style="2192" customWidth="1"/>
    <col min="12" max="12" width="1.42578125" style="2192" customWidth="1"/>
    <col min="13" max="13" width="3.42578125" style="2192" customWidth="1"/>
    <col min="14" max="16384" width="9.140625" style="2192"/>
  </cols>
  <sheetData>
    <row r="1" spans="1:13" ht="11.1" customHeight="1" x14ac:dyDescent="0.2">
      <c r="B1" s="2754" t="str">
        <f>'Single Audit Cover'!A7</f>
        <v>Grayslake  CCSD 46</v>
      </c>
      <c r="C1" s="2754"/>
      <c r="D1" s="2754"/>
      <c r="E1" s="2754"/>
      <c r="F1" s="2754"/>
      <c r="G1" s="2754"/>
      <c r="H1" s="2754"/>
      <c r="I1" s="2754"/>
      <c r="J1" s="2754"/>
      <c r="K1" s="2754"/>
      <c r="L1" s="2200"/>
      <c r="M1" s="2200"/>
    </row>
    <row r="2" spans="1:13" ht="12" customHeight="1" x14ac:dyDescent="0.2">
      <c r="B2" s="2756">
        <f>'Single Audit Cover'!E7</f>
        <v>34049046004</v>
      </c>
      <c r="C2" s="2756"/>
      <c r="D2" s="2756"/>
      <c r="E2" s="2756"/>
      <c r="F2" s="2756"/>
      <c r="G2" s="2756"/>
      <c r="H2" s="2756"/>
      <c r="I2" s="2756"/>
      <c r="J2" s="2756"/>
      <c r="K2" s="2756"/>
      <c r="L2" s="2201"/>
      <c r="M2" s="2202"/>
    </row>
    <row r="3" spans="1:13" ht="10.35" customHeight="1" x14ac:dyDescent="0.2">
      <c r="B3" s="2777" t="s">
        <v>1347</v>
      </c>
      <c r="C3" s="2777"/>
      <c r="D3" s="2777"/>
      <c r="E3" s="2777"/>
      <c r="F3" s="2777"/>
      <c r="G3" s="2777"/>
      <c r="H3" s="2777"/>
      <c r="I3" s="2777"/>
      <c r="J3" s="2777"/>
      <c r="K3" s="2777"/>
      <c r="L3" s="2203"/>
      <c r="M3" s="2203"/>
    </row>
    <row r="4" spans="1:13" ht="14.25" customHeight="1" x14ac:dyDescent="0.2">
      <c r="B4" s="2778" t="str">
        <f>'Single Audit Cover'!A4</f>
        <v>Year Ending June 30, 2018</v>
      </c>
      <c r="C4" s="2778"/>
      <c r="D4" s="2778"/>
      <c r="E4" s="2778"/>
      <c r="F4" s="2778"/>
      <c r="G4" s="2778"/>
      <c r="H4" s="2778"/>
      <c r="I4" s="2778"/>
      <c r="J4" s="2778"/>
      <c r="K4" s="2778"/>
      <c r="L4" s="2191"/>
      <c r="M4" s="2191"/>
    </row>
    <row r="5" spans="1:13" ht="7.5" customHeight="1" x14ac:dyDescent="0.2">
      <c r="B5" s="2195" t="s">
        <v>1231</v>
      </c>
      <c r="C5" s="2195"/>
    </row>
    <row r="6" spans="1:13" ht="7.5" customHeight="1" x14ac:dyDescent="0.2">
      <c r="B6" s="2204"/>
      <c r="C6" s="2204"/>
      <c r="D6" s="2205"/>
      <c r="E6" s="2205"/>
      <c r="F6" s="2205"/>
      <c r="G6" s="2206"/>
      <c r="H6" s="2205"/>
      <c r="I6" s="2206"/>
      <c r="J6" s="2205"/>
      <c r="K6" s="2205"/>
      <c r="L6" s="2207"/>
    </row>
    <row r="7" spans="1:13" ht="12.75" customHeight="1" x14ac:dyDescent="0.2">
      <c r="A7" s="2196"/>
      <c r="B7" s="2778" t="s">
        <v>1363</v>
      </c>
      <c r="C7" s="2778"/>
      <c r="D7" s="2779"/>
      <c r="E7" s="2779"/>
      <c r="F7" s="2779"/>
      <c r="G7" s="2779"/>
      <c r="H7" s="2779"/>
      <c r="I7" s="2779"/>
      <c r="J7" s="2779"/>
      <c r="K7" s="2779"/>
      <c r="L7" s="2208"/>
    </row>
    <row r="8" spans="1:13" ht="7.5" customHeight="1" x14ac:dyDescent="0.2">
      <c r="B8" s="2193"/>
      <c r="C8" s="2193"/>
      <c r="D8" s="2193"/>
      <c r="E8" s="2193"/>
      <c r="F8" s="2193"/>
      <c r="G8" s="2209"/>
      <c r="H8" s="2193"/>
      <c r="I8" s="2209"/>
      <c r="J8" s="2193"/>
      <c r="K8" s="2193"/>
      <c r="L8" s="2207"/>
    </row>
    <row r="9" spans="1:13" ht="9.6" customHeight="1" x14ac:dyDescent="0.2">
      <c r="B9" s="2205"/>
      <c r="C9" s="2205"/>
      <c r="D9" s="2205"/>
      <c r="E9" s="2205"/>
      <c r="F9" s="2205"/>
      <c r="G9" s="2206"/>
      <c r="H9" s="2205"/>
      <c r="I9" s="2206"/>
      <c r="J9" s="2205"/>
      <c r="K9" s="2205"/>
      <c r="L9" s="2207"/>
    </row>
    <row r="10" spans="1:13" ht="16.5" customHeight="1" x14ac:dyDescent="0.2">
      <c r="B10" s="2210" t="s">
        <v>1842</v>
      </c>
      <c r="C10" s="2211" t="s">
        <v>1950</v>
      </c>
      <c r="D10" s="2212">
        <v>2</v>
      </c>
      <c r="E10" s="2193"/>
      <c r="F10" s="2213" t="s">
        <v>1362</v>
      </c>
      <c r="G10" s="2214" t="s">
        <v>2074</v>
      </c>
      <c r="H10" s="2215" t="s">
        <v>1361</v>
      </c>
      <c r="I10" s="2214"/>
      <c r="J10" s="2216" t="s">
        <v>1360</v>
      </c>
      <c r="K10" s="2193"/>
      <c r="L10" s="2207"/>
    </row>
    <row r="11" spans="1:13" ht="13.5" customHeight="1" x14ac:dyDescent="0.2">
      <c r="B11" s="2193"/>
      <c r="C11" s="2193"/>
      <c r="D11" s="2193"/>
      <c r="E11" s="2193"/>
      <c r="F11" s="2193"/>
      <c r="G11" s="2209"/>
      <c r="H11" s="2193"/>
      <c r="I11" s="2217" t="s">
        <v>1359</v>
      </c>
      <c r="J11" s="2193"/>
      <c r="K11" s="2218"/>
      <c r="L11" s="2207"/>
    </row>
    <row r="12" spans="1:13" ht="13.5" customHeight="1" x14ac:dyDescent="0.2">
      <c r="B12" s="2197"/>
      <c r="C12" s="2197"/>
      <c r="D12" s="2193"/>
      <c r="E12" s="2193"/>
      <c r="F12" s="2193"/>
      <c r="G12" s="2209"/>
      <c r="H12" s="2193"/>
      <c r="I12" s="2209"/>
      <c r="J12" s="2193"/>
      <c r="L12" s="2207"/>
    </row>
    <row r="13" spans="1:13" s="2196" customFormat="1" ht="13.5" customHeight="1" x14ac:dyDescent="0.2">
      <c r="B13" s="2219" t="s">
        <v>1358</v>
      </c>
      <c r="C13" s="2219"/>
      <c r="D13" s="2220"/>
      <c r="E13" s="2220"/>
      <c r="F13" s="2220"/>
      <c r="G13" s="2221"/>
      <c r="H13" s="2220"/>
      <c r="I13" s="2221"/>
      <c r="J13" s="2220"/>
      <c r="K13" s="2220"/>
      <c r="L13" s="2222"/>
    </row>
    <row r="14" spans="1:13" ht="45.75" customHeight="1" x14ac:dyDescent="0.2">
      <c r="B14" s="2776" t="s">
        <v>2199</v>
      </c>
      <c r="C14" s="2776"/>
      <c r="D14" s="2776"/>
      <c r="E14" s="2776"/>
      <c r="F14" s="2776"/>
      <c r="G14" s="2776"/>
      <c r="H14" s="2776"/>
      <c r="I14" s="2776"/>
      <c r="J14" s="2776"/>
      <c r="K14" s="2776"/>
      <c r="L14" s="2223"/>
    </row>
    <row r="15" spans="1:13" ht="4.5" customHeight="1" x14ac:dyDescent="0.2">
      <c r="B15" s="2224"/>
      <c r="C15" s="2224"/>
      <c r="D15" s="2225"/>
      <c r="E15" s="2225"/>
      <c r="F15" s="2225"/>
      <c r="H15" s="2225"/>
      <c r="J15" s="2225"/>
      <c r="K15" s="2225"/>
      <c r="L15" s="2223"/>
    </row>
    <row r="16" spans="1:13" s="2196" customFormat="1" ht="13.5" customHeight="1" x14ac:dyDescent="0.2">
      <c r="B16" s="2219" t="s">
        <v>1357</v>
      </c>
      <c r="C16" s="2219"/>
      <c r="D16" s="2220"/>
      <c r="E16" s="2220"/>
      <c r="F16" s="2220"/>
      <c r="G16" s="2221"/>
      <c r="H16" s="2220"/>
      <c r="I16" s="2221"/>
      <c r="J16" s="2220"/>
      <c r="K16" s="2220"/>
      <c r="L16" s="2222"/>
    </row>
    <row r="17" spans="2:12" ht="45.75" customHeight="1" x14ac:dyDescent="0.2">
      <c r="B17" s="2776" t="s">
        <v>2214</v>
      </c>
      <c r="C17" s="2776"/>
      <c r="D17" s="2776"/>
      <c r="E17" s="2776"/>
      <c r="F17" s="2776"/>
      <c r="G17" s="2776"/>
      <c r="H17" s="2776"/>
      <c r="I17" s="2776"/>
      <c r="J17" s="2776"/>
      <c r="K17" s="2776"/>
      <c r="L17" s="2207"/>
    </row>
    <row r="18" spans="2:12" ht="4.5" customHeight="1" x14ac:dyDescent="0.2">
      <c r="B18" s="2224"/>
      <c r="C18" s="2224"/>
      <c r="L18" s="2207"/>
    </row>
    <row r="19" spans="2:12" s="2196" customFormat="1" ht="13.5" customHeight="1" x14ac:dyDescent="0.2">
      <c r="B19" s="2219" t="s">
        <v>1843</v>
      </c>
      <c r="C19" s="2219"/>
      <c r="D19" s="2220"/>
      <c r="E19" s="2220"/>
      <c r="F19" s="2220"/>
      <c r="G19" s="2221"/>
      <c r="H19" s="2220"/>
      <c r="I19" s="2221"/>
      <c r="J19" s="2220"/>
      <c r="K19" s="2220"/>
      <c r="L19" s="2222"/>
    </row>
    <row r="20" spans="2:12" ht="45.75" customHeight="1" x14ac:dyDescent="0.2">
      <c r="B20" s="2780" t="s">
        <v>2215</v>
      </c>
      <c r="C20" s="2780"/>
      <c r="D20" s="2776"/>
      <c r="E20" s="2776"/>
      <c r="F20" s="2776"/>
      <c r="G20" s="2776"/>
      <c r="H20" s="2776"/>
      <c r="I20" s="2776"/>
      <c r="J20" s="2776"/>
      <c r="K20" s="2776"/>
      <c r="L20" s="2207"/>
    </row>
    <row r="21" spans="2:12" ht="4.5" customHeight="1" x14ac:dyDescent="0.2">
      <c r="B21" s="2226"/>
      <c r="C21" s="2226"/>
      <c r="L21" s="2207"/>
    </row>
    <row r="22" spans="2:12" ht="13.5" customHeight="1" x14ac:dyDescent="0.2">
      <c r="B22" s="2219" t="s">
        <v>1356</v>
      </c>
      <c r="C22" s="2219"/>
      <c r="D22" s="2205"/>
      <c r="E22" s="2205"/>
      <c r="F22" s="2205"/>
      <c r="G22" s="2206"/>
      <c r="H22" s="2205"/>
      <c r="I22" s="2206"/>
      <c r="J22" s="2205"/>
      <c r="K22" s="2205"/>
      <c r="L22" s="2207"/>
    </row>
    <row r="23" spans="2:12" ht="45" customHeight="1" x14ac:dyDescent="0.2">
      <c r="B23" s="2776" t="s">
        <v>2216</v>
      </c>
      <c r="C23" s="2776"/>
      <c r="D23" s="2776"/>
      <c r="E23" s="2776"/>
      <c r="F23" s="2776"/>
      <c r="G23" s="2776"/>
      <c r="H23" s="2776"/>
      <c r="I23" s="2776"/>
      <c r="J23" s="2776"/>
      <c r="K23" s="2776"/>
      <c r="L23" s="2207"/>
    </row>
    <row r="24" spans="2:12" ht="4.5" customHeight="1" x14ac:dyDescent="0.2">
      <c r="B24" s="2224"/>
      <c r="C24" s="2224"/>
      <c r="L24" s="2207"/>
    </row>
    <row r="25" spans="2:12" ht="13.5" customHeight="1" x14ac:dyDescent="0.2">
      <c r="B25" s="2219" t="s">
        <v>1355</v>
      </c>
      <c r="C25" s="2219"/>
      <c r="D25" s="2205"/>
      <c r="E25" s="2205"/>
      <c r="F25" s="2205"/>
      <c r="G25" s="2206"/>
      <c r="H25" s="2205"/>
      <c r="I25" s="2206"/>
      <c r="J25" s="2205"/>
      <c r="K25" s="2205"/>
      <c r="L25" s="2207"/>
    </row>
    <row r="26" spans="2:12" ht="45.75" customHeight="1" x14ac:dyDescent="0.2">
      <c r="B26" s="2776" t="s">
        <v>2217</v>
      </c>
      <c r="C26" s="2776"/>
      <c r="D26" s="2776"/>
      <c r="E26" s="2776"/>
      <c r="F26" s="2776"/>
      <c r="G26" s="2776"/>
      <c r="H26" s="2776"/>
      <c r="I26" s="2776"/>
      <c r="J26" s="2776"/>
      <c r="K26" s="2776"/>
      <c r="L26" s="2207"/>
    </row>
    <row r="27" spans="2:12" ht="4.5" customHeight="1" x14ac:dyDescent="0.2">
      <c r="B27" s="2224"/>
      <c r="C27" s="2224"/>
      <c r="L27" s="2207"/>
    </row>
    <row r="28" spans="2:12" ht="13.5" customHeight="1" x14ac:dyDescent="0.2">
      <c r="B28" s="2227" t="s">
        <v>1354</v>
      </c>
      <c r="C28" s="2227"/>
      <c r="D28" s="2205"/>
      <c r="E28" s="2205"/>
      <c r="F28" s="2205"/>
      <c r="G28" s="2206"/>
      <c r="H28" s="2205"/>
      <c r="I28" s="2206"/>
      <c r="J28" s="2205"/>
      <c r="K28" s="2205"/>
      <c r="L28" s="2207"/>
    </row>
    <row r="29" spans="2:12" ht="45.75" customHeight="1" x14ac:dyDescent="0.2">
      <c r="B29" s="2775" t="s">
        <v>2218</v>
      </c>
      <c r="C29" s="2775"/>
      <c r="D29" s="2775"/>
      <c r="E29" s="2775"/>
      <c r="F29" s="2775"/>
      <c r="G29" s="2775"/>
      <c r="H29" s="2775"/>
      <c r="I29" s="2775"/>
      <c r="J29" s="2775"/>
      <c r="K29" s="2775"/>
      <c r="L29" s="2207"/>
    </row>
    <row r="30" spans="2:12" ht="4.5" customHeight="1" x14ac:dyDescent="0.2">
      <c r="B30" s="2228"/>
      <c r="C30" s="2228"/>
      <c r="D30" s="2193"/>
      <c r="E30" s="2193"/>
      <c r="F30" s="2193"/>
      <c r="G30" s="2209"/>
      <c r="H30" s="2193"/>
      <c r="I30" s="2209"/>
      <c r="J30" s="2193"/>
      <c r="K30" s="2193"/>
      <c r="L30" s="2207"/>
    </row>
    <row r="31" spans="2:12" s="2193" customFormat="1" ht="13.5" customHeight="1" x14ac:dyDescent="0.2">
      <c r="B31" s="2229" t="s">
        <v>1844</v>
      </c>
      <c r="C31" s="2229"/>
      <c r="D31" s="2204"/>
      <c r="E31" s="2205"/>
      <c r="F31" s="2205"/>
      <c r="G31" s="2206"/>
      <c r="H31" s="2205"/>
      <c r="I31" s="2206"/>
      <c r="J31" s="2205"/>
      <c r="K31" s="2205"/>
      <c r="L31" s="2207"/>
    </row>
    <row r="32" spans="2:12" s="2193" customFormat="1" ht="44.25" customHeight="1" x14ac:dyDescent="0.2">
      <c r="B32" s="2775" t="s">
        <v>2219</v>
      </c>
      <c r="C32" s="2775"/>
      <c r="D32" s="2776"/>
      <c r="E32" s="2776"/>
      <c r="F32" s="2776"/>
      <c r="G32" s="2776"/>
      <c r="H32" s="2776"/>
      <c r="I32" s="2776"/>
      <c r="J32" s="2776"/>
      <c r="K32" s="2776"/>
      <c r="L32" s="2207"/>
    </row>
    <row r="33" spans="1:13" s="2193" customFormat="1" ht="4.5" customHeight="1" x14ac:dyDescent="0.2">
      <c r="B33" s="2228"/>
      <c r="C33" s="2228"/>
      <c r="G33" s="2209"/>
      <c r="I33" s="2209"/>
      <c r="L33" s="2207"/>
    </row>
    <row r="34" spans="1:13" s="2193" customFormat="1" x14ac:dyDescent="0.2">
      <c r="A34" s="2198"/>
      <c r="B34" s="2230"/>
      <c r="C34" s="2230"/>
      <c r="D34" s="2230"/>
      <c r="E34" s="2230"/>
      <c r="F34" s="2230"/>
      <c r="G34" s="2231"/>
      <c r="H34" s="2230"/>
      <c r="I34" s="2231"/>
      <c r="J34" s="2230"/>
      <c r="K34" s="2230"/>
      <c r="L34" s="2207"/>
    </row>
    <row r="35" spans="1:13" ht="11.85" customHeight="1" x14ac:dyDescent="0.2">
      <c r="B35" s="2232" t="s">
        <v>1845</v>
      </c>
      <c r="C35" s="2232"/>
      <c r="D35" s="2193"/>
      <c r="E35" s="2193"/>
      <c r="F35" s="2193"/>
      <c r="L35" s="2207"/>
    </row>
    <row r="36" spans="1:13" ht="9.6" customHeight="1" x14ac:dyDescent="0.2">
      <c r="B36" s="2199" t="s">
        <v>1951</v>
      </c>
      <c r="C36" s="2199"/>
      <c r="L36" s="2207"/>
    </row>
    <row r="37" spans="1:13" ht="9.6" customHeight="1" x14ac:dyDescent="0.2">
      <c r="B37" s="2199" t="s">
        <v>1952</v>
      </c>
      <c r="C37" s="2199"/>
    </row>
    <row r="38" spans="1:13" ht="11.85" customHeight="1" x14ac:dyDescent="0.2">
      <c r="B38" s="2233" t="s">
        <v>1846</v>
      </c>
      <c r="C38" s="2233"/>
    </row>
    <row r="39" spans="1:13" ht="9.6" customHeight="1" x14ac:dyDescent="0.2">
      <c r="B39" s="2199" t="s">
        <v>1348</v>
      </c>
      <c r="C39" s="2199"/>
      <c r="M39" s="2234"/>
    </row>
    <row r="40" spans="1:13" ht="12.6" customHeight="1" x14ac:dyDescent="0.2">
      <c r="B40" s="2233" t="s">
        <v>1847</v>
      </c>
      <c r="C40" s="2233"/>
      <c r="M40" s="2234"/>
    </row>
    <row r="41" spans="1:13" ht="9.6" customHeight="1" x14ac:dyDescent="0.2">
      <c r="B41" s="2199"/>
      <c r="C41" s="2199"/>
      <c r="M41" s="223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scale="96"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topLeftCell="B1" zoomScale="80" zoomScaleNormal="110" zoomScaleSheetLayoutView="80" workbookViewId="0">
      <selection activeCell="B32" sqref="B32:K32"/>
    </sheetView>
  </sheetViews>
  <sheetFormatPr defaultColWidth="9.140625" defaultRowHeight="12.75" x14ac:dyDescent="0.2"/>
  <cols>
    <col min="1" max="1" width="1.5703125" style="2192" customWidth="1"/>
    <col min="2" max="2" width="21.42578125" style="2192" customWidth="1"/>
    <col min="3" max="3" width="6.140625" style="2192" customWidth="1"/>
    <col min="4" max="4" width="4.42578125" style="2192" customWidth="1"/>
    <col min="5" max="5" width="3.5703125" style="2192" customWidth="1"/>
    <col min="6" max="6" width="20.140625" style="2192" customWidth="1"/>
    <col min="7" max="7" width="3.5703125" style="2194" customWidth="1"/>
    <col min="8" max="8" width="10.5703125" style="2192" customWidth="1"/>
    <col min="9" max="9" width="3.42578125" style="2194" customWidth="1"/>
    <col min="10" max="10" width="19.5703125" style="2192" customWidth="1"/>
    <col min="11" max="11" width="8.5703125" style="2192" customWidth="1"/>
    <col min="12" max="12" width="1.42578125" style="2192" customWidth="1"/>
    <col min="13" max="13" width="3.42578125" style="2192" customWidth="1"/>
    <col min="14" max="16384" width="9.140625" style="2192"/>
  </cols>
  <sheetData>
    <row r="1" spans="1:13" ht="11.1" customHeight="1" x14ac:dyDescent="0.2">
      <c r="B1" s="2754" t="str">
        <f>'Single Audit Cover'!A7</f>
        <v>Grayslake  CCSD 46</v>
      </c>
      <c r="C1" s="2754"/>
      <c r="D1" s="2754"/>
      <c r="E1" s="2754"/>
      <c r="F1" s="2754"/>
      <c r="G1" s="2754"/>
      <c r="H1" s="2754"/>
      <c r="I1" s="2754"/>
      <c r="J1" s="2754"/>
      <c r="K1" s="2754"/>
      <c r="L1" s="2200"/>
      <c r="M1" s="2200"/>
    </row>
    <row r="2" spans="1:13" ht="12" customHeight="1" x14ac:dyDescent="0.2">
      <c r="B2" s="2756">
        <f>'Single Audit Cover'!E7</f>
        <v>34049046004</v>
      </c>
      <c r="C2" s="2756"/>
      <c r="D2" s="2756"/>
      <c r="E2" s="2756"/>
      <c r="F2" s="2756"/>
      <c r="G2" s="2756"/>
      <c r="H2" s="2756"/>
      <c r="I2" s="2756"/>
      <c r="J2" s="2756"/>
      <c r="K2" s="2756"/>
      <c r="L2" s="2201"/>
      <c r="M2" s="2202"/>
    </row>
    <row r="3" spans="1:13" ht="10.35" customHeight="1" x14ac:dyDescent="0.2">
      <c r="B3" s="2777" t="s">
        <v>1347</v>
      </c>
      <c r="C3" s="2777"/>
      <c r="D3" s="2777"/>
      <c r="E3" s="2777"/>
      <c r="F3" s="2777"/>
      <c r="G3" s="2777"/>
      <c r="H3" s="2777"/>
      <c r="I3" s="2777"/>
      <c r="J3" s="2777"/>
      <c r="K3" s="2777"/>
      <c r="L3" s="2203"/>
      <c r="M3" s="2203"/>
    </row>
    <row r="4" spans="1:13" ht="14.25" customHeight="1" x14ac:dyDescent="0.2">
      <c r="B4" s="2778" t="str">
        <f>'Single Audit Cover'!A4</f>
        <v>Year Ending June 30, 2018</v>
      </c>
      <c r="C4" s="2778"/>
      <c r="D4" s="2778"/>
      <c r="E4" s="2778"/>
      <c r="F4" s="2778"/>
      <c r="G4" s="2778"/>
      <c r="H4" s="2778"/>
      <c r="I4" s="2778"/>
      <c r="J4" s="2778"/>
      <c r="K4" s="2778"/>
      <c r="L4" s="2191"/>
      <c r="M4" s="2191"/>
    </row>
    <row r="5" spans="1:13" ht="7.5" customHeight="1" x14ac:dyDescent="0.2">
      <c r="B5" s="2195" t="s">
        <v>1231</v>
      </c>
      <c r="C5" s="2195"/>
    </row>
    <row r="6" spans="1:13" ht="7.5" customHeight="1" x14ac:dyDescent="0.2">
      <c r="B6" s="2204"/>
      <c r="C6" s="2204"/>
      <c r="D6" s="2205"/>
      <c r="E6" s="2205"/>
      <c r="F6" s="2205"/>
      <c r="G6" s="2206"/>
      <c r="H6" s="2205"/>
      <c r="I6" s="2206"/>
      <c r="J6" s="2205"/>
      <c r="K6" s="2205"/>
      <c r="L6" s="2207"/>
    </row>
    <row r="7" spans="1:13" ht="12.75" customHeight="1" x14ac:dyDescent="0.2">
      <c r="A7" s="2196"/>
      <c r="B7" s="2778" t="s">
        <v>1363</v>
      </c>
      <c r="C7" s="2778"/>
      <c r="D7" s="2779"/>
      <c r="E7" s="2779"/>
      <c r="F7" s="2779"/>
      <c r="G7" s="2779"/>
      <c r="H7" s="2779"/>
      <c r="I7" s="2779"/>
      <c r="J7" s="2779"/>
      <c r="K7" s="2779"/>
      <c r="L7" s="2208"/>
    </row>
    <row r="8" spans="1:13" ht="7.5" customHeight="1" x14ac:dyDescent="0.2">
      <c r="B8" s="2193"/>
      <c r="C8" s="2193"/>
      <c r="D8" s="2193"/>
      <c r="E8" s="2193"/>
      <c r="F8" s="2193"/>
      <c r="G8" s="2209"/>
      <c r="H8" s="2193"/>
      <c r="I8" s="2209"/>
      <c r="J8" s="2193"/>
      <c r="K8" s="2193"/>
      <c r="L8" s="2207"/>
    </row>
    <row r="9" spans="1:13" ht="9.6" customHeight="1" x14ac:dyDescent="0.2">
      <c r="B9" s="2205"/>
      <c r="C9" s="2205"/>
      <c r="D9" s="2205"/>
      <c r="E9" s="2205"/>
      <c r="F9" s="2205"/>
      <c r="G9" s="2206"/>
      <c r="H9" s="2205"/>
      <c r="I9" s="2206"/>
      <c r="J9" s="2205"/>
      <c r="K9" s="2205"/>
      <c r="L9" s="2207"/>
    </row>
    <row r="10" spans="1:13" ht="16.5" customHeight="1" x14ac:dyDescent="0.2">
      <c r="B10" s="2210" t="s">
        <v>1842</v>
      </c>
      <c r="C10" s="2211" t="s">
        <v>1950</v>
      </c>
      <c r="D10" s="2212">
        <v>3</v>
      </c>
      <c r="E10" s="2193"/>
      <c r="F10" s="2213" t="s">
        <v>1362</v>
      </c>
      <c r="G10" s="2214" t="s">
        <v>2074</v>
      </c>
      <c r="H10" s="2215" t="s">
        <v>1361</v>
      </c>
      <c r="I10" s="2214"/>
      <c r="J10" s="2216" t="s">
        <v>1360</v>
      </c>
      <c r="K10" s="2193"/>
      <c r="L10" s="2207"/>
    </row>
    <row r="11" spans="1:13" ht="13.5" customHeight="1" x14ac:dyDescent="0.2">
      <c r="B11" s="2193"/>
      <c r="C11" s="2193"/>
      <c r="D11" s="2193"/>
      <c r="E11" s="2193"/>
      <c r="F11" s="2193"/>
      <c r="G11" s="2209"/>
      <c r="H11" s="2193"/>
      <c r="I11" s="2217" t="s">
        <v>1359</v>
      </c>
      <c r="J11" s="2193"/>
      <c r="K11" s="2218"/>
      <c r="L11" s="2207"/>
    </row>
    <row r="12" spans="1:13" ht="13.5" customHeight="1" x14ac:dyDescent="0.2">
      <c r="B12" s="2197"/>
      <c r="C12" s="2197"/>
      <c r="D12" s="2193"/>
      <c r="E12" s="2193"/>
      <c r="F12" s="2193"/>
      <c r="G12" s="2209"/>
      <c r="H12" s="2193"/>
      <c r="I12" s="2209"/>
      <c r="J12" s="2193"/>
      <c r="L12" s="2207"/>
    </row>
    <row r="13" spans="1:13" s="2196" customFormat="1" ht="13.5" customHeight="1" x14ac:dyDescent="0.2">
      <c r="B13" s="2219" t="s">
        <v>1358</v>
      </c>
      <c r="C13" s="2219"/>
      <c r="D13" s="2220"/>
      <c r="E13" s="2220"/>
      <c r="F13" s="2220"/>
      <c r="G13" s="2221"/>
      <c r="H13" s="2220"/>
      <c r="I13" s="2221"/>
      <c r="J13" s="2220"/>
      <c r="K13" s="2220"/>
      <c r="L13" s="2222"/>
    </row>
    <row r="14" spans="1:13" ht="45.75" customHeight="1" x14ac:dyDescent="0.2">
      <c r="B14" s="2776" t="s">
        <v>2199</v>
      </c>
      <c r="C14" s="2776"/>
      <c r="D14" s="2776"/>
      <c r="E14" s="2776"/>
      <c r="F14" s="2776"/>
      <c r="G14" s="2776"/>
      <c r="H14" s="2776"/>
      <c r="I14" s="2776"/>
      <c r="J14" s="2776"/>
      <c r="K14" s="2776"/>
      <c r="L14" s="2223"/>
    </row>
    <row r="15" spans="1:13" ht="4.5" customHeight="1" x14ac:dyDescent="0.2">
      <c r="B15" s="2224"/>
      <c r="C15" s="2224"/>
      <c r="D15" s="2225"/>
      <c r="E15" s="2225"/>
      <c r="F15" s="2225"/>
      <c r="H15" s="2225"/>
      <c r="J15" s="2225"/>
      <c r="K15" s="2225"/>
      <c r="L15" s="2223"/>
    </row>
    <row r="16" spans="1:13" s="2196" customFormat="1" ht="13.5" customHeight="1" x14ac:dyDescent="0.2">
      <c r="B16" s="2219" t="s">
        <v>1357</v>
      </c>
      <c r="C16" s="2219"/>
      <c r="D16" s="2220"/>
      <c r="E16" s="2220"/>
      <c r="F16" s="2220"/>
      <c r="G16" s="2221"/>
      <c r="H16" s="2220"/>
      <c r="I16" s="2221"/>
      <c r="J16" s="2220"/>
      <c r="K16" s="2220"/>
      <c r="L16" s="2222"/>
    </row>
    <row r="17" spans="2:12" ht="45.75" customHeight="1" x14ac:dyDescent="0.2">
      <c r="B17" s="2776" t="s">
        <v>2220</v>
      </c>
      <c r="C17" s="2776"/>
      <c r="D17" s="2776"/>
      <c r="E17" s="2776"/>
      <c r="F17" s="2776"/>
      <c r="G17" s="2776"/>
      <c r="H17" s="2776"/>
      <c r="I17" s="2776"/>
      <c r="J17" s="2776"/>
      <c r="K17" s="2776"/>
      <c r="L17" s="2207"/>
    </row>
    <row r="18" spans="2:12" ht="4.5" customHeight="1" x14ac:dyDescent="0.2">
      <c r="B18" s="2224"/>
      <c r="C18" s="2224"/>
      <c r="L18" s="2207"/>
    </row>
    <row r="19" spans="2:12" s="2196" customFormat="1" ht="13.5" customHeight="1" x14ac:dyDescent="0.2">
      <c r="B19" s="2219" t="s">
        <v>1843</v>
      </c>
      <c r="C19" s="2219"/>
      <c r="D19" s="2220"/>
      <c r="E19" s="2220"/>
      <c r="F19" s="2220"/>
      <c r="G19" s="2221"/>
      <c r="H19" s="2220"/>
      <c r="I19" s="2221"/>
      <c r="J19" s="2220"/>
      <c r="K19" s="2220"/>
      <c r="L19" s="2222"/>
    </row>
    <row r="20" spans="2:12" ht="45.75" customHeight="1" x14ac:dyDescent="0.2">
      <c r="B20" s="2780" t="s">
        <v>2221</v>
      </c>
      <c r="C20" s="2780"/>
      <c r="D20" s="2776"/>
      <c r="E20" s="2776"/>
      <c r="F20" s="2776"/>
      <c r="G20" s="2776"/>
      <c r="H20" s="2776"/>
      <c r="I20" s="2776"/>
      <c r="J20" s="2776"/>
      <c r="K20" s="2776"/>
      <c r="L20" s="2207"/>
    </row>
    <row r="21" spans="2:12" ht="4.5" customHeight="1" x14ac:dyDescent="0.2">
      <c r="B21" s="2226"/>
      <c r="C21" s="2226"/>
      <c r="L21" s="2207"/>
    </row>
    <row r="22" spans="2:12" ht="13.5" customHeight="1" x14ac:dyDescent="0.2">
      <c r="B22" s="2219" t="s">
        <v>1356</v>
      </c>
      <c r="C22" s="2219"/>
      <c r="D22" s="2205"/>
      <c r="E22" s="2205"/>
      <c r="F22" s="2205"/>
      <c r="G22" s="2206"/>
      <c r="H22" s="2205"/>
      <c r="I22" s="2206"/>
      <c r="J22" s="2205"/>
      <c r="K22" s="2205"/>
      <c r="L22" s="2207"/>
    </row>
    <row r="23" spans="2:12" ht="45" customHeight="1" x14ac:dyDescent="0.2">
      <c r="B23" s="2776" t="s">
        <v>2222</v>
      </c>
      <c r="C23" s="2776"/>
      <c r="D23" s="2776"/>
      <c r="E23" s="2776"/>
      <c r="F23" s="2776"/>
      <c r="G23" s="2776"/>
      <c r="H23" s="2776"/>
      <c r="I23" s="2776"/>
      <c r="J23" s="2776"/>
      <c r="K23" s="2776"/>
      <c r="L23" s="2207"/>
    </row>
    <row r="24" spans="2:12" ht="4.5" customHeight="1" x14ac:dyDescent="0.2">
      <c r="B24" s="2224"/>
      <c r="C24" s="2224"/>
      <c r="L24" s="2207"/>
    </row>
    <row r="25" spans="2:12" ht="13.5" customHeight="1" x14ac:dyDescent="0.2">
      <c r="B25" s="2219" t="s">
        <v>1355</v>
      </c>
      <c r="C25" s="2219"/>
      <c r="D25" s="2205"/>
      <c r="E25" s="2205"/>
      <c r="F25" s="2205"/>
      <c r="G25" s="2206"/>
      <c r="H25" s="2205"/>
      <c r="I25" s="2206"/>
      <c r="J25" s="2205"/>
      <c r="K25" s="2205"/>
      <c r="L25" s="2207"/>
    </row>
    <row r="26" spans="2:12" ht="45.75" customHeight="1" x14ac:dyDescent="0.2">
      <c r="B26" s="2776" t="s">
        <v>2223</v>
      </c>
      <c r="C26" s="2776"/>
      <c r="D26" s="2776"/>
      <c r="E26" s="2776"/>
      <c r="F26" s="2776"/>
      <c r="G26" s="2776"/>
      <c r="H26" s="2776"/>
      <c r="I26" s="2776"/>
      <c r="J26" s="2776"/>
      <c r="K26" s="2776"/>
      <c r="L26" s="2207"/>
    </row>
    <row r="27" spans="2:12" ht="4.5" customHeight="1" x14ac:dyDescent="0.2">
      <c r="B27" s="2224"/>
      <c r="C27" s="2224"/>
      <c r="L27" s="2207"/>
    </row>
    <row r="28" spans="2:12" ht="13.5" customHeight="1" x14ac:dyDescent="0.2">
      <c r="B28" s="2227" t="s">
        <v>1354</v>
      </c>
      <c r="C28" s="2227"/>
      <c r="D28" s="2205"/>
      <c r="E28" s="2205"/>
      <c r="F28" s="2205"/>
      <c r="G28" s="2206"/>
      <c r="H28" s="2205"/>
      <c r="I28" s="2206"/>
      <c r="J28" s="2205"/>
      <c r="K28" s="2205"/>
      <c r="L28" s="2207"/>
    </row>
    <row r="29" spans="2:12" ht="45.75" customHeight="1" x14ac:dyDescent="0.2">
      <c r="B29" s="2775" t="s">
        <v>2224</v>
      </c>
      <c r="C29" s="2775"/>
      <c r="D29" s="2776"/>
      <c r="E29" s="2776"/>
      <c r="F29" s="2776"/>
      <c r="G29" s="2776"/>
      <c r="H29" s="2776"/>
      <c r="I29" s="2776"/>
      <c r="J29" s="2776"/>
      <c r="K29" s="2776"/>
      <c r="L29" s="2207"/>
    </row>
    <row r="30" spans="2:12" ht="4.5" customHeight="1" x14ac:dyDescent="0.2">
      <c r="B30" s="2228"/>
      <c r="C30" s="2228"/>
      <c r="D30" s="2193"/>
      <c r="E30" s="2193"/>
      <c r="F30" s="2193"/>
      <c r="G30" s="2209"/>
      <c r="H30" s="2193"/>
      <c r="I30" s="2209"/>
      <c r="J30" s="2193"/>
      <c r="K30" s="2193"/>
      <c r="L30" s="2207"/>
    </row>
    <row r="31" spans="2:12" s="2193" customFormat="1" ht="13.5" customHeight="1" x14ac:dyDescent="0.2">
      <c r="B31" s="2229" t="s">
        <v>1844</v>
      </c>
      <c r="C31" s="2229"/>
      <c r="D31" s="2204"/>
      <c r="E31" s="2205"/>
      <c r="F31" s="2205"/>
      <c r="G31" s="2206"/>
      <c r="H31" s="2205"/>
      <c r="I31" s="2206"/>
      <c r="J31" s="2205"/>
      <c r="K31" s="2205"/>
      <c r="L31" s="2207"/>
    </row>
    <row r="32" spans="2:12" s="2193" customFormat="1" ht="44.25" customHeight="1" x14ac:dyDescent="0.2">
      <c r="B32" s="2775" t="s">
        <v>2212</v>
      </c>
      <c r="C32" s="2775"/>
      <c r="D32" s="2776"/>
      <c r="E32" s="2776"/>
      <c r="F32" s="2776"/>
      <c r="G32" s="2776"/>
      <c r="H32" s="2776"/>
      <c r="I32" s="2776"/>
      <c r="J32" s="2776"/>
      <c r="K32" s="2776"/>
      <c r="L32" s="2207"/>
    </row>
    <row r="33" spans="1:13" s="2193" customFormat="1" ht="4.5" customHeight="1" x14ac:dyDescent="0.2">
      <c r="B33" s="2228"/>
      <c r="C33" s="2228"/>
      <c r="G33" s="2209"/>
      <c r="I33" s="2209"/>
      <c r="L33" s="2207"/>
    </row>
    <row r="34" spans="1:13" s="2193" customFormat="1" x14ac:dyDescent="0.2">
      <c r="A34" s="2198"/>
      <c r="B34" s="2230"/>
      <c r="C34" s="2230"/>
      <c r="D34" s="2230"/>
      <c r="E34" s="2230"/>
      <c r="F34" s="2230"/>
      <c r="G34" s="2231"/>
      <c r="H34" s="2230"/>
      <c r="I34" s="2231"/>
      <c r="J34" s="2230"/>
      <c r="K34" s="2230"/>
      <c r="L34" s="2207"/>
    </row>
    <row r="35" spans="1:13" ht="11.85" customHeight="1" x14ac:dyDescent="0.2">
      <c r="B35" s="2232" t="s">
        <v>1845</v>
      </c>
      <c r="C35" s="2232"/>
      <c r="D35" s="2193"/>
      <c r="E35" s="2193"/>
      <c r="F35" s="2193"/>
      <c r="L35" s="2207"/>
    </row>
    <row r="36" spans="1:13" ht="9.6" customHeight="1" x14ac:dyDescent="0.2">
      <c r="B36" s="2199" t="s">
        <v>1951</v>
      </c>
      <c r="C36" s="2199"/>
      <c r="L36" s="2207"/>
    </row>
    <row r="37" spans="1:13" ht="9.6" customHeight="1" x14ac:dyDescent="0.2">
      <c r="B37" s="2199" t="s">
        <v>1952</v>
      </c>
      <c r="C37" s="2199"/>
    </row>
    <row r="38" spans="1:13" ht="11.85" customHeight="1" x14ac:dyDescent="0.2">
      <c r="B38" s="2233" t="s">
        <v>1846</v>
      </c>
      <c r="C38" s="2233"/>
    </row>
    <row r="39" spans="1:13" ht="9.6" customHeight="1" x14ac:dyDescent="0.2">
      <c r="B39" s="2199" t="s">
        <v>1348</v>
      </c>
      <c r="C39" s="2199"/>
      <c r="M39" s="2234"/>
    </row>
    <row r="40" spans="1:13" ht="12.6" customHeight="1" x14ac:dyDescent="0.2">
      <c r="B40" s="2233" t="s">
        <v>1847</v>
      </c>
      <c r="C40" s="2233"/>
      <c r="M40" s="2234"/>
    </row>
    <row r="41" spans="1:13" ht="9.6" customHeight="1" x14ac:dyDescent="0.2">
      <c r="B41" s="2199"/>
      <c r="C41" s="2199"/>
      <c r="M41" s="223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scale="96"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topLeftCell="B16" zoomScale="80" zoomScaleNormal="110" zoomScaleSheetLayoutView="80" workbookViewId="0">
      <selection activeCell="B32" sqref="B32:K32"/>
    </sheetView>
  </sheetViews>
  <sheetFormatPr defaultColWidth="9.140625" defaultRowHeight="12.75" x14ac:dyDescent="0.2"/>
  <cols>
    <col min="1" max="1" width="1.5703125" style="2192" customWidth="1"/>
    <col min="2" max="2" width="21.42578125" style="2192" customWidth="1"/>
    <col min="3" max="3" width="6.140625" style="2192" customWidth="1"/>
    <col min="4" max="4" width="4.42578125" style="2192" customWidth="1"/>
    <col min="5" max="5" width="3.5703125" style="2192" customWidth="1"/>
    <col min="6" max="6" width="20.140625" style="2192" customWidth="1"/>
    <col min="7" max="7" width="3.5703125" style="2194" customWidth="1"/>
    <col min="8" max="8" width="10.5703125" style="2192" customWidth="1"/>
    <col min="9" max="9" width="3.42578125" style="2194" customWidth="1"/>
    <col min="10" max="10" width="19.5703125" style="2192" customWidth="1"/>
    <col min="11" max="11" width="8.5703125" style="2192" customWidth="1"/>
    <col min="12" max="12" width="1.42578125" style="2192" customWidth="1"/>
    <col min="13" max="13" width="3.42578125" style="2192" customWidth="1"/>
    <col min="14" max="16384" width="9.140625" style="2192"/>
  </cols>
  <sheetData>
    <row r="1" spans="1:13" ht="11.1" customHeight="1" x14ac:dyDescent="0.2">
      <c r="B1" s="2754" t="str">
        <f>'Single Audit Cover'!A7</f>
        <v>Grayslake  CCSD 46</v>
      </c>
      <c r="C1" s="2754"/>
      <c r="D1" s="2754"/>
      <c r="E1" s="2754"/>
      <c r="F1" s="2754"/>
      <c r="G1" s="2754"/>
      <c r="H1" s="2754"/>
      <c r="I1" s="2754"/>
      <c r="J1" s="2754"/>
      <c r="K1" s="2754"/>
      <c r="L1" s="2200"/>
      <c r="M1" s="2200"/>
    </row>
    <row r="2" spans="1:13" ht="12" customHeight="1" x14ac:dyDescent="0.2">
      <c r="B2" s="2756">
        <f>'Single Audit Cover'!E7</f>
        <v>34049046004</v>
      </c>
      <c r="C2" s="2756"/>
      <c r="D2" s="2756"/>
      <c r="E2" s="2756"/>
      <c r="F2" s="2756"/>
      <c r="G2" s="2756"/>
      <c r="H2" s="2756"/>
      <c r="I2" s="2756"/>
      <c r="J2" s="2756"/>
      <c r="K2" s="2756"/>
      <c r="L2" s="2201"/>
      <c r="M2" s="2202"/>
    </row>
    <row r="3" spans="1:13" ht="10.35" customHeight="1" x14ac:dyDescent="0.2">
      <c r="B3" s="2777" t="s">
        <v>1347</v>
      </c>
      <c r="C3" s="2777"/>
      <c r="D3" s="2777"/>
      <c r="E3" s="2777"/>
      <c r="F3" s="2777"/>
      <c r="G3" s="2777"/>
      <c r="H3" s="2777"/>
      <c r="I3" s="2777"/>
      <c r="J3" s="2777"/>
      <c r="K3" s="2777"/>
      <c r="L3" s="2203"/>
      <c r="M3" s="2203"/>
    </row>
    <row r="4" spans="1:13" ht="14.25" customHeight="1" x14ac:dyDescent="0.2">
      <c r="B4" s="2778" t="str">
        <f>'Single Audit Cover'!A4</f>
        <v>Year Ending June 30, 2018</v>
      </c>
      <c r="C4" s="2778"/>
      <c r="D4" s="2778"/>
      <c r="E4" s="2778"/>
      <c r="F4" s="2778"/>
      <c r="G4" s="2778"/>
      <c r="H4" s="2778"/>
      <c r="I4" s="2778"/>
      <c r="J4" s="2778"/>
      <c r="K4" s="2778"/>
      <c r="L4" s="2191"/>
      <c r="M4" s="2191"/>
    </row>
    <row r="5" spans="1:13" ht="7.5" customHeight="1" x14ac:dyDescent="0.2">
      <c r="B5" s="2195" t="s">
        <v>1231</v>
      </c>
      <c r="C5" s="2195"/>
    </row>
    <row r="6" spans="1:13" ht="7.5" customHeight="1" x14ac:dyDescent="0.2">
      <c r="B6" s="2204"/>
      <c r="C6" s="2204"/>
      <c r="D6" s="2205"/>
      <c r="E6" s="2205"/>
      <c r="F6" s="2205"/>
      <c r="G6" s="2206"/>
      <c r="H6" s="2205"/>
      <c r="I6" s="2206"/>
      <c r="J6" s="2205"/>
      <c r="K6" s="2205"/>
      <c r="L6" s="2207"/>
    </row>
    <row r="7" spans="1:13" ht="12.75" customHeight="1" x14ac:dyDescent="0.2">
      <c r="A7" s="2196"/>
      <c r="B7" s="2778" t="s">
        <v>1363</v>
      </c>
      <c r="C7" s="2778"/>
      <c r="D7" s="2779"/>
      <c r="E7" s="2779"/>
      <c r="F7" s="2779"/>
      <c r="G7" s="2779"/>
      <c r="H7" s="2779"/>
      <c r="I7" s="2779"/>
      <c r="J7" s="2779"/>
      <c r="K7" s="2779"/>
      <c r="L7" s="2208"/>
    </row>
    <row r="8" spans="1:13" ht="7.5" customHeight="1" x14ac:dyDescent="0.2">
      <c r="B8" s="2193"/>
      <c r="C8" s="2193"/>
      <c r="D8" s="2193"/>
      <c r="E8" s="2193"/>
      <c r="F8" s="2193"/>
      <c r="G8" s="2209"/>
      <c r="H8" s="2193"/>
      <c r="I8" s="2209"/>
      <c r="J8" s="2193"/>
      <c r="K8" s="2193"/>
      <c r="L8" s="2207"/>
    </row>
    <row r="9" spans="1:13" ht="9.6" customHeight="1" x14ac:dyDescent="0.2">
      <c r="B9" s="2205"/>
      <c r="C9" s="2205"/>
      <c r="D9" s="2205"/>
      <c r="E9" s="2205"/>
      <c r="F9" s="2205"/>
      <c r="G9" s="2206"/>
      <c r="H9" s="2205"/>
      <c r="I9" s="2206"/>
      <c r="J9" s="2205"/>
      <c r="K9" s="2205"/>
      <c r="L9" s="2207"/>
    </row>
    <row r="10" spans="1:13" ht="16.5" customHeight="1" x14ac:dyDescent="0.2">
      <c r="B10" s="2210" t="s">
        <v>1842</v>
      </c>
      <c r="C10" s="2211" t="s">
        <v>1950</v>
      </c>
      <c r="D10" s="2212">
        <v>4</v>
      </c>
      <c r="E10" s="2193"/>
      <c r="F10" s="2213" t="s">
        <v>1362</v>
      </c>
      <c r="G10" s="2214" t="s">
        <v>2074</v>
      </c>
      <c r="H10" s="2215" t="s">
        <v>1361</v>
      </c>
      <c r="I10" s="2214"/>
      <c r="J10" s="2216" t="s">
        <v>1360</v>
      </c>
      <c r="K10" s="2193"/>
      <c r="L10" s="2207"/>
    </row>
    <row r="11" spans="1:13" ht="13.5" customHeight="1" x14ac:dyDescent="0.2">
      <c r="B11" s="2193"/>
      <c r="C11" s="2193"/>
      <c r="D11" s="2193"/>
      <c r="E11" s="2193"/>
      <c r="F11" s="2193"/>
      <c r="G11" s="2209"/>
      <c r="H11" s="2193"/>
      <c r="I11" s="2217" t="s">
        <v>1359</v>
      </c>
      <c r="J11" s="2193"/>
      <c r="K11" s="2218"/>
      <c r="L11" s="2207"/>
    </row>
    <row r="12" spans="1:13" ht="13.5" customHeight="1" x14ac:dyDescent="0.2">
      <c r="B12" s="2197"/>
      <c r="C12" s="2197"/>
      <c r="D12" s="2193"/>
      <c r="E12" s="2193"/>
      <c r="F12" s="2193"/>
      <c r="G12" s="2209"/>
      <c r="H12" s="2193"/>
      <c r="I12" s="2209"/>
      <c r="J12" s="2193"/>
      <c r="L12" s="2207"/>
    </row>
    <row r="13" spans="1:13" s="2196" customFormat="1" ht="13.5" customHeight="1" x14ac:dyDescent="0.2">
      <c r="B13" s="2219" t="s">
        <v>1358</v>
      </c>
      <c r="C13" s="2219"/>
      <c r="D13" s="2220"/>
      <c r="E13" s="2220"/>
      <c r="F13" s="2220"/>
      <c r="G13" s="2221"/>
      <c r="H13" s="2220"/>
      <c r="I13" s="2221"/>
      <c r="J13" s="2220"/>
      <c r="K13" s="2220"/>
      <c r="L13" s="2222"/>
    </row>
    <row r="14" spans="1:13" ht="45.75" customHeight="1" x14ac:dyDescent="0.2">
      <c r="B14" s="2776" t="s">
        <v>2199</v>
      </c>
      <c r="C14" s="2776"/>
      <c r="D14" s="2776"/>
      <c r="E14" s="2776"/>
      <c r="F14" s="2776"/>
      <c r="G14" s="2776"/>
      <c r="H14" s="2776"/>
      <c r="I14" s="2776"/>
      <c r="J14" s="2776"/>
      <c r="K14" s="2776"/>
      <c r="L14" s="2223"/>
    </row>
    <row r="15" spans="1:13" ht="4.5" customHeight="1" x14ac:dyDescent="0.2">
      <c r="B15" s="2224"/>
      <c r="C15" s="2224"/>
      <c r="D15" s="2225"/>
      <c r="E15" s="2225"/>
      <c r="F15" s="2225"/>
      <c r="H15" s="2225"/>
      <c r="J15" s="2225"/>
      <c r="K15" s="2225"/>
      <c r="L15" s="2223"/>
    </row>
    <row r="16" spans="1:13" s="2196" customFormat="1" ht="13.5" customHeight="1" x14ac:dyDescent="0.2">
      <c r="B16" s="2219" t="s">
        <v>1357</v>
      </c>
      <c r="C16" s="2219"/>
      <c r="D16" s="2220"/>
      <c r="E16" s="2220"/>
      <c r="F16" s="2220"/>
      <c r="G16" s="2221"/>
      <c r="H16" s="2220"/>
      <c r="I16" s="2221"/>
      <c r="J16" s="2220"/>
      <c r="K16" s="2220"/>
      <c r="L16" s="2222"/>
    </row>
    <row r="17" spans="2:12" ht="45.75" customHeight="1" x14ac:dyDescent="0.2">
      <c r="B17" s="2776" t="s">
        <v>2225</v>
      </c>
      <c r="C17" s="2776"/>
      <c r="D17" s="2776"/>
      <c r="E17" s="2776"/>
      <c r="F17" s="2776"/>
      <c r="G17" s="2776"/>
      <c r="H17" s="2776"/>
      <c r="I17" s="2776"/>
      <c r="J17" s="2776"/>
      <c r="K17" s="2776"/>
      <c r="L17" s="2207"/>
    </row>
    <row r="18" spans="2:12" ht="4.5" customHeight="1" x14ac:dyDescent="0.2">
      <c r="B18" s="2224"/>
      <c r="C18" s="2224"/>
      <c r="L18" s="2207"/>
    </row>
    <row r="19" spans="2:12" s="2196" customFormat="1" ht="13.5" customHeight="1" x14ac:dyDescent="0.2">
      <c r="B19" s="2219" t="s">
        <v>1843</v>
      </c>
      <c r="C19" s="2219"/>
      <c r="D19" s="2220"/>
      <c r="E19" s="2220"/>
      <c r="F19" s="2220"/>
      <c r="G19" s="2221"/>
      <c r="H19" s="2220"/>
      <c r="I19" s="2221"/>
      <c r="J19" s="2220"/>
      <c r="K19" s="2220"/>
      <c r="L19" s="2222"/>
    </row>
    <row r="20" spans="2:12" ht="45.75" customHeight="1" x14ac:dyDescent="0.2">
      <c r="B20" s="2780" t="s">
        <v>2226</v>
      </c>
      <c r="C20" s="2780"/>
      <c r="D20" s="2776"/>
      <c r="E20" s="2776"/>
      <c r="F20" s="2776"/>
      <c r="G20" s="2776"/>
      <c r="H20" s="2776"/>
      <c r="I20" s="2776"/>
      <c r="J20" s="2776"/>
      <c r="K20" s="2776"/>
      <c r="L20" s="2207"/>
    </row>
    <row r="21" spans="2:12" ht="4.5" customHeight="1" x14ac:dyDescent="0.2">
      <c r="B21" s="2226"/>
      <c r="C21" s="2226"/>
      <c r="L21" s="2207"/>
    </row>
    <row r="22" spans="2:12" ht="13.5" customHeight="1" x14ac:dyDescent="0.2">
      <c r="B22" s="2219" t="s">
        <v>1356</v>
      </c>
      <c r="C22" s="2219"/>
      <c r="D22" s="2205"/>
      <c r="E22" s="2205"/>
      <c r="F22" s="2205"/>
      <c r="G22" s="2206"/>
      <c r="H22" s="2205"/>
      <c r="I22" s="2206"/>
      <c r="J22" s="2205"/>
      <c r="K22" s="2205"/>
      <c r="L22" s="2207"/>
    </row>
    <row r="23" spans="2:12" ht="45" customHeight="1" x14ac:dyDescent="0.2">
      <c r="B23" s="2776" t="s">
        <v>2227</v>
      </c>
      <c r="C23" s="2776"/>
      <c r="D23" s="2776"/>
      <c r="E23" s="2776"/>
      <c r="F23" s="2776"/>
      <c r="G23" s="2776"/>
      <c r="H23" s="2776"/>
      <c r="I23" s="2776"/>
      <c r="J23" s="2776"/>
      <c r="K23" s="2776"/>
      <c r="L23" s="2207"/>
    </row>
    <row r="24" spans="2:12" ht="4.5" customHeight="1" x14ac:dyDescent="0.2">
      <c r="B24" s="2224"/>
      <c r="C24" s="2224"/>
      <c r="L24" s="2207"/>
    </row>
    <row r="25" spans="2:12" ht="13.5" customHeight="1" x14ac:dyDescent="0.2">
      <c r="B25" s="2219" t="s">
        <v>1355</v>
      </c>
      <c r="C25" s="2219"/>
      <c r="D25" s="2205"/>
      <c r="E25" s="2205"/>
      <c r="F25" s="2205"/>
      <c r="G25" s="2206"/>
      <c r="H25" s="2205"/>
      <c r="I25" s="2206"/>
      <c r="J25" s="2205"/>
      <c r="K25" s="2205"/>
      <c r="L25" s="2207"/>
    </row>
    <row r="26" spans="2:12" ht="45.75" customHeight="1" x14ac:dyDescent="0.2">
      <c r="B26" s="2776" t="s">
        <v>2223</v>
      </c>
      <c r="C26" s="2776"/>
      <c r="D26" s="2776"/>
      <c r="E26" s="2776"/>
      <c r="F26" s="2776"/>
      <c r="G26" s="2776"/>
      <c r="H26" s="2776"/>
      <c r="I26" s="2776"/>
      <c r="J26" s="2776"/>
      <c r="K26" s="2776"/>
      <c r="L26" s="2207"/>
    </row>
    <row r="27" spans="2:12" ht="4.5" customHeight="1" x14ac:dyDescent="0.2">
      <c r="B27" s="2224"/>
      <c r="C27" s="2224"/>
      <c r="L27" s="2207"/>
    </row>
    <row r="28" spans="2:12" ht="13.5" customHeight="1" x14ac:dyDescent="0.2">
      <c r="B28" s="2227" t="s">
        <v>1354</v>
      </c>
      <c r="C28" s="2227"/>
      <c r="D28" s="2205"/>
      <c r="E28" s="2205"/>
      <c r="F28" s="2205"/>
      <c r="G28" s="2206"/>
      <c r="H28" s="2205"/>
      <c r="I28" s="2206"/>
      <c r="J28" s="2205"/>
      <c r="K28" s="2205"/>
      <c r="L28" s="2207"/>
    </row>
    <row r="29" spans="2:12" ht="45.75" customHeight="1" x14ac:dyDescent="0.2">
      <c r="B29" s="2775" t="s">
        <v>2228</v>
      </c>
      <c r="C29" s="2775"/>
      <c r="D29" s="2776"/>
      <c r="E29" s="2776"/>
      <c r="F29" s="2776"/>
      <c r="G29" s="2776"/>
      <c r="H29" s="2776"/>
      <c r="I29" s="2776"/>
      <c r="J29" s="2776"/>
      <c r="K29" s="2776"/>
      <c r="L29" s="2207"/>
    </row>
    <row r="30" spans="2:12" ht="4.5" customHeight="1" x14ac:dyDescent="0.2">
      <c r="B30" s="2228"/>
      <c r="C30" s="2228"/>
      <c r="D30" s="2193"/>
      <c r="E30" s="2193"/>
      <c r="F30" s="2193"/>
      <c r="G30" s="2209"/>
      <c r="H30" s="2193"/>
      <c r="I30" s="2209"/>
      <c r="J30" s="2193"/>
      <c r="K30" s="2193"/>
      <c r="L30" s="2207"/>
    </row>
    <row r="31" spans="2:12" s="2193" customFormat="1" ht="13.5" customHeight="1" x14ac:dyDescent="0.2">
      <c r="B31" s="2229" t="s">
        <v>1844</v>
      </c>
      <c r="C31" s="2229"/>
      <c r="D31" s="2204"/>
      <c r="E31" s="2205"/>
      <c r="F31" s="2205"/>
      <c r="G31" s="2206"/>
      <c r="H31" s="2205"/>
      <c r="I31" s="2206"/>
      <c r="J31" s="2205"/>
      <c r="K31" s="2205"/>
      <c r="L31" s="2207"/>
    </row>
    <row r="32" spans="2:12" s="2193" customFormat="1" ht="44.25" customHeight="1" x14ac:dyDescent="0.2">
      <c r="B32" s="2775" t="s">
        <v>2213</v>
      </c>
      <c r="C32" s="2775"/>
      <c r="D32" s="2776"/>
      <c r="E32" s="2776"/>
      <c r="F32" s="2776"/>
      <c r="G32" s="2776"/>
      <c r="H32" s="2776"/>
      <c r="I32" s="2776"/>
      <c r="J32" s="2776"/>
      <c r="K32" s="2776"/>
      <c r="L32" s="2207"/>
    </row>
    <row r="33" spans="1:13" s="2193" customFormat="1" ht="4.5" customHeight="1" x14ac:dyDescent="0.2">
      <c r="B33" s="2228"/>
      <c r="C33" s="2228"/>
      <c r="G33" s="2209"/>
      <c r="I33" s="2209"/>
      <c r="L33" s="2207"/>
    </row>
    <row r="34" spans="1:13" s="2193" customFormat="1" x14ac:dyDescent="0.2">
      <c r="A34" s="2198"/>
      <c r="B34" s="2230"/>
      <c r="C34" s="2230"/>
      <c r="D34" s="2230"/>
      <c r="E34" s="2230"/>
      <c r="F34" s="2230"/>
      <c r="G34" s="2231"/>
      <c r="H34" s="2230"/>
      <c r="I34" s="2231"/>
      <c r="J34" s="2230"/>
      <c r="K34" s="2230"/>
      <c r="L34" s="2207"/>
    </row>
    <row r="35" spans="1:13" ht="11.85" customHeight="1" x14ac:dyDescent="0.2">
      <c r="B35" s="2232" t="s">
        <v>1845</v>
      </c>
      <c r="C35" s="2232"/>
      <c r="D35" s="2193"/>
      <c r="E35" s="2193"/>
      <c r="F35" s="2193"/>
      <c r="L35" s="2207"/>
    </row>
    <row r="36" spans="1:13" ht="9.6" customHeight="1" x14ac:dyDescent="0.2">
      <c r="B36" s="2199" t="s">
        <v>1951</v>
      </c>
      <c r="C36" s="2199"/>
      <c r="L36" s="2207"/>
    </row>
    <row r="37" spans="1:13" ht="9.6" customHeight="1" x14ac:dyDescent="0.2">
      <c r="B37" s="2199" t="s">
        <v>1952</v>
      </c>
      <c r="C37" s="2199"/>
    </row>
    <row r="38" spans="1:13" ht="11.85" customHeight="1" x14ac:dyDescent="0.2">
      <c r="B38" s="2233" t="s">
        <v>1846</v>
      </c>
      <c r="C38" s="2233"/>
    </row>
    <row r="39" spans="1:13" ht="9.6" customHeight="1" x14ac:dyDescent="0.2">
      <c r="B39" s="2199" t="s">
        <v>1348</v>
      </c>
      <c r="C39" s="2199"/>
      <c r="M39" s="2234"/>
    </row>
    <row r="40" spans="1:13" ht="12.6" customHeight="1" x14ac:dyDescent="0.2">
      <c r="B40" s="2233" t="s">
        <v>1847</v>
      </c>
      <c r="C40" s="2233"/>
      <c r="M40" s="2234"/>
    </row>
    <row r="41" spans="1:13" ht="9.6" customHeight="1" x14ac:dyDescent="0.2">
      <c r="B41" s="2199"/>
      <c r="C41" s="2199"/>
      <c r="M41" s="223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scale="96"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topLeftCell="B22" zoomScale="80" zoomScaleNormal="110" zoomScaleSheetLayoutView="80" workbookViewId="0">
      <selection activeCell="I38" sqref="I38"/>
    </sheetView>
  </sheetViews>
  <sheetFormatPr defaultColWidth="9.140625" defaultRowHeight="12.75" x14ac:dyDescent="0.2"/>
  <cols>
    <col min="1" max="1" width="1.5703125" style="2192" customWidth="1"/>
    <col min="2" max="2" width="21.42578125" style="2192" customWidth="1"/>
    <col min="3" max="3" width="6.140625" style="2192" customWidth="1"/>
    <col min="4" max="4" width="4.42578125" style="2192" customWidth="1"/>
    <col min="5" max="5" width="3.5703125" style="2192" customWidth="1"/>
    <col min="6" max="6" width="20.140625" style="2192" customWidth="1"/>
    <col min="7" max="7" width="3.5703125" style="2194" customWidth="1"/>
    <col min="8" max="8" width="10.5703125" style="2192" customWidth="1"/>
    <col min="9" max="9" width="3.42578125" style="2194" customWidth="1"/>
    <col min="10" max="10" width="19.5703125" style="2192" customWidth="1"/>
    <col min="11" max="11" width="8.5703125" style="2192" customWidth="1"/>
    <col min="12" max="12" width="1.42578125" style="2192" customWidth="1"/>
    <col min="13" max="13" width="3.42578125" style="2192" customWidth="1"/>
    <col min="14" max="16384" width="9.140625" style="2192"/>
  </cols>
  <sheetData>
    <row r="1" spans="1:13" ht="11.1" customHeight="1" x14ac:dyDescent="0.2">
      <c r="B1" s="2754" t="str">
        <f>'Single Audit Cover'!A7</f>
        <v>Grayslake  CCSD 46</v>
      </c>
      <c r="C1" s="2754"/>
      <c r="D1" s="2754"/>
      <c r="E1" s="2754"/>
      <c r="F1" s="2754"/>
      <c r="G1" s="2754"/>
      <c r="H1" s="2754"/>
      <c r="I1" s="2754"/>
      <c r="J1" s="2754"/>
      <c r="K1" s="2754"/>
      <c r="L1" s="2200"/>
      <c r="M1" s="2200"/>
    </row>
    <row r="2" spans="1:13" ht="12" customHeight="1" x14ac:dyDescent="0.2">
      <c r="B2" s="2756">
        <f>'Single Audit Cover'!E7</f>
        <v>34049046004</v>
      </c>
      <c r="C2" s="2756"/>
      <c r="D2" s="2756"/>
      <c r="E2" s="2756"/>
      <c r="F2" s="2756"/>
      <c r="G2" s="2756"/>
      <c r="H2" s="2756"/>
      <c r="I2" s="2756"/>
      <c r="J2" s="2756"/>
      <c r="K2" s="2756"/>
      <c r="L2" s="2201"/>
      <c r="M2" s="2202"/>
    </row>
    <row r="3" spans="1:13" ht="10.35" customHeight="1" x14ac:dyDescent="0.2">
      <c r="B3" s="2777" t="s">
        <v>1347</v>
      </c>
      <c r="C3" s="2777"/>
      <c r="D3" s="2777"/>
      <c r="E3" s="2777"/>
      <c r="F3" s="2777"/>
      <c r="G3" s="2777"/>
      <c r="H3" s="2777"/>
      <c r="I3" s="2777"/>
      <c r="J3" s="2777"/>
      <c r="K3" s="2777"/>
      <c r="L3" s="2203"/>
      <c r="M3" s="2203"/>
    </row>
    <row r="4" spans="1:13" ht="14.25" customHeight="1" x14ac:dyDescent="0.2">
      <c r="B4" s="2778" t="str">
        <f>'Single Audit Cover'!A4</f>
        <v>Year Ending June 30, 2018</v>
      </c>
      <c r="C4" s="2778"/>
      <c r="D4" s="2778"/>
      <c r="E4" s="2778"/>
      <c r="F4" s="2778"/>
      <c r="G4" s="2778"/>
      <c r="H4" s="2778"/>
      <c r="I4" s="2778"/>
      <c r="J4" s="2778"/>
      <c r="K4" s="2778"/>
      <c r="L4" s="2191"/>
      <c r="M4" s="2191"/>
    </row>
    <row r="5" spans="1:13" ht="7.5" customHeight="1" x14ac:dyDescent="0.2">
      <c r="B5" s="2195" t="s">
        <v>1231</v>
      </c>
      <c r="C5" s="2195"/>
    </row>
    <row r="6" spans="1:13" ht="7.5" customHeight="1" x14ac:dyDescent="0.2">
      <c r="B6" s="2204"/>
      <c r="C6" s="2204"/>
      <c r="D6" s="2205"/>
      <c r="E6" s="2205"/>
      <c r="F6" s="2205"/>
      <c r="G6" s="2206"/>
      <c r="H6" s="2205"/>
      <c r="I6" s="2206"/>
      <c r="J6" s="2205"/>
      <c r="K6" s="2205"/>
      <c r="L6" s="2207"/>
    </row>
    <row r="7" spans="1:13" ht="12.75" customHeight="1" x14ac:dyDescent="0.2">
      <c r="A7" s="2196"/>
      <c r="B7" s="2778" t="s">
        <v>1363</v>
      </c>
      <c r="C7" s="2778"/>
      <c r="D7" s="2779"/>
      <c r="E7" s="2779"/>
      <c r="F7" s="2779"/>
      <c r="G7" s="2779"/>
      <c r="H7" s="2779"/>
      <c r="I7" s="2779"/>
      <c r="J7" s="2779"/>
      <c r="K7" s="2779"/>
      <c r="L7" s="2208"/>
    </row>
    <row r="8" spans="1:13" ht="7.5" customHeight="1" x14ac:dyDescent="0.2">
      <c r="B8" s="2193"/>
      <c r="C8" s="2193"/>
      <c r="D8" s="2193"/>
      <c r="E8" s="2193"/>
      <c r="F8" s="2193"/>
      <c r="G8" s="2209"/>
      <c r="H8" s="2193"/>
      <c r="I8" s="2209"/>
      <c r="J8" s="2193"/>
      <c r="K8" s="2193"/>
      <c r="L8" s="2207"/>
    </row>
    <row r="9" spans="1:13" ht="9.6" customHeight="1" x14ac:dyDescent="0.2">
      <c r="B9" s="2205"/>
      <c r="C9" s="2205"/>
      <c r="D9" s="2205"/>
      <c r="E9" s="2205"/>
      <c r="F9" s="2205"/>
      <c r="G9" s="2206"/>
      <c r="H9" s="2205"/>
      <c r="I9" s="2206"/>
      <c r="J9" s="2205"/>
      <c r="K9" s="2205"/>
      <c r="L9" s="2207"/>
    </row>
    <row r="10" spans="1:13" ht="16.5" customHeight="1" x14ac:dyDescent="0.2">
      <c r="B10" s="2210" t="s">
        <v>1842</v>
      </c>
      <c r="C10" s="2211" t="s">
        <v>1950</v>
      </c>
      <c r="D10" s="2212">
        <v>5</v>
      </c>
      <c r="E10" s="2193"/>
      <c r="F10" s="2213" t="s">
        <v>1362</v>
      </c>
      <c r="G10" s="2214" t="s">
        <v>2074</v>
      </c>
      <c r="H10" s="2215" t="s">
        <v>1361</v>
      </c>
      <c r="I10" s="2214"/>
      <c r="J10" s="2216" t="s">
        <v>1360</v>
      </c>
      <c r="K10" s="2193"/>
      <c r="L10" s="2207"/>
    </row>
    <row r="11" spans="1:13" ht="13.5" customHeight="1" x14ac:dyDescent="0.2">
      <c r="B11" s="2193"/>
      <c r="C11" s="2193"/>
      <c r="D11" s="2193"/>
      <c r="E11" s="2193"/>
      <c r="F11" s="2193"/>
      <c r="G11" s="2209"/>
      <c r="H11" s="2193"/>
      <c r="I11" s="2217" t="s">
        <v>1359</v>
      </c>
      <c r="J11" s="2193"/>
      <c r="K11" s="2218"/>
      <c r="L11" s="2207"/>
    </row>
    <row r="12" spans="1:13" ht="13.5" customHeight="1" x14ac:dyDescent="0.2">
      <c r="B12" s="2197"/>
      <c r="C12" s="2197"/>
      <c r="D12" s="2193"/>
      <c r="E12" s="2193"/>
      <c r="F12" s="2193"/>
      <c r="G12" s="2209"/>
      <c r="H12" s="2193"/>
      <c r="I12" s="2209"/>
      <c r="J12" s="2193"/>
      <c r="L12" s="2207"/>
    </row>
    <row r="13" spans="1:13" s="2196" customFormat="1" ht="13.5" customHeight="1" x14ac:dyDescent="0.2">
      <c r="B13" s="2219" t="s">
        <v>1358</v>
      </c>
      <c r="C13" s="2219"/>
      <c r="D13" s="2220"/>
      <c r="E13" s="2220"/>
      <c r="F13" s="2220"/>
      <c r="G13" s="2221"/>
      <c r="H13" s="2220"/>
      <c r="I13" s="2221"/>
      <c r="J13" s="2220"/>
      <c r="K13" s="2220"/>
      <c r="L13" s="2222"/>
    </row>
    <row r="14" spans="1:13" ht="45.75" customHeight="1" x14ac:dyDescent="0.2">
      <c r="B14" s="2776" t="s">
        <v>2199</v>
      </c>
      <c r="C14" s="2776"/>
      <c r="D14" s="2776"/>
      <c r="E14" s="2776"/>
      <c r="F14" s="2776"/>
      <c r="G14" s="2776"/>
      <c r="H14" s="2776"/>
      <c r="I14" s="2776"/>
      <c r="J14" s="2776"/>
      <c r="K14" s="2776"/>
      <c r="L14" s="2223"/>
    </row>
    <row r="15" spans="1:13" ht="4.5" customHeight="1" x14ac:dyDescent="0.2">
      <c r="B15" s="2224"/>
      <c r="C15" s="2224"/>
      <c r="D15" s="2225"/>
      <c r="E15" s="2225"/>
      <c r="F15" s="2225"/>
      <c r="H15" s="2225"/>
      <c r="J15" s="2225"/>
      <c r="K15" s="2225"/>
      <c r="L15" s="2223"/>
    </row>
    <row r="16" spans="1:13" s="2196" customFormat="1" ht="13.5" customHeight="1" x14ac:dyDescent="0.2">
      <c r="B16" s="2219" t="s">
        <v>1357</v>
      </c>
      <c r="C16" s="2219"/>
      <c r="D16" s="2220"/>
      <c r="E16" s="2220"/>
      <c r="F16" s="2220"/>
      <c r="G16" s="2221"/>
      <c r="H16" s="2220"/>
      <c r="I16" s="2221"/>
      <c r="J16" s="2220"/>
      <c r="K16" s="2220"/>
      <c r="L16" s="2222"/>
    </row>
    <row r="17" spans="2:12" ht="45.75" customHeight="1" x14ac:dyDescent="0.2">
      <c r="B17" s="2776" t="s">
        <v>2229</v>
      </c>
      <c r="C17" s="2776"/>
      <c r="D17" s="2776"/>
      <c r="E17" s="2776"/>
      <c r="F17" s="2776"/>
      <c r="G17" s="2776"/>
      <c r="H17" s="2776"/>
      <c r="I17" s="2776"/>
      <c r="J17" s="2776"/>
      <c r="K17" s="2776"/>
      <c r="L17" s="2207"/>
    </row>
    <row r="18" spans="2:12" ht="4.5" customHeight="1" x14ac:dyDescent="0.2">
      <c r="B18" s="2224"/>
      <c r="C18" s="2224"/>
      <c r="L18" s="2207"/>
    </row>
    <row r="19" spans="2:12" s="2196" customFormat="1" ht="13.5" customHeight="1" x14ac:dyDescent="0.2">
      <c r="B19" s="2219" t="s">
        <v>1843</v>
      </c>
      <c r="C19" s="2219"/>
      <c r="D19" s="2220"/>
      <c r="E19" s="2220"/>
      <c r="F19" s="2220"/>
      <c r="G19" s="2221"/>
      <c r="H19" s="2220"/>
      <c r="I19" s="2221"/>
      <c r="J19" s="2220"/>
      <c r="K19" s="2220"/>
      <c r="L19" s="2222"/>
    </row>
    <row r="20" spans="2:12" ht="45.75" customHeight="1" x14ac:dyDescent="0.2">
      <c r="B20" s="2780" t="s">
        <v>2230</v>
      </c>
      <c r="C20" s="2780"/>
      <c r="D20" s="2776"/>
      <c r="E20" s="2776"/>
      <c r="F20" s="2776"/>
      <c r="G20" s="2776"/>
      <c r="H20" s="2776"/>
      <c r="I20" s="2776"/>
      <c r="J20" s="2776"/>
      <c r="K20" s="2776"/>
      <c r="L20" s="2207"/>
    </row>
    <row r="21" spans="2:12" ht="4.5" customHeight="1" x14ac:dyDescent="0.2">
      <c r="B21" s="2226"/>
      <c r="C21" s="2226"/>
      <c r="L21" s="2207"/>
    </row>
    <row r="22" spans="2:12" ht="13.5" customHeight="1" x14ac:dyDescent="0.2">
      <c r="B22" s="2219" t="s">
        <v>1356</v>
      </c>
      <c r="C22" s="2219"/>
      <c r="D22" s="2205"/>
      <c r="E22" s="2205"/>
      <c r="F22" s="2205"/>
      <c r="G22" s="2206"/>
      <c r="H22" s="2205"/>
      <c r="I22" s="2206"/>
      <c r="J22" s="2205"/>
      <c r="K22" s="2205"/>
      <c r="L22" s="2207"/>
    </row>
    <row r="23" spans="2:12" ht="45" customHeight="1" x14ac:dyDescent="0.2">
      <c r="B23" s="2776" t="s">
        <v>2231</v>
      </c>
      <c r="C23" s="2776"/>
      <c r="D23" s="2776"/>
      <c r="E23" s="2776"/>
      <c r="F23" s="2776"/>
      <c r="G23" s="2776"/>
      <c r="H23" s="2776"/>
      <c r="I23" s="2776"/>
      <c r="J23" s="2776"/>
      <c r="K23" s="2776"/>
      <c r="L23" s="2207"/>
    </row>
    <row r="24" spans="2:12" ht="4.5" customHeight="1" x14ac:dyDescent="0.2">
      <c r="B24" s="2224"/>
      <c r="C24" s="2224"/>
      <c r="L24" s="2207"/>
    </row>
    <row r="25" spans="2:12" ht="13.5" customHeight="1" x14ac:dyDescent="0.2">
      <c r="B25" s="2219" t="s">
        <v>1355</v>
      </c>
      <c r="C25" s="2219"/>
      <c r="D25" s="2205"/>
      <c r="E25" s="2205"/>
      <c r="F25" s="2205"/>
      <c r="G25" s="2206"/>
      <c r="H25" s="2205"/>
      <c r="I25" s="2206"/>
      <c r="J25" s="2205"/>
      <c r="K25" s="2205"/>
      <c r="L25" s="2207"/>
    </row>
    <row r="26" spans="2:12" ht="45.75" customHeight="1" x14ac:dyDescent="0.2">
      <c r="B26" s="2776" t="s">
        <v>2232</v>
      </c>
      <c r="C26" s="2776"/>
      <c r="D26" s="2776"/>
      <c r="E26" s="2776"/>
      <c r="F26" s="2776"/>
      <c r="G26" s="2776"/>
      <c r="H26" s="2776"/>
      <c r="I26" s="2776"/>
      <c r="J26" s="2776"/>
      <c r="K26" s="2776"/>
      <c r="L26" s="2207"/>
    </row>
    <row r="27" spans="2:12" ht="4.5" customHeight="1" x14ac:dyDescent="0.2">
      <c r="B27" s="2224"/>
      <c r="C27" s="2224"/>
      <c r="L27" s="2207"/>
    </row>
    <row r="28" spans="2:12" ht="13.5" customHeight="1" x14ac:dyDescent="0.2">
      <c r="B28" s="2227" t="s">
        <v>1354</v>
      </c>
      <c r="C28" s="2227"/>
      <c r="D28" s="2205"/>
      <c r="E28" s="2205"/>
      <c r="F28" s="2205"/>
      <c r="G28" s="2206"/>
      <c r="H28" s="2205"/>
      <c r="I28" s="2206"/>
      <c r="J28" s="2205"/>
      <c r="K28" s="2205"/>
      <c r="L28" s="2207"/>
    </row>
    <row r="29" spans="2:12" ht="45.75" customHeight="1" x14ac:dyDescent="0.2">
      <c r="B29" s="2775" t="s">
        <v>2233</v>
      </c>
      <c r="C29" s="2775"/>
      <c r="D29" s="2776"/>
      <c r="E29" s="2776"/>
      <c r="F29" s="2776"/>
      <c r="G29" s="2776"/>
      <c r="H29" s="2776"/>
      <c r="I29" s="2776"/>
      <c r="J29" s="2776"/>
      <c r="K29" s="2776"/>
      <c r="L29" s="2207"/>
    </row>
    <row r="30" spans="2:12" ht="4.5" customHeight="1" x14ac:dyDescent="0.2">
      <c r="B30" s="2228"/>
      <c r="C30" s="2228"/>
      <c r="D30" s="2193"/>
      <c r="E30" s="2193"/>
      <c r="F30" s="2193"/>
      <c r="G30" s="2209"/>
      <c r="H30" s="2193"/>
      <c r="I30" s="2209"/>
      <c r="J30" s="2193"/>
      <c r="K30" s="2193"/>
      <c r="L30" s="2207"/>
    </row>
    <row r="31" spans="2:12" s="2193" customFormat="1" ht="13.5" customHeight="1" x14ac:dyDescent="0.2">
      <c r="B31" s="2229" t="s">
        <v>1844</v>
      </c>
      <c r="C31" s="2229"/>
      <c r="D31" s="2204"/>
      <c r="E31" s="2205"/>
      <c r="F31" s="2205"/>
      <c r="G31" s="2206"/>
      <c r="H31" s="2205"/>
      <c r="I31" s="2206"/>
      <c r="J31" s="2205"/>
      <c r="K31" s="2205"/>
      <c r="L31" s="2207"/>
    </row>
    <row r="32" spans="2:12" s="2193" customFormat="1" ht="44.25" customHeight="1" x14ac:dyDescent="0.2">
      <c r="B32" s="2775" t="s">
        <v>2234</v>
      </c>
      <c r="C32" s="2775"/>
      <c r="D32" s="2776"/>
      <c r="E32" s="2776"/>
      <c r="F32" s="2776"/>
      <c r="G32" s="2776"/>
      <c r="H32" s="2776"/>
      <c r="I32" s="2776"/>
      <c r="J32" s="2776"/>
      <c r="K32" s="2776"/>
      <c r="L32" s="2207"/>
    </row>
    <row r="33" spans="1:13" s="2193" customFormat="1" ht="4.5" customHeight="1" x14ac:dyDescent="0.2">
      <c r="B33" s="2228"/>
      <c r="C33" s="2228"/>
      <c r="G33" s="2209"/>
      <c r="I33" s="2209"/>
      <c r="L33" s="2207"/>
    </row>
    <row r="34" spans="1:13" s="2193" customFormat="1" x14ac:dyDescent="0.2">
      <c r="A34" s="2198"/>
      <c r="B34" s="2230"/>
      <c r="C34" s="2230"/>
      <c r="D34" s="2230"/>
      <c r="E34" s="2230"/>
      <c r="F34" s="2230"/>
      <c r="G34" s="2231"/>
      <c r="H34" s="2230"/>
      <c r="I34" s="2231"/>
      <c r="J34" s="2230"/>
      <c r="K34" s="2230"/>
      <c r="L34" s="2207"/>
    </row>
    <row r="35" spans="1:13" ht="11.85" customHeight="1" x14ac:dyDescent="0.2">
      <c r="B35" s="2232" t="s">
        <v>1845</v>
      </c>
      <c r="C35" s="2232"/>
      <c r="D35" s="2193"/>
      <c r="E35" s="2193"/>
      <c r="F35" s="2193"/>
      <c r="L35" s="2207"/>
    </row>
    <row r="36" spans="1:13" ht="9.6" customHeight="1" x14ac:dyDescent="0.2">
      <c r="B36" s="2199" t="s">
        <v>1951</v>
      </c>
      <c r="C36" s="2199"/>
      <c r="L36" s="2207"/>
    </row>
    <row r="37" spans="1:13" ht="9.6" customHeight="1" x14ac:dyDescent="0.2">
      <c r="B37" s="2199" t="s">
        <v>1952</v>
      </c>
      <c r="C37" s="2199"/>
    </row>
    <row r="38" spans="1:13" ht="11.85" customHeight="1" x14ac:dyDescent="0.2">
      <c r="B38" s="2233" t="s">
        <v>1846</v>
      </c>
      <c r="C38" s="2233"/>
    </row>
    <row r="39" spans="1:13" ht="9.6" customHeight="1" x14ac:dyDescent="0.2">
      <c r="B39" s="2199" t="s">
        <v>1348</v>
      </c>
      <c r="C39" s="2199"/>
      <c r="M39" s="2234"/>
    </row>
    <row r="40" spans="1:13" ht="12.6" customHeight="1" x14ac:dyDescent="0.2">
      <c r="B40" s="2233" t="s">
        <v>1847</v>
      </c>
      <c r="C40" s="2233"/>
      <c r="M40" s="2234"/>
    </row>
    <row r="41" spans="1:13" ht="9.6" customHeight="1" x14ac:dyDescent="0.2">
      <c r="B41" s="2199"/>
      <c r="C41" s="2199"/>
      <c r="M41" s="223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scale="96"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topLeftCell="A19" zoomScale="60" zoomScaleNormal="110" workbookViewId="0">
      <selection activeCell="D14" sqref="D14:F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781" t="str">
        <f>'Single Audit Cover'!A7</f>
        <v>Grayslake  CCSD 46</v>
      </c>
      <c r="C1" s="2781"/>
      <c r="D1" s="2781"/>
      <c r="E1" s="2781"/>
      <c r="F1" s="2781"/>
      <c r="G1" s="2781"/>
      <c r="H1" s="2781"/>
      <c r="I1" s="2781"/>
      <c r="J1" s="2781"/>
      <c r="K1" s="2781"/>
      <c r="L1" s="1461"/>
    </row>
    <row r="2" spans="1:12" ht="12.75" customHeight="1" x14ac:dyDescent="0.2">
      <c r="B2" s="2782">
        <f>'Single Audit Cover'!E7</f>
        <v>34049046004</v>
      </c>
      <c r="C2" s="2782"/>
      <c r="D2" s="2782"/>
      <c r="E2" s="2782"/>
      <c r="F2" s="2782"/>
      <c r="G2" s="2782"/>
      <c r="H2" s="2782"/>
      <c r="I2" s="2782"/>
      <c r="J2" s="2782"/>
      <c r="K2" s="2782"/>
      <c r="L2" s="1462"/>
    </row>
    <row r="3" spans="1:12" ht="12.75" customHeight="1" x14ac:dyDescent="0.2">
      <c r="B3" s="2777" t="s">
        <v>1347</v>
      </c>
      <c r="C3" s="2777"/>
      <c r="D3" s="2777"/>
      <c r="E3" s="2777"/>
      <c r="F3" s="2777"/>
      <c r="G3" s="2777"/>
      <c r="H3" s="2777"/>
      <c r="I3" s="2777"/>
      <c r="J3" s="2777"/>
      <c r="K3" s="2777"/>
      <c r="L3" s="1373"/>
    </row>
    <row r="4" spans="1:12" ht="12.75" customHeight="1" x14ac:dyDescent="0.2">
      <c r="B4" s="2777" t="str">
        <f>'Single Audit Cover'!A4</f>
        <v>Year Ending June 30, 2018</v>
      </c>
      <c r="C4" s="2777"/>
      <c r="D4" s="2777"/>
      <c r="E4" s="2777"/>
      <c r="F4" s="2777"/>
      <c r="G4" s="2777"/>
      <c r="H4" s="2777"/>
      <c r="I4" s="2777"/>
      <c r="J4" s="2777"/>
      <c r="K4" s="2777"/>
      <c r="L4" s="1373"/>
    </row>
    <row r="5" spans="1:12" ht="5.25" customHeight="1" x14ac:dyDescent="0.2">
      <c r="B5" s="1258" t="s">
        <v>1231</v>
      </c>
      <c r="C5" s="1258"/>
      <c r="L5" s="322"/>
    </row>
    <row r="6" spans="1:12" ht="30.75" customHeight="1" x14ac:dyDescent="0.2">
      <c r="A6" s="322"/>
      <c r="B6" s="2783" t="s">
        <v>1375</v>
      </c>
      <c r="C6" s="2783"/>
      <c r="D6" s="2783"/>
      <c r="E6" s="2783"/>
      <c r="F6" s="2783"/>
      <c r="G6" s="2783"/>
      <c r="H6" s="2783"/>
      <c r="I6" s="2783"/>
      <c r="J6" s="2783"/>
      <c r="K6" s="2783"/>
      <c r="L6" s="322"/>
    </row>
    <row r="7" spans="1:12" ht="4.5" customHeight="1" x14ac:dyDescent="0.2">
      <c r="B7" s="1375"/>
      <c r="C7" s="1375"/>
      <c r="D7" s="1375"/>
      <c r="E7" s="1375"/>
      <c r="F7" s="1375"/>
      <c r="G7" s="1376"/>
      <c r="H7" s="1375"/>
      <c r="I7" s="1376"/>
      <c r="J7" s="1375"/>
      <c r="K7" s="1375"/>
      <c r="L7" s="322"/>
    </row>
    <row r="8" spans="1:12" ht="13.5" customHeight="1" x14ac:dyDescent="0.2">
      <c r="B8" s="1383" t="s">
        <v>1856</v>
      </c>
      <c r="C8" s="1463" t="s">
        <v>1950</v>
      </c>
      <c r="D8" s="1464" t="s">
        <v>2206</v>
      </c>
      <c r="E8" s="322"/>
      <c r="F8" s="1380" t="s">
        <v>1362</v>
      </c>
      <c r="G8" s="1465"/>
      <c r="H8" s="1466" t="s">
        <v>1374</v>
      </c>
      <c r="I8" s="1465"/>
      <c r="J8" s="1467" t="s">
        <v>1373</v>
      </c>
      <c r="L8" s="322"/>
    </row>
    <row r="9" spans="1:12" ht="13.5" customHeight="1" x14ac:dyDescent="0.2">
      <c r="D9" s="322"/>
      <c r="E9" s="322"/>
      <c r="F9" s="322"/>
      <c r="G9" s="1379"/>
      <c r="H9" s="322"/>
      <c r="I9" s="1468" t="s">
        <v>1359</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1372</v>
      </c>
      <c r="C12" s="1380"/>
      <c r="D12" s="304"/>
      <c r="E12" s="322"/>
      <c r="F12" s="2761"/>
      <c r="G12" s="2761"/>
      <c r="H12" s="2761"/>
      <c r="I12" s="2761"/>
      <c r="J12" s="2761"/>
      <c r="K12" s="2761"/>
      <c r="L12" s="322"/>
    </row>
    <row r="13" spans="1:12" ht="9.6" customHeight="1" x14ac:dyDescent="0.2">
      <c r="B13" s="1255"/>
      <c r="C13" s="1255"/>
      <c r="D13" s="304"/>
      <c r="E13" s="322"/>
      <c r="F13" s="322"/>
      <c r="G13" s="1379"/>
      <c r="H13" s="322"/>
      <c r="I13" s="1379"/>
      <c r="J13" s="322"/>
      <c r="K13" s="1428"/>
      <c r="L13" s="322"/>
    </row>
    <row r="14" spans="1:12" ht="13.5" customHeight="1" x14ac:dyDescent="0.2">
      <c r="B14" s="1383" t="s">
        <v>1371</v>
      </c>
      <c r="C14" s="1383"/>
      <c r="D14" s="2784"/>
      <c r="E14" s="2784"/>
      <c r="F14" s="2784"/>
      <c r="H14" s="1471" t="s">
        <v>1370</v>
      </c>
      <c r="I14" s="2785"/>
      <c r="J14" s="2785"/>
      <c r="K14" s="2785"/>
      <c r="L14" s="322"/>
    </row>
    <row r="15" spans="1:12" ht="9.4" customHeight="1" x14ac:dyDescent="0.2">
      <c r="B15" s="1383"/>
      <c r="C15" s="1383"/>
      <c r="D15" s="1369"/>
      <c r="E15" s="1258"/>
      <c r="F15" s="1258"/>
      <c r="G15" s="1284"/>
      <c r="H15" s="1258"/>
      <c r="I15" s="1472"/>
      <c r="J15" s="1292"/>
      <c r="K15" s="1289"/>
      <c r="L15" s="322"/>
    </row>
    <row r="16" spans="1:12" ht="13.5" customHeight="1" x14ac:dyDescent="0.2">
      <c r="B16" s="1383" t="s">
        <v>1369</v>
      </c>
      <c r="C16" s="1383"/>
      <c r="D16" s="2785"/>
      <c r="E16" s="2785"/>
      <c r="F16" s="2785"/>
      <c r="G16" s="2785"/>
      <c r="H16" s="2785"/>
      <c r="I16" s="2785"/>
      <c r="J16" s="2785"/>
      <c r="K16" s="2785"/>
      <c r="L16" s="322"/>
    </row>
    <row r="17" spans="2:12" ht="13.5" customHeight="1" x14ac:dyDescent="0.2">
      <c r="B17" s="1383" t="s">
        <v>1368</v>
      </c>
      <c r="C17" s="1383"/>
      <c r="D17" s="2786"/>
      <c r="E17" s="2786"/>
      <c r="F17" s="2786"/>
      <c r="G17" s="2786"/>
      <c r="H17" s="2786"/>
      <c r="I17" s="2786"/>
      <c r="J17" s="2786"/>
      <c r="K17" s="2786"/>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1367</v>
      </c>
      <c r="C19" s="1473"/>
      <c r="D19" s="328"/>
      <c r="E19" s="328"/>
      <c r="F19" s="328"/>
      <c r="G19" s="1474"/>
      <c r="H19" s="328"/>
      <c r="I19" s="1474"/>
      <c r="J19" s="322"/>
      <c r="K19" s="322"/>
      <c r="L19" s="322"/>
    </row>
    <row r="20" spans="2:12" ht="35.25" customHeight="1" x14ac:dyDescent="0.2">
      <c r="B20" s="2776"/>
      <c r="C20" s="2776"/>
      <c r="D20" s="2776"/>
      <c r="E20" s="2776"/>
      <c r="F20" s="2776"/>
      <c r="G20" s="2776"/>
      <c r="H20" s="2776"/>
      <c r="I20" s="2776"/>
      <c r="J20" s="2776"/>
      <c r="K20" s="2776"/>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1857</v>
      </c>
      <c r="C22" s="1473"/>
      <c r="D22" s="322"/>
      <c r="E22" s="322"/>
      <c r="F22" s="322"/>
      <c r="G22" s="1379"/>
      <c r="H22" s="322"/>
      <c r="I22" s="1379"/>
      <c r="J22" s="322"/>
      <c r="K22" s="322"/>
      <c r="L22" s="322"/>
    </row>
    <row r="23" spans="2:12" ht="37.5" customHeight="1" x14ac:dyDescent="0.2">
      <c r="B23" s="2776"/>
      <c r="C23" s="2776"/>
      <c r="D23" s="2776"/>
      <c r="E23" s="2776"/>
      <c r="F23" s="2776"/>
      <c r="G23" s="2776"/>
      <c r="H23" s="2776"/>
      <c r="I23" s="2776"/>
      <c r="J23" s="2776"/>
      <c r="K23" s="2776"/>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1858</v>
      </c>
      <c r="C25" s="1473"/>
      <c r="D25" s="322"/>
      <c r="E25" s="322"/>
      <c r="F25" s="322"/>
      <c r="G25" s="1379"/>
      <c r="H25" s="322"/>
      <c r="I25" s="1379"/>
      <c r="J25" s="322"/>
      <c r="K25" s="322"/>
      <c r="L25" s="322"/>
    </row>
    <row r="26" spans="2:12" ht="37.5" customHeight="1" x14ac:dyDescent="0.2">
      <c r="B26" s="2776"/>
      <c r="C26" s="2776"/>
      <c r="D26" s="2776"/>
      <c r="E26" s="2776"/>
      <c r="F26" s="2776"/>
      <c r="G26" s="2776"/>
      <c r="H26" s="2776"/>
      <c r="I26" s="2776"/>
      <c r="J26" s="2776"/>
      <c r="K26" s="2776"/>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1859</v>
      </c>
      <c r="C28" s="1473"/>
      <c r="D28" s="322"/>
      <c r="E28" s="322"/>
      <c r="F28" s="322"/>
      <c r="G28" s="1379"/>
      <c r="H28" s="322"/>
      <c r="I28" s="1379"/>
      <c r="J28" s="322"/>
      <c r="K28" s="322"/>
      <c r="L28" s="322"/>
    </row>
    <row r="29" spans="2:12" ht="37.5" customHeight="1" x14ac:dyDescent="0.2">
      <c r="B29" s="2776"/>
      <c r="C29" s="2776"/>
      <c r="D29" s="2776"/>
      <c r="E29" s="2776"/>
      <c r="F29" s="2776"/>
      <c r="G29" s="2776"/>
      <c r="H29" s="2776"/>
      <c r="I29" s="2776"/>
      <c r="J29" s="2776"/>
      <c r="K29" s="2776"/>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1366</v>
      </c>
      <c r="C31" s="1473"/>
      <c r="D31" s="322"/>
      <c r="E31" s="322"/>
      <c r="F31" s="322"/>
      <c r="G31" s="1379"/>
      <c r="H31" s="322"/>
      <c r="I31" s="1379"/>
      <c r="J31" s="322"/>
      <c r="K31" s="322"/>
      <c r="L31" s="322"/>
    </row>
    <row r="32" spans="2:12" ht="37.5" customHeight="1" x14ac:dyDescent="0.2">
      <c r="B32" s="2776"/>
      <c r="C32" s="2776"/>
      <c r="D32" s="2776"/>
      <c r="E32" s="2776"/>
      <c r="F32" s="2776"/>
      <c r="G32" s="2776"/>
      <c r="H32" s="2776"/>
      <c r="I32" s="2776"/>
      <c r="J32" s="2776"/>
      <c r="K32" s="2776"/>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1365</v>
      </c>
      <c r="C34" s="1380"/>
      <c r="D34" s="322"/>
      <c r="E34" s="322"/>
      <c r="F34" s="322"/>
      <c r="G34" s="1379"/>
      <c r="H34" s="322"/>
      <c r="I34" s="1379"/>
      <c r="J34" s="322"/>
      <c r="K34" s="322"/>
      <c r="L34" s="322"/>
    </row>
    <row r="35" spans="2:12" ht="37.5" customHeight="1" x14ac:dyDescent="0.2">
      <c r="B35" s="2776"/>
      <c r="C35" s="2776"/>
      <c r="D35" s="2776"/>
      <c r="E35" s="2776"/>
      <c r="F35" s="2776"/>
      <c r="G35" s="2776"/>
      <c r="H35" s="2776"/>
      <c r="I35" s="2776"/>
      <c r="J35" s="2776"/>
      <c r="K35" s="2776"/>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1364</v>
      </c>
      <c r="C37" s="1380"/>
      <c r="D37" s="322"/>
      <c r="E37" s="322"/>
      <c r="F37" s="322"/>
      <c r="G37" s="1379"/>
      <c r="H37" s="322"/>
      <c r="I37" s="1379"/>
      <c r="J37" s="322"/>
      <c r="K37" s="322"/>
      <c r="L37" s="322"/>
    </row>
    <row r="38" spans="2:12" ht="35.25" customHeight="1" x14ac:dyDescent="0.2">
      <c r="B38" s="2776"/>
      <c r="C38" s="2776"/>
      <c r="D38" s="2776"/>
      <c r="E38" s="2776"/>
      <c r="F38" s="2776"/>
      <c r="G38" s="2776"/>
      <c r="H38" s="2776"/>
      <c r="I38" s="2776"/>
      <c r="J38" s="2776"/>
      <c r="K38" s="277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1860</v>
      </c>
      <c r="C40" s="1399"/>
      <c r="D40" s="1374"/>
      <c r="E40" s="1375"/>
      <c r="F40" s="1375"/>
      <c r="G40" s="1376"/>
      <c r="H40" s="1375"/>
      <c r="I40" s="1376"/>
      <c r="J40" s="1375"/>
      <c r="K40" s="1375"/>
    </row>
    <row r="41" spans="2:12" s="322" customFormat="1" ht="33.75" customHeight="1" x14ac:dyDescent="0.2">
      <c r="B41" s="2776"/>
      <c r="C41" s="2776"/>
      <c r="D41" s="2776"/>
      <c r="E41" s="2776"/>
      <c r="F41" s="2776"/>
      <c r="G41" s="2776"/>
      <c r="H41" s="2776"/>
      <c r="I41" s="2776"/>
      <c r="J41" s="2776"/>
      <c r="K41" s="2776"/>
    </row>
    <row r="42" spans="2:12" s="322" customFormat="1" ht="4.5" customHeight="1" x14ac:dyDescent="0.2">
      <c r="B42" s="1398"/>
      <c r="C42" s="1398"/>
      <c r="G42" s="1379"/>
      <c r="I42" s="1379"/>
    </row>
    <row r="43" spans="2:12" s="322" customFormat="1" ht="13.5" customHeight="1" x14ac:dyDescent="0.2">
      <c r="B43" s="1478" t="s">
        <v>1353</v>
      </c>
      <c r="C43" s="1479"/>
      <c r="D43" s="1400"/>
      <c r="E43" s="1400"/>
      <c r="F43" s="1400"/>
      <c r="G43" s="1401"/>
      <c r="H43" s="1400"/>
      <c r="I43" s="1401"/>
      <c r="J43" s="1400"/>
      <c r="K43" s="1402"/>
      <c r="L43" s="1480"/>
    </row>
    <row r="44" spans="2:12" s="322" customFormat="1" ht="13.5" customHeight="1" x14ac:dyDescent="0.2">
      <c r="B44" s="1403" t="s">
        <v>1352</v>
      </c>
      <c r="C44" s="1404"/>
      <c r="D44" s="1481"/>
      <c r="E44" s="1405"/>
      <c r="F44" s="1409" t="s">
        <v>1351</v>
      </c>
      <c r="G44" s="1407"/>
      <c r="H44" s="1406"/>
      <c r="I44" s="1407"/>
      <c r="J44" s="1482"/>
      <c r="K44" s="1483"/>
      <c r="L44" s="1480"/>
    </row>
    <row r="45" spans="2:12" s="322" customFormat="1" ht="13.5" customHeight="1" x14ac:dyDescent="0.2">
      <c r="B45" s="1403" t="s">
        <v>1350</v>
      </c>
      <c r="C45" s="1404"/>
      <c r="D45" s="1482"/>
      <c r="E45" s="1406"/>
      <c r="F45" s="1409" t="s">
        <v>1349</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1861</v>
      </c>
      <c r="C48" s="1415"/>
      <c r="D48" s="322"/>
      <c r="E48" s="322"/>
      <c r="F48" s="322"/>
    </row>
    <row r="49" spans="2:3" s="317" customFormat="1" ht="10.5" customHeight="1" x14ac:dyDescent="0.2">
      <c r="B49" s="1416" t="s">
        <v>1862</v>
      </c>
      <c r="C49" s="1416"/>
    </row>
    <row r="50" spans="2:3" s="317" customFormat="1" ht="11.1" customHeight="1" x14ac:dyDescent="0.2">
      <c r="B50" s="1416" t="s">
        <v>1863</v>
      </c>
      <c r="C50" s="1416"/>
    </row>
    <row r="51" spans="2:3" s="317" customFormat="1" ht="11.1" customHeight="1" x14ac:dyDescent="0.2">
      <c r="B51" s="1416" t="s">
        <v>1864</v>
      </c>
      <c r="C51" s="1416"/>
    </row>
    <row r="52" spans="2:3" s="317" customFormat="1" ht="11.1" customHeight="1" x14ac:dyDescent="0.2">
      <c r="B52" s="1416" t="s">
        <v>1865</v>
      </c>
      <c r="C52" s="14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view="pageBreakPreview" topLeftCell="A13" zoomScale="60" zoomScaleNormal="110" workbookViewId="0">
      <selection activeCell="D15" sqref="D15"/>
    </sheetView>
  </sheetViews>
  <sheetFormatPr defaultColWidth="9.140625" defaultRowHeight="12.75" x14ac:dyDescent="0.2"/>
  <cols>
    <col min="1" max="1" width="1.5703125" style="317" customWidth="1"/>
    <col min="2" max="2" width="14.7109375" style="317" customWidth="1"/>
    <col min="3" max="3" width="50.42578125" style="317" customWidth="1"/>
    <col min="4" max="4" width="42.28515625" style="317" customWidth="1"/>
    <col min="5" max="5" width="12" style="317" customWidth="1"/>
    <col min="6" max="9" width="9.140625" style="317"/>
    <col min="10" max="10" width="6.7109375" style="317" customWidth="1"/>
    <col min="11" max="16384" width="9.140625" style="317"/>
  </cols>
  <sheetData>
    <row r="1" spans="2:5" s="1280" customFormat="1" ht="12.75" customHeight="1" x14ac:dyDescent="0.2">
      <c r="B1" s="2754" t="str">
        <f>'Single Audit Cover'!A7</f>
        <v>Grayslake  CCSD 46</v>
      </c>
      <c r="C1" s="2754"/>
      <c r="D1" s="2754"/>
      <c r="E1" s="1487"/>
    </row>
    <row r="2" spans="2:5" s="1280" customFormat="1" ht="12.75" customHeight="1" x14ac:dyDescent="0.2">
      <c r="B2" s="2756">
        <f>'Single Audit Cover'!E7</f>
        <v>34049046004</v>
      </c>
      <c r="C2" s="2756"/>
      <c r="D2" s="2756"/>
      <c r="E2" s="1488"/>
    </row>
    <row r="3" spans="2:5" ht="12.75" customHeight="1" x14ac:dyDescent="0.2">
      <c r="B3" s="2777" t="s">
        <v>1866</v>
      </c>
      <c r="C3" s="2777"/>
      <c r="D3" s="2777"/>
      <c r="E3" s="1272"/>
    </row>
    <row r="4" spans="2:5" s="1280" customFormat="1" ht="12.75" customHeight="1" x14ac:dyDescent="0.2">
      <c r="B4" s="2787" t="str">
        <f>'Single Audit Cover'!A4</f>
        <v>Year Ending June 30, 2018</v>
      </c>
      <c r="C4" s="2787"/>
      <c r="D4" s="2787"/>
      <c r="E4" s="1489"/>
    </row>
    <row r="5" spans="2:5" s="1280" customFormat="1" ht="40.15" customHeight="1" x14ac:dyDescent="0.2">
      <c r="B5" s="1490" t="s">
        <v>1867</v>
      </c>
      <c r="C5" s="328"/>
      <c r="D5" s="328"/>
      <c r="E5" s="328"/>
    </row>
    <row r="6" spans="2:5" s="1280" customFormat="1" ht="13.5" customHeight="1" x14ac:dyDescent="0.2">
      <c r="B6" s="1491" t="s">
        <v>1382</v>
      </c>
      <c r="C6" s="1491" t="s">
        <v>1381</v>
      </c>
      <c r="D6" s="1491" t="s">
        <v>1868</v>
      </c>
    </row>
    <row r="7" spans="2:5" ht="13.5" customHeight="1" x14ac:dyDescent="0.2">
      <c r="B7" s="2189" t="s">
        <v>2207</v>
      </c>
      <c r="C7" s="2188" t="s">
        <v>2208</v>
      </c>
      <c r="D7" s="2188" t="s">
        <v>2209</v>
      </c>
      <c r="E7" s="2188"/>
    </row>
    <row r="8" spans="2:5" ht="13.5" customHeight="1" x14ac:dyDescent="0.2">
      <c r="B8" s="2189"/>
      <c r="C8" s="2188" t="s">
        <v>2210</v>
      </c>
      <c r="D8" s="2188"/>
      <c r="E8" s="2188"/>
    </row>
    <row r="9" spans="2:5" ht="13.5" customHeight="1" x14ac:dyDescent="0.2">
      <c r="B9" s="2190"/>
      <c r="C9" s="2187" t="s">
        <v>2211</v>
      </c>
      <c r="D9" s="2187"/>
      <c r="E9" s="2187"/>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1869</v>
      </c>
    </row>
    <row r="46" spans="2:5" ht="12.2" customHeight="1" x14ac:dyDescent="0.2">
      <c r="B46" s="1500" t="s">
        <v>1870</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298"/>
    </row>
    <row r="69" spans="2:2" x14ac:dyDescent="0.2">
      <c r="B69" s="1298"/>
    </row>
    <row r="70" spans="2:2" x14ac:dyDescent="0.2">
      <c r="B70" s="1416"/>
    </row>
    <row r="71" spans="2:2" x14ac:dyDescent="0.2">
      <c r="B71" s="1416"/>
    </row>
    <row r="72" spans="2:2" x14ac:dyDescent="0.2">
      <c r="B72" s="1416"/>
    </row>
    <row r="73" spans="2:2" x14ac:dyDescent="0.2">
      <c r="B73" s="1298"/>
    </row>
  </sheetData>
  <mergeCells count="4">
    <mergeCell ref="B1:D1"/>
    <mergeCell ref="B2:D2"/>
    <mergeCell ref="B3:D3"/>
    <mergeCell ref="B4:D4"/>
  </mergeCells>
  <pageMargins left="0.53" right="0.27" top="0.52" bottom="0.57999999999999996" header="0.26" footer="0.26"/>
  <pageSetup scale="82"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6ce3111e-7420-4802-b50a-75d4e9a0b980"/>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4d435f69-8686-490b-bd6d-b153bf22ab50"/>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(1)</vt:lpstr>
      <vt:lpstr> SEFA (2)</vt:lpstr>
      <vt:lpstr>SF&amp;QC Sec-1</vt:lpstr>
      <vt:lpstr>SF&amp;QC Sec-2</vt:lpstr>
      <vt:lpstr>SF&amp;QC Sec-2 (2)</vt:lpstr>
      <vt:lpstr>SF&amp;QC Sec-2 (3)</vt:lpstr>
      <vt:lpstr>SF&amp;QC Sec-2 (4)</vt:lpstr>
      <vt:lpstr>SF&amp;QC Sec-2 (5)</vt:lpstr>
      <vt:lpstr>SF&amp;QC Sec-3</vt:lpstr>
      <vt:lpstr>SSPAF</vt:lpstr>
      <vt:lpstr>' SEFA'!Print_Area</vt:lpstr>
      <vt:lpstr>' SEFA (1)'!Print_Area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2018-12-13T15:37:39Z</cp:lastPrinted>
  <dcterms:created xsi:type="dcterms:W3CDTF">2003-10-29T19:06:34Z</dcterms:created>
  <dcterms:modified xsi:type="dcterms:W3CDTF">2019-01-08T17:26:33Z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