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H31" i="8"/>
  <c r="C171"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G28"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G15" i="4"/>
  <c r="B6032" i="106" s="1"/>
  <c r="D6032"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1" i="34"/>
  <c r="F128" i="34"/>
  <c r="F127" i="34"/>
  <c r="F111" i="34"/>
  <c r="B5847" i="106"/>
  <c r="D5847" i="106" s="1"/>
  <c r="B5752" i="106"/>
  <c r="D5752" i="106" s="1"/>
  <c r="K274" i="5"/>
  <c r="H173" i="5"/>
  <c r="B5906" i="106" s="1"/>
  <c r="D5906" i="106" s="1"/>
  <c r="C172" i="5"/>
  <c r="B5214" i="106" s="1"/>
  <c r="D5214" i="106" s="1"/>
  <c r="H109" i="5"/>
  <c r="B6025" i="106" s="1"/>
  <c r="D6025" i="106" s="1"/>
  <c r="D109" i="5"/>
  <c r="B5356" i="106" s="1"/>
  <c r="D5356" i="106" s="1"/>
  <c r="F106" i="34"/>
  <c r="D7" i="7"/>
  <c r="B1763" i="106" s="1"/>
  <c r="D1763" i="106" s="1"/>
  <c r="H4" i="4"/>
  <c r="H6" i="4"/>
  <c r="B2656" i="106" s="1"/>
  <c r="D2656" i="106" s="1"/>
  <c r="B2655" i="106"/>
  <c r="D2655" i="106" s="1"/>
  <c r="D17" i="7"/>
  <c r="B4104" i="106" s="1"/>
  <c r="D4104" i="106" s="1"/>
  <c r="D12" i="7"/>
  <c r="B1769" i="106" s="1"/>
  <c r="D1769" i="106" s="1"/>
  <c r="D11" i="7"/>
  <c r="B1768" i="106" s="1"/>
  <c r="D1768" i="106" s="1"/>
  <c r="D15" i="7"/>
  <c r="B1772" i="106" s="1"/>
  <c r="D1772" i="106" s="1"/>
  <c r="F130" i="34" l="1"/>
  <c r="F136" i="34"/>
  <c r="G5" i="4"/>
  <c r="B3409" i="106" s="1"/>
  <c r="D3409" i="106" s="1"/>
  <c r="I173" i="5"/>
  <c r="B4216" i="106" s="1"/>
  <c r="D4216" i="106" s="1"/>
  <c r="E109" i="5"/>
  <c r="E4" i="4" s="1"/>
  <c r="B2630" i="106" s="1"/>
  <c r="D2630" i="106" s="1"/>
  <c r="L367" i="29"/>
  <c r="B7041" i="106"/>
  <c r="D7041" i="106" s="1"/>
  <c r="D7245" i="106"/>
  <c r="I342" i="29"/>
  <c r="B7222" i="106" s="1"/>
  <c r="D7222" i="106" s="1"/>
  <c r="G352" i="29"/>
  <c r="C352" i="29"/>
  <c r="K41" i="3"/>
  <c r="L15" i="11"/>
  <c r="B3459" i="106" s="1"/>
  <c r="D3459" i="106" s="1"/>
  <c r="L13" i="11"/>
  <c r="B2060" i="106" s="1"/>
  <c r="D2060" i="106" s="1"/>
  <c r="G210" i="29"/>
  <c r="K24" i="12"/>
  <c r="G39" i="108"/>
  <c r="D54" i="36"/>
  <c r="D69" i="36"/>
  <c r="F19" i="7"/>
  <c r="B1807" i="106" s="1"/>
  <c r="D1807" i="106" s="1"/>
  <c r="F52" i="34"/>
  <c r="C14" i="4"/>
  <c r="B2558" i="106" s="1"/>
  <c r="D2558" i="106" s="1"/>
  <c r="D37" i="108"/>
  <c r="F37" i="108"/>
  <c r="G30" i="108"/>
  <c r="E30" i="108"/>
  <c r="F28" i="108"/>
  <c r="E28" i="108"/>
  <c r="B1329" i="106"/>
  <c r="D1329" i="106" s="1"/>
  <c r="F61" i="34"/>
  <c r="K184" i="29"/>
  <c r="F13" i="4" s="1"/>
  <c r="B2596" i="106" s="1"/>
  <c r="D2596" i="106" s="1"/>
  <c r="G29" i="108"/>
  <c r="E29" i="108"/>
  <c r="B1410" i="106"/>
  <c r="D1410" i="106" s="1"/>
  <c r="C173" i="5"/>
  <c r="B5223" i="106" s="1"/>
  <c r="D5223" i="106" s="1"/>
  <c r="F94" i="34"/>
  <c r="C109" i="5"/>
  <c r="B5121" i="106" s="1"/>
  <c r="D5121" i="106" s="1"/>
  <c r="D4" i="4"/>
  <c r="B2564" i="106" s="1"/>
  <c r="D2564" i="106" s="1"/>
  <c r="B1746" i="106"/>
  <c r="D1746" i="106" s="1"/>
  <c r="G4" i="4"/>
  <c r="B2603" i="106" s="1"/>
  <c r="D2603" i="106" s="1"/>
  <c r="H33" i="118"/>
  <c r="D31" i="36"/>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B7733" i="106" l="1"/>
  <c r="D7733" i="106" s="1"/>
  <c r="K26" i="12"/>
  <c r="B7743" i="106" s="1"/>
  <c r="D7743" i="106" s="1"/>
  <c r="B3568" i="106"/>
  <c r="D3568" i="106" s="1"/>
  <c r="D52" i="36"/>
  <c r="B3649" i="106"/>
  <c r="D3649" i="106" s="1"/>
  <c r="G367" i="29"/>
  <c r="B3650" i="106" s="1"/>
  <c r="D3650" i="106" s="1"/>
  <c r="H367" i="29"/>
  <c r="B3660" i="106" s="1"/>
  <c r="D3660" i="106" s="1"/>
  <c r="B1365" i="106"/>
  <c r="D1365" i="106" s="1"/>
  <c r="F65" i="34"/>
  <c r="B3621" i="106"/>
  <c r="D3621" i="106" s="1"/>
  <c r="C367" i="29"/>
  <c r="B3622" i="106" s="1"/>
  <c r="D3622" i="106" s="1"/>
  <c r="L16" i="11"/>
  <c r="B2061" i="106" s="1"/>
  <c r="D2061" i="106" s="1"/>
  <c r="L114" i="29"/>
  <c r="F41" i="108"/>
  <c r="G43" i="108" s="1"/>
  <c r="C114" i="29"/>
  <c r="B757" i="106" s="1"/>
  <c r="D757" i="106" s="1"/>
  <c r="B1317" i="106"/>
  <c r="D1317" i="106" s="1"/>
  <c r="K342" i="29"/>
  <c r="F13" i="34"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<sst xmlns="http://schemas.openxmlformats.org/spreadsheetml/2006/main" count="5053" uniqueCount="2105">
  <si>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</si>
  <si>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</si>
  <si>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</si>
  <si>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</si>
  <si>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</si>
  <si>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</si>
  <si>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</si>
  <si>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</si>
  <si>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</si>
  <si>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</si>
  <si>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</si>
  <si>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</si>
  <si>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</si>
  <si>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</si>
  <si>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</si>
  <si>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</si>
  <si>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</si>
  <si>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</si>
  <si>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</si>
  <si>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</si>
  <si>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</si>
  <si>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</si>
  <si>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</si>
  <si>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</si>
  <si>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</si>
  <si>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</si>
  <si>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</si>
  <si>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</si>
  <si>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</si>
  <si>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</si>
  <si>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</si>
  <si>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</si>
  <si>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</si>
  <si>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</si>
  <si>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</si>
  <si>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</si>
  <si>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</si>
  <si>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</si>
  <si>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</si>
  <si>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</si>
  <si>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</si>
  <si>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</si>
  <si>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</si>
  <si>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</si>
  <si>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</si>
  <si>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</si>
  <si>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</si>
  <si>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</si>
  <si>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</si>
  <si>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</si>
  <si>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</si>
  <si>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</si>
  <si>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</si>
  <si>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</si>
  <si>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</si>
  <si>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</si>
  <si>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</si>
  <si>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</si>
  <si>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</si>
  <si>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</si>
  <si>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</si>
  <si>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</si>
  <si>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</si>
  <si>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</si>
  <si>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</si>
  <si>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</si>
  <si>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</si>
  <si>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</si>
  <si>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</si>
  <si>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</si>
  <si>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</si>
  <si>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</si>
  <si>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</si>
  <si>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</si>
  <si>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</si>
  <si>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</si>
  <si>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</si>
  <si>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</si>
  <si>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</si>
  <si>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</si>
  <si>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</si>
  <si>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</si>
  <si>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</si>
  <si>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</si>
  <si>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</si>
  <si>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</si>
  <si>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</si>
  <si>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</si>
  <si>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</si>
  <si>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</si>
  <si>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</si>
  <si>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</si>
  <si>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</si>
  <si>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</si>
  <si>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</si>
  <si>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</si>
  <si>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</si>
  <si>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</si>
  <si>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</si>
  <si>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</si>
  <si>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</si>
  <si>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</si>
  <si>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</si>
  <si>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</si>
  <si>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</si>
  <si>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</si>
  <si>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</si>
  <si>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</si>
  <si>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</si>
  <si>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</si>
  <si>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</si>
  <si>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</si>
  <si>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</si>
  <si>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</si>
  <si>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</si>
  <si>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</si>
  <si>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</si>
  <si>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</si>
  <si>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</si>
  <si>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</si>
  <si>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</si>
  <si>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</si>
  <si>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</si>
  <si>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</si>
  <si>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</si>
  <si>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</si>
  <si>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</si>
  <si>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</si>
  <si>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</si>
  <si>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</si>
  <si>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</si>
  <si>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</si>
  <si>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</si>
  <si>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</si>
  <si>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</si>
  <si>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</si>
  <si>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</si>
  <si>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</si>
  <si>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</si>
  <si>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</si>
  <si>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</si>
  <si>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</si>
  <si>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</si>
  <si>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</si>
  <si>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</si>
  <si>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</si>
  <si>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</si>
  <si>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</si>
  <si>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</si>
  <si>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</si>
  <si>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</si>
  <si>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</si>
  <si>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</si>
  <si>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</si>
  <si>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</si>
  <si>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</si>
  <si>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</si>
  <si>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</si>
  <si>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</si>
  <si>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</si>
  <si>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</si>
  <si>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</si>
  <si>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</si>
  <si>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</si>
  <si>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</si>
  <si>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</si>
  <si>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</si>
  <si>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</si>
  <si>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</si>
  <si>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</si>
  <si>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</si>
  <si>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</si>
  <si>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</si>
  <si>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</si>
  <si>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</si>
  <si>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</si>
  <si>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</si>
  <si>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</si>
  <si>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</si>
  <si>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</si>
  <si>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</si>
  <si>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</si>
  <si>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</si>
  <si>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</si>
  <si>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</si>
  <si>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</si>
  <si>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</si>
  <si>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</si>
  <si>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</si>
  <si>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</si>
  <si>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</si>
  <si>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</si>
  <si>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</si>
  <si>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</si>
  <si>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</si>
  <si>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</si>
  <si>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</si>
  <si>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</si>
  <si>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</si>
  <si>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</si>
  <si>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</si>
  <si>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</si>
  <si>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</si>
  <si>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</si>
  <si>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</si>
  <si>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</si>
  <si>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</si>
  <si>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</si>
  <si>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</si>
  <si>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</si>
  <si>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</si>
  <si>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</si>
  <si>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</si>
  <si>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</si>
  <si>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</si>
  <si>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</si>
  <si>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</si>
  <si>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</si>
  <si>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</si>
  <si>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</si>
  <si>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</si>
  <si>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</si>
  <si>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</si>
  <si>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</si>
  <si>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</si>
  <si>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</si>
  <si>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</si>
  <si>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</si>
  <si>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</si>
  <si>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</si>
  <si>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</si>
  <si>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</si>
  <si>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</si>
  <si>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</si>
  <si>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</si>
  <si>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</si>
  <si>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</si>
  <si>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</si>
  <si>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</si>
  <si>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</si>
  <si>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</si>
  <si>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</si>
  <si>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</si>
  <si>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</si>
  <si>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</si>
  <si>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</si>
  <si>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</si>
  <si>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</si>
  <si>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</si>
  <si>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</si>
  <si>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</si>
  <si>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</si>
  <si>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</si>
  <si>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</si>
  <si>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</si>
  <si>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</si>
  <si>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</si>
  <si>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</si>
  <si>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</si>
  <si>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</si>
  <si>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</si>
  <si>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</si>
  <si>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</si>
  <si>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</si>
  <si>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</si>
  <si>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</si>
  <si>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</si>
  <si>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</si>
  <si>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</si>
  <si>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</si>
  <si>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</si>
  <si>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</si>
  <si>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</si>
  <si>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</si>
  <si>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</si>
  <si>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</si>
  <si>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</si>
  <si>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</si>
  <si>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</si>
  <si>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</si>
  <si>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</si>
  <si>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</si>
  <si>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</si>
  <si>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</si>
  <si>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</si>
  <si>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</si>
  <si>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</si>
  <si>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</si>
  <si>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</si>
  <si>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</si>
  <si>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</si>
  <si>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</si>
  <si>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</si>
  <si>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</si>
  <si>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</si>
  <si>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</si>
  <si>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</si>
  <si>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</si>
  <si>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</si>
  <si>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</si>
  <si>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</si>
  <si>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</si>
  <si>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</si>
  <si>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</si>
  <si>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</si>
  <si>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</si>
  <si>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</si>
  <si>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</si>
  <si>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</si>
  <si>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</si>
  <si>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</si>
  <si>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</si>
  <si>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</si>
  <si>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</si>
  <si>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</si>
  <si>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</si>
  <si>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</si>
  <si>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</si>
  <si>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</si>
  <si>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</si>
  <si>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</si>
  <si>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</si>
  <si>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</si>
  <si>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</si>
  <si>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</si>
  <si>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</si>
  <si>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</si>
  <si>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</si>
  <si>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</si>
  <si>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</si>
  <si>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</si>
  <si>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</si>
  <si>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</si>
  <si>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</si>
  <si>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</si>
  <si>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</si>
  <si>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</si>
  <si>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</si>
  <si>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</si>
  <si>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</si>
  <si>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</si>
  <si>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</si>
  <si>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</si>
  <si>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</si>
  <si>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</si>
  <si>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</si>
  <si>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</si>
  <si>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</si>
  <si>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</si>
  <si>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</si>
  <si>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</si>
  <si>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</si>
  <si>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</si>
  <si>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</si>
  <si>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</si>
  <si>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</si>
  <si>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</si>
  <si>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</si>
  <si>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</si>
  <si>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</si>
  <si>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</si>
  <si>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</si>
  <si>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</si>
  <si>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</si>
  <si>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</si>
  <si>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</si>
  <si>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</si>
  <si>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</si>
  <si>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</si>
  <si>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</si>
  <si>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</si>
  <si>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</si>
  <si>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</si>
  <si>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</si>
  <si>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</si>
  <si>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</si>
  <si>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</si>
  <si>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</si>
  <si>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</si>
  <si>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</si>
  <si>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</si>
  <si>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</si>
  <si>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</si>
  <si>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</si>
  <si>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</si>
  <si>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</si>
  <si>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</si>
  <si>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</si>
  <si>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</si>
  <si>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</si>
  <si>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</si>
  <si>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</si>
  <si>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</si>
  <si>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</si>
  <si>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</si>
  <si>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</si>
  <si>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</si>
  <si>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</si>
  <si>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</si>
  <si>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</si>
  <si>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</si>
  <si>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</si>
  <si>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</si>
  <si>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</si>
  <si>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</si>
  <si>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</si>
  <si>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</si>
  <si>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</si>
  <si>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</si>
  <si>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</si>
  <si>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</si>
  <si>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</si>
  <si>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</si>
  <si>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</si>
  <si>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</si>
  <si>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</si>
  <si>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</si>
  <si>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</si>
  <si>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</si>
  <si>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</si>
  <si>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</si>
  <si>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</si>
  <si>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</si>
  <si>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</si>
  <si>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</si>
  <si>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</si>
  <si>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</si>
  <si>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</si>
  <si>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</si>
  <si>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</si>
  <si>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</si>
  <si>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</si>
  <si>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</si>
  <si>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</si>
  <si>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</si>
  <si>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</si>
  <si>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</si>
  <si>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</si>
  <si>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</si>
  <si>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</si>
  <si>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</si>
  <si>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</si>
  <si>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</si>
  <si>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</si>
  <si>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</si>
  <si>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</si>
  <si>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</si>
  <si>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</si>
  <si>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</si>
  <si>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</si>
  <si>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</si>
  <si>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</si>
  <si>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</si>
  <si>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</si>
  <si>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</si>
  <si>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</si>
  <si>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</si>
  <si>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</si>
  <si>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</si>
  <si>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</si>
  <si>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</si>
  <si>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</si>
  <si>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</si>
  <si>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</si>
  <si>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</si>
  <si>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</si>
  <si>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</si>
  <si>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</si>
  <si>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</si>
  <si>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</si>
  <si>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</si>
  <si>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</si>
  <si>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</si>
  <si>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</si>
  <si>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</si>
  <si>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</si>
  <si>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</si>
  <si>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</si>
  <si>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</si>
  <si>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</si>
  <si>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</si>
  <si>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</si>
  <si>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</si>
  <si>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</si>
  <si>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</si>
  <si>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</si>
  <si>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</si>
  <si>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</si>
  <si>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</si>
  <si>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</si>
  <si>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</si>
  <si>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</si>
  <si>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</si>
  <si>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</si>
  <si>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</si>
  <si>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</si>
  <si>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</si>
  <si>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</si>
  <si>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</si>
  <si>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</si>
  <si>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</si>
  <si>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</si>
  <si>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</si>
  <si>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</si>
  <si>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</si>
  <si>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</si>
  <si>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</si>
  <si>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</si>
  <si>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</si>
  <si>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</si>
  <si>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</si>
  <si>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</si>
  <si>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</si>
  <si>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</si>
  <si>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</si>
  <si>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</si>
  <si>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</si>
  <si>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</si>
  <si>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</si>
  <si>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</si>
  <si>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</si>
  <si>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</si>
  <si>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</si>
  <si>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</si>
  <si>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</si>
  <si>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</si>
  <si>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</si>
  <si>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</si>
  <si>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</si>
  <si>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</si>
  <si>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</si>
  <si>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</si>
  <si>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</si>
  <si>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</si>
  <si>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</si>
  <si>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</si>
  <si>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</si>
  <si>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</si>
  <si>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</si>
  <si>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</si>
  <si>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</si>
  <si>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</si>
  <si>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</si>
  <si>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</si>
  <si>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</si>
  <si>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</si>
  <si>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</si>
  <si>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</si>
  <si>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</si>
  <si>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</si>
  <si>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</si>
  <si>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</si>
  <si>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</si>
  <si>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</si>
  <si>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</si>
  <si>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</si>
  <si>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</si>
  <si>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</si>
  <si>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</si>
  <si>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</si>
  <si>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</si>
  <si>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</si>
  <si>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</si>
  <si>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</si>
  <si>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</si>
  <si>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</si>
  <si>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</si>
  <si>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</si>
  <si>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</si>
  <si>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</si>
  <si>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</si>
  <si>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</si>
  <si>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</si>
  <si>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</si>
  <si>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</si>
  <si>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</si>
  <si>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</si>
  <si>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</si>
  <si>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</si>
  <si>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</si>
  <si>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</si>
  <si>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</si>
  <si>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</si>
  <si>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</si>
  <si>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</si>
  <si>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</si>
  <si>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</si>
  <si>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</si>
  <si>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</si>
  <si>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</si>
  <si>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</si>
  <si>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</si>
  <si>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</si>
  <si>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</si>
  <si>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</si>
  <si>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</si>
  <si>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</si>
  <si>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</si>
  <si>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</si>
  <si>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</si>
  <si>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</si>
  <si>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</si>
  <si>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</si>
  <si>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</si>
  <si>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</si>
  <si>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</si>
  <si>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</si>
  <si>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</si>
  <si>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</si>
  <si>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</si>
  <si>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</si>
  <si>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</si>
  <si>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</si>
  <si>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</si>
  <si>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</si>
  <si>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</si>
  <si>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</si>
  <si>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</si>
  <si>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</si>
  <si>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</si>
  <si>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</si>
  <si>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</si>
  <si>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</si>
  <si>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</si>
  <si>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</si>
  <si>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</si>
  <si>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</si>
  <si>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</si>
  <si>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</si>
  <si>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</si>
  <si>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</si>
  <si>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</si>
  <si>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</si>
  <si>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</si>
  <si>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</si>
  <si>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</si>
  <si>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</si>
  <si>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</si>
  <si>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</si>
  <si>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</si>
  <si>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</si>
  <si>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</si>
  <si>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</si>
  <si>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</si>
  <si>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</si>
  <si>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</si>
  <si>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</si>
  <si>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</si>
  <si>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</si>
  <si>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</si>
  <si>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</si>
  <si>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</si>
  <si>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</si>
  <si>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</si>
  <si>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</si>
  <si>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</si>
  <si>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</si>
  <si>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</si>
  <si>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</si>
  <si>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</si>
  <si>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</si>
  <si>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</si>
  <si>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</si>
  <si>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</si>
  <si>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</si>
  <si>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</si>
  <si>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</si>
  <si>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</si>
  <si>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</si>
  <si>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</si>
  <si>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</si>
  <si>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</si>
  <si>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</si>
  <si>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</si>
  <si>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</si>
  <si>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</si>
  <si>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</si>
  <si>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</si>
  <si>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</si>
  <si>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</si>
  <si>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</si>
  <si>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</si>
  <si>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</si>
  <si>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</si>
  <si>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</si>
  <si>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</si>
  <si>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</si>
  <si>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</si>
  <si>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</si>
  <si>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</si>
  <si>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</si>
  <si>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</si>
  <si>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</si>
  <si>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</si>
  <si>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</si>
  <si>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</si>
  <si>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</si>
  <si>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</si>
  <si>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</si>
  <si>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</si>
  <si>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</si>
  <si>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</si>
  <si>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</si>
  <si>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</si>
  <si>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</si>
  <si>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</si>
  <si>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</si>
  <si>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</si>
  <si>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</si>
  <si>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</si>
  <si>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</si>
  <si>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</si>
  <si>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</si>
  <si>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</si>
  <si>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</si>
  <si>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</si>
  <si>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</si>
  <si>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</si>
  <si>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</si>
  <si>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</si>
  <si>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</si>
  <si>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</si>
  <si>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</si>
  <si>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</si>
  <si>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</si>
  <si>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</si>
  <si>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</si>
  <si>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</si>
  <si>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</si>
  <si>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</si>
  <si>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</si>
  <si>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</si>
  <si>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</si>
  <si>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</si>
  <si>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</si>
  <si>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</si>
  <si>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</si>
  <si>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</si>
  <si>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</si>
  <si>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</si>
  <si>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</si>
  <si>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</si>
  <si>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</si>
  <si>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</si>
  <si>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</si>
  <si>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</si>
  <si>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</si>
  <si>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</si>
  <si>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</si>
  <si>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</si>
  <si>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</si>
  <si>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</si>
  <si>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</si>
  <si>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</si>
  <si>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</si>
  <si>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</si>
  <si>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</si>
  <si>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</si>
  <si>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</si>
  <si>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</si>
  <si>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</si>
  <si>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</si>
  <si>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</si>
  <si>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</si>
  <si>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</si>
  <si>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</si>
  <si>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</si>
  <si>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</si>
  <si>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</si>
  <si>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</si>
  <si>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</si>
  <si>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</si>
  <si>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</si>
  <si>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</si>
  <si>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</si>
  <si>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</si>
  <si>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</si>
  <si>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</si>
  <si>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</si>
  <si>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</si>
  <si>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</si>
  <si>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</si>
  <si>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</si>
  <si>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</si>
  <si>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</si>
  <si>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</si>
  <si>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</si>
  <si>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</si>
  <si>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</si>
  <si>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</si>
  <si>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</si>
  <si>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</si>
  <si>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</si>
  <si>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</si>
  <si>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</si>
  <si>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</si>
  <si>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</si>
  <si>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</si>
  <si>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</si>
  <si>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</si>
  <si>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</si>
  <si>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</si>
  <si>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</si>
  <si>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</si>
  <si>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</si>
  <si>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</si>
  <si>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</si>
  <si>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</si>
  <si>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</si>
  <si>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</si>
  <si>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</si>
  <si>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</si>
  <si>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</si>
  <si>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</si>
  <si>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</si>
  <si>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</si>
  <si>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</si>
  <si>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</si>
  <si>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</si>
  <si>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</si>
  <si>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</si>
  <si>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</si>
  <si>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</si>
  <si>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</si>
  <si>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</si>
  <si>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</si>
  <si>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</si>
  <si>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</si>
  <si>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</si>
  <si>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</si>
  <si>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</si>
  <si>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</si>
  <si>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</si>
  <si>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</si>
  <si>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</si>
  <si>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</si>
  <si>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</si>
  <si>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</si>
  <si>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</si>
  <si>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</si>
  <si>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</si>
  <si>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</si>
  <si>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</si>
  <si>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</si>
  <si>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</si>
  <si>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</si>
  <si>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</si>
  <si>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</si>
  <si>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</si>
  <si>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</si>
  <si>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</si>
  <si>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</si>
  <si>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</si>
  <si>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</si>
  <si>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</si>
  <si>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</si>
  <si>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</si>
  <si>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</si>
  <si>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</si>
  <si>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</si>
  <si>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</si>
  <si>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</si>
  <si>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</si>
  <si>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</si>
  <si>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</si>
  <si>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</si>
  <si>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</si>
  <si>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</si>
  <si>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</si>
  <si>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</si>
  <si>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</si>
  <si>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</si>
  <si>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</si>
  <si>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</si>
  <si>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</si>
  <si>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</si>
  <si>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</si>
  <si>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</si>
  <si>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</si>
  <si>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</si>
  <si>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</si>
  <si>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</si>
  <si>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</si>
  <si>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</si>
  <si>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</si>
  <si>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</si>
  <si>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</si>
  <si>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</si>
  <si>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</si>
  <si>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</si>
  <si>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</si>
  <si>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</si>
  <si>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</si>
  <si>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</si>
  <si>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</si>
  <si>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</si>
  <si>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</si>
  <si>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</si>
  <si>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</si>
  <si>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</si>
  <si>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</si>
  <si>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</si>
  <si>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</si>
  <si>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</si>
  <si>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</si>
  <si>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</si>
  <si>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</si>
  <si>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</si>
  <si>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</si>
  <si>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</si>
  <si>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</si>
  <si>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</si>
  <si>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</si>
  <si>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</si>
  <si>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</si>
  <si>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</si>
  <si>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</si>
  <si>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</si>
  <si>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</si>
  <si>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</si>
  <si>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</si>
  <si>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</si>
  <si>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</si>
  <si>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</si>
  <si>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</si>
  <si>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</si>
  <si>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</si>
  <si>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</si>
  <si>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</si>
  <si>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</si>
  <si>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</si>
  <si>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</si>
  <si>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</si>
  <si>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</si>
  <si>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</si>
  <si>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</si>
  <si>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</si>
  <si>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</si>
  <si>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</si>
  <si>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</si>
  <si>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</si>
  <si>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</si>
  <si>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</si>
  <si>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</si>
  <si>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</si>
  <si>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</si>
  <si>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</si>
  <si>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</si>
  <si>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</si>
  <si>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</si>
  <si>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</si>
  <si>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</si>
  <si>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</si>
  <si>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</si>
  <si>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</si>
  <si>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</si>
  <si>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</si>
  <si>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</si>
  <si>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</si>
  <si>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</si>
  <si>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</si>
  <si>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</si>
  <si>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</si>
  <si>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</si>
  <si>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</si>
  <si>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</si>
  <si>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</si>
  <si>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</si>
  <si>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</si>
  <si>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</si>
  <si>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</si>
  <si>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</si>
  <si>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</si>
  <si>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</si>
  <si>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</si>
  <si>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</si>
  <si>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</si>
  <si>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</si>
  <si>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</si>
  <si>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</si>
  <si>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</si>
  <si>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</si>
  <si>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</si>
  <si>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</si>
  <si>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</si>
  <si>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</si>
  <si>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</si>
  <si>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</si>
  <si>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</si>
  <si>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</si>
  <si>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</si>
  <si>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</si>
  <si>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</si>
  <si>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</si>
  <si>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</si>
  <si>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</si>
  <si>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</si>
  <si>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</si>
  <si>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</si>
  <si>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</si>
  <si>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</si>
  <si>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</si>
  <si>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</si>
  <si>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</si>
  <si>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</si>
  <si>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</si>
  <si>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</si>
  <si>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</si>
  <si>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</si>
  <si>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</si>
  <si>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</si>
  <si>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</si>
  <si>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</si>
  <si>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</si>
  <si>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</si>
  <si>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</si>
  <si>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</si>
  <si>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</si>
  <si>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</si>
  <si>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</si>
  <si>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</si>
  <si>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</si>
  <si>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</si>
  <si>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</si>
  <si>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</si>
  <si>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</si>
  <si>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</si>
  <si>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</si>
  <si>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</si>
  <si>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</si>
  <si>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</si>
  <si>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</si>
  <si>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</si>
  <si>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</si>
  <si>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</si>
  <si>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</si>
  <si>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</si>
  <si>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</si>
  <si>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</si>
  <si>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</si>
  <si>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</si>
  <si>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</si>
  <si>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</si>
  <si>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</si>
  <si>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</si>
  <si>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</si>
  <si>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</si>
  <si>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</si>
  <si>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</si>
  <si>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</si>
  <si>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</si>
  <si>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</si>
  <si>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</si>
  <si>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</si>
  <si>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</si>
  <si>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</si>
  <si>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</si>
  <si>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</si>
  <si>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</si>
  <si>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</si>
  <si>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</si>
  <si>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</si>
  <si>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</si>
  <si>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</si>
  <si>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</si>
  <si>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</si>
  <si>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</si>
  <si>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</si>
  <si>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</si>
  <si>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</si>
  <si>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</si>
  <si>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</si>
  <si>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</si>
  <si>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</si>
  <si>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</si>
  <si>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</si>
  <si>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</si>
  <si>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</si>
  <si>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</si>
  <si>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</si>
  <si>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</si>
  <si>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</si>
  <si>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</si>
  <si>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</si>
  <si>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</si>
  <si>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</si>
  <si>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</si>
  <si>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</si>
  <si>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</si>
  <si>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</si>
  <si>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</si>
  <si>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</si>
  <si>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</si>
  <si>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</si>
  <si>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</si>
  <si>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</si>
  <si>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</si>
  <si>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</si>
  <si>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</si>
  <si>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</si>
  <si>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</si>
  <si>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</si>
  <si>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</si>
  <si>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</si>
  <si>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</si>
  <si>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</si>
  <si>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</si>
  <si>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</si>
  <si>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</si>
  <si>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</si>
  <si>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</si>
  <si>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</si>
  <si>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</si>
  <si>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</si>
  <si>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</si>
  <si>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</si>
  <si>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</si>
  <si>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</si>
  <si>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</si>
  <si>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</si>
  <si>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</si>
  <si>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</si>
  <si>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</si>
  <si>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</si>
  <si>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</si>
  <si>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</si>
  <si>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</si>
  <si>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</si>
  <si>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</si>
  <si>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</si>
  <si>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</si>
  <si>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</si>
  <si>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</si>
  <si>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</si>
  <si>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</si>
  <si>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</si>
  <si>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</si>
  <si>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</si>
  <si>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</si>
  <si>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</si>
  <si>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</si>
  <si>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</si>
  <si>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</si>
  <si>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</si>
  <si>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</si>
  <si>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</si>
  <si>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</si>
  <si>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</si>
  <si>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</si>
  <si>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</si>
  <si>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</si>
  <si>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</si>
  <si>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</si>
  <si>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</si>
  <si>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</si>
  <si>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</si>
  <si>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</si>
  <si>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</si>
  <si>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</si>
  <si>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</si>
  <si>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</si>
  <si>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</si>
  <si>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</si>
  <si>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</si>
  <si>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</si>
  <si>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</si>
  <si>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</si>
  <si>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</si>
  <si>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</si>
  <si>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</si>
  <si>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</si>
  <si>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</si>
  <si>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</si>
  <si>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</si>
  <si>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</si>
  <si>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</si>
  <si>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</si>
  <si>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</si>
  <si>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</si>
  <si>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</si>
  <si>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</si>
  <si>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</si>
  <si>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</si>
  <si>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</si>
  <si>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</si>
  <si>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</si>
  <si>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</si>
  <si>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</si>
  <si>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</si>
  <si>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</si>
  <si>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</si>
  <si>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</si>
  <si>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</si>
  <si>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</si>
  <si>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</si>
  <si>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</si>
  <si>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</si>
  <si>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</si>
  <si>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</si>
  <si>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</si>
  <si>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</si>
  <si>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</si>
  <si>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</si>
  <si>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</si>
  <si>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</si>
  <si>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</si>
  <si>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</si>
  <si>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</si>
  <si>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</si>
  <si>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</si>
  <si>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</si>
  <si>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</si>
  <si>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</si>
  <si>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</si>
  <si>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</si>
  <si>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</si>
  <si>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</si>
  <si>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</si>
  <si>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</si>
  <si>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</si>
  <si>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</si>
  <si>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</si>
  <si>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</si>
  <si>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</si>
  <si>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</si>
  <si>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</si>
  <si>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</si>
  <si>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</si>
  <si>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</si>
  <si>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</si>
  <si>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</si>
  <si>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</si>
  <si>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</si>
  <si>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</si>
  <si>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</si>
  <si>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</si>
  <si>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</si>
  <si>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</si>
  <si>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</si>
  <si>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</si>
  <si>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</si>
  <si>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</si>
  <si>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</si>
  <si>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</si>
  <si>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</si>
  <si>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</si>
  <si>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</si>
  <si>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</si>
  <si>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</si>
  <si>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</si>
  <si>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</si>
  <si>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</si>
  <si>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</si>
  <si>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</si>
  <si>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</si>
  <si>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</si>
  <si>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</si>
  <si>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</si>
  <si>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</si>
  <si>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</si>
  <si>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</si>
  <si>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</si>
  <si>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</si>
  <si>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</si>
  <si>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</si>
  <si>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</si>
  <si>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</si>
  <si>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</si>
  <si>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</si>
  <si>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</si>
  <si>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</si>
  <si>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</si>
  <si>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</si>
  <si>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</si>
  <si>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</si>
  <si>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</si>
  <si>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</si>
  <si>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</si>
  <si>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</si>
  <si>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</si>
  <si>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</si>
  <si>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</si>
  <si>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</si>
  <si>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</si>
  <si>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</si>
  <si>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</si>
  <si>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</si>
  <si>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</si>
  <si>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</si>
  <si>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</si>
  <si>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</si>
  <si>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</si>
  <si>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</si>
  <si>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</si>
  <si>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</si>
  <si>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</si>
  <si>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</si>
  <si>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</si>
  <si>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</si>
  <si>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</si>
  <si>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</si>
  <si>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</si>
  <si>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</si>
  <si>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</si>
  <si>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</si>
  <si>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</si>
  <si>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</si>
  <si>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</si>
  <si>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</si>
  <si>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</si>
  <si>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</si>
  <si>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</si>
  <si>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</si>
  <si>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</si>
  <si>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</si>
  <si>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</si>
  <si>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</si>
  <si>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</si>
  <si>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</si>
  <si>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</si>
  <si>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</si>
  <si>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</si>
  <si>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</si>
  <si>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</si>
  <si>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</si>
  <si>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</si>
  <si>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</si>
  <si>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</si>
  <si>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</si>
  <si>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</si>
  <si>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</si>
  <si>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</si>
  <si>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</si>
  <si>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</si>
  <si>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</si>
  <si>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</si>
  <si>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</si>
  <si>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</si>
  <si>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</si>
  <si>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</si>
  <si>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</si>
  <si>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</si>
  <si>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</si>
  <si>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</si>
  <si>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</si>
  <si>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</si>
  <si>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</si>
  <si>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</si>
  <si>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</si>
  <si>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</si>
  <si>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</si>
  <si>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</si>
  <si>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</si>
  <si>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</si>
  <si>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</si>
  <si>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</si>
  <si>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</si>
  <si>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</si>
  <si>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</si>
  <si>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</si>
  <si>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</si>
  <si>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</si>
  <si>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</si>
  <si>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</si>
  <si>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</si>
  <si>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</si>
  <si>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</si>
  <si>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</si>
  <si>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</si>
  <si>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</si>
  <si>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</si>
  <si>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</si>
  <si>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</si>
  <si>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</si>
  <si>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</si>
  <si>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</si>
  <si>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</si>
  <si>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</si>
  <si>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</si>
  <si>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</si>
  <si>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</si>
  <si>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</si>
  <si>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</si>
  <si>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</si>
  <si>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</si>
  <si>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</si>
  <si>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</si>
  <si>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</si>
  <si>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</si>
  <si>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</si>
  <si>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</si>
  <si>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</si>
  <si>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</si>
  <si>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</si>
  <si>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</si>
  <si>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</si>
  <si>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</si>
  <si>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</si>
  <si>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</si>
  <si>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</si>
  <si>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</si>
  <si>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</si>
  <si>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</si>
  <si>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</si>
  <si>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</si>
  <si>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</si>
  <si>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</si>
  <si>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</si>
  <si>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</si>
  <si>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</si>
  <si>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</si>
  <si>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</si>
  <si>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</si>
  <si>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</si>
  <si>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</si>
  <si>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</si>
  <si>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</si>
  <si>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</si>
  <si>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</si>
  <si>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</si>
  <si>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</si>
  <si>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</si>
  <si>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</si>
  <si>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</si>
  <si>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</si>
  <si>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</si>
  <si>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</si>
  <si>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</si>
  <si>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</si>
  <si>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</si>
  <si>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</si>
  <si>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</si>
  <si>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</si>
  <si>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</si>
  <si>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</si>
  <si>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</si>
  <si>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</si>
  <si>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</si>
  <si>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</si>
  <si>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</si>
  <si>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</si>
  <si>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</si>
  <si>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</si>
  <si>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</si>
  <si>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</si>
  <si>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</si>
  <si>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</si>
  <si>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</si>
  <si>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</si>
  <si>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</si>
  <si>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</si>
  <si>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</si>
  <si>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</si>
  <si>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</si>
  <si>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</si>
  <si>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</si>
  <si>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</si>
  <si>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</si>
  <si>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</si>
  <si>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</si>
  <si>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</si>
  <si>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</si>
  <si>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</si>
  <si>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</si>
  <si>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</si>
  <si>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</si>
  <si>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</si>
  <si>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</si>
  <si>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</si>
  <si>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</si>
  <si>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</si>
  <si>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</si>
  <si>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</si>
  <si>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</si>
  <si>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</si>
  <si>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</si>
  <si>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</si>
  <si>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</si>
  <si>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</si>
  <si>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</si>
  <si>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</si>
  <si>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</si>
  <si>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</si>
  <si>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</si>
  <si>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</si>
  <si>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</si>
  <si>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</si>
  <si>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</si>
  <si>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</si>
  <si>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</si>
  <si>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</si>
  <si>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</si>
  <si>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</si>
  <si>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</si>
  <si>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</si>
  <si>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</si>
  <si>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</si>
  <si>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</si>
  <si>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</si>
  <si>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</si>
  <si>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</si>
  <si>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</si>
  <si>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</si>
  <si>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</si>
  <si>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</si>
  <si>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</si>
  <si>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</si>
  <si>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</si>
  <si>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</si>
  <si>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</si>
  <si>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</si>
  <si>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</si>
  <si>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</si>
  <si>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</si>
  <si>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</si>
  <si>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</si>
  <si>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</si>
  <si>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</si>
  <si>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</si>
  <si>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</si>
  <si>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</si>
  <si>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</si>
  <si>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</si>
  <si>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</si>
  <si>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</si>
  <si>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</si>
  <si>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</si>
  <si>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</si>
  <si>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</si>
  <si>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</si>
  <si>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</si>
  <si>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</si>
  <si>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</si>
  <si>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</si>
  <si>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</si>
  <si>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</si>
  <si>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</si>
  <si>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</si>
  <si>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</si>
  <si>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</si>
  <si>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</si>
  <si>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</si>
  <si>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</si>
  <si>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</si>
  <si>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</si>
  <si>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</si>
  <si>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</si>
  <si>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</si>
  <si>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</si>
  <si>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</si>
  <si>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</si>
  <si>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</si>
  <si>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</si>
  <si>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</si>
  <si>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</si>
  <si>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</si>
  <si>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</si>
  <si>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</si>
  <si>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</si>
  <si>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</si>
  <si>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</si>
  <si>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</si>
  <si>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</si>
  <si>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</si>
  <si>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</si>
  <si>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</si>
  <si>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</si>
  <si>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</si>
  <si>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</si>
  <si>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</si>
  <si>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</si>
  <si>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</si>
  <si>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</si>
  <si>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</si>
  <si>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</si>
  <si>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</si>
  <si>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</si>
  <si>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</si>
  <si>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</si>
  <si>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</si>
  <si>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</si>
  <si>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</si>
  <si>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</si>
  <si>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</si>
  <si>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</si>
  <si>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</si>
  <si>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</si>
  <si>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</si>
  <si>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</si>
  <si>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</si>
  <si>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</si>
  <si>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</si>
  <si>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</si>
  <si>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</si>
  <si>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</si>
  <si>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</si>
  <si>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</si>
  <si>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</si>
  <si>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</si>
  <si>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</si>
  <si>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</si>
  <si>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</si>
  <si>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</si>
  <si>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</si>
  <si>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</si>
  <si>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</si>
  <si>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</si>
  <si>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</si>
  <si>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</si>
  <si>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</si>
  <si>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</si>
  <si>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</si>
  <si>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</si>
  <si>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</si>
  <si>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</si>
  <si>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</si>
  <si>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</si>
  <si>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</si>
  <si>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</si>
  <si>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</si>
  <si>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</si>
  <si>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</si>
  <si>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</si>
  <si>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</si>
  <si>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</si>
  <si>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</si>
  <si>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</si>
  <si>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</si>
  <si>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</si>
  <si>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</si>
  <si>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</si>
  <si>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</si>
  <si>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</si>
  <si>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</si>
  <si>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</si>
  <si>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</si>
  <si>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</si>
  <si>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</si>
  <si>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</si>
  <si>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</si>
  <si>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</si>
  <si>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</si>
  <si>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</si>
  <si>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</si>
  <si>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</si>
  <si>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</si>
  <si>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</si>
  <si>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</si>
  <si>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</si>
  <si>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</si>
  <si>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</si>
  <si>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</si>
  <si>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</si>
  <si>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</si>
  <si>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</si>
  <si>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</si>
  <si>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</si>
  <si>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</si>
  <si>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</si>
  <si>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</si>
  <si>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</si>
  <si>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</si>
  <si>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</si>
  <si>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</si>
  <si>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</si>
  <si>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</si>
  <si>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</si>
  <si>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</si>
  <si>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</si>
  <si>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</si>
  <si>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</si>
  <si>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</si>
  <si>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</si>
  <si>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</si>
  <si>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</si>
  <si>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</si>
  <si>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</si>
  <si>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</si>
  <si>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</si>
  <si>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</si>
  <si>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</si>
  <si>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</si>
  <si>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</si>
  <si>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</si>
  <si>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</si>
  <si>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</si>
  <si>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</si>
  <si>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</si>
  <si>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</si>
  <si>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</si>
  <si>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</si>
  <si>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</si>
  <si>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</si>
  <si>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</si>
  <si>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</si>
  <si>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</si>
  <si>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</si>
  <si>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</si>
  <si>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</si>
  <si>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</si>
  <si>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</si>
  <si>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</si>
  <si>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</si>
  <si>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</si>
  <si>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</si>
  <si>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</si>
  <si>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</si>
  <si>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</si>
  <si>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</si>
  <si>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</si>
  <si>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</si>
  <si>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</si>
  <si>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</si>
  <si>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</si>
  <si>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</si>
  <si>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</si>
  <si>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</si>
  <si>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</si>
  <si>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</si>
  <si>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</si>
  <si>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</si>
  <si>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</si>
  <si>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</si>
  <si>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</si>
  <si>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</si>
  <si>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</si>
  <si>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</si>
  <si>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</si>
  <si>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</si>
  <si>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</si>
  <si>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</si>
  <si>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</si>
  <si>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</si>
  <si>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</si>
  <si>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</si>
  <si>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</si>
  <si>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</si>
  <si>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</si>
  <si>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</si>
  <si>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</si>
  <si>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</si>
  <si>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</si>
  <si>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</si>
  <si>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</si>
  <si>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</si>
  <si>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</si>
  <si>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</si>
  <si>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</si>
  <si>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</si>
  <si>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</si>
  <si>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</si>
  <si>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</si>
  <si>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</si>
  <si>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</si>
  <si>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</si>
  <si>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</si>
  <si>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</si>
  <si>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</si>
  <si>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</si>
  <si>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</si>
  <si>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</si>
  <si>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</si>
  <si>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</si>
  <si>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</si>
  <si>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</si>
  <si>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</si>
  <si>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</si>
  <si>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</si>
  <si>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</si>
  <si>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</si>
  <si>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</si>
  <si>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</si>
  <si>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</si>
  <si>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</si>
  <si>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</si>
  <si>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</si>
  <si>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</si>
  <si>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</si>
  <si>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</si>
  <si>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</si>
  <si>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</si>
  <si>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</si>
  <si>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</si>
  <si>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</si>
  <si>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</si>
  <si>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</si>
  <si>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</si>
  <si>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</si>
  <si>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</si>
  <si>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</si>
  <si>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</si>
  <si>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</si>
  <si>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</si>
  <si>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</si>
  <si>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</si>
  <si>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</si>
  <si>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</si>
  <si>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</si>
  <si>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</si>
  <si>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</si>
  <si>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</si>
  <si>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</si>
  <si>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</si>
  <si>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</si>
  <si>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</si>
  <si>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</si>
  <si>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</si>
  <si>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</si>
  <si>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</si>
  <si>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</si>
  <si>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</si>
  <si>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</si>
  <si>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</si>
  <si>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</si>
  <si>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</si>
  <si>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</si>
  <si>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</si>
  <si>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</si>
  <si>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</si>
  <si>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</si>
  <si>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</si>
  <si>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</si>
  <si>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</si>
  <si>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</si>
  <si>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</si>
  <si>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</si>
  <si>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</si>
  <si>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</si>
  <si>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</si>
  <si>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</si>
  <si>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</si>
  <si>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</si>
  <si>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</si>
  <si>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</si>
  <si>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</si>
  <si>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</si>
  <si>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</si>
  <si>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</si>
  <si>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</si>
  <si>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</si>
  <si>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</si>
  <si>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</si>
  <si>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</si>
  <si>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</si>
  <si>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</si>
  <si>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</si>
  <si>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</si>
  <si>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</si>
  <si>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</si>
  <si>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</si>
  <si>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</si>
  <si>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</si>
  <si>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</si>
  <si>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</si>
  <si>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</si>
  <si>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</si>
  <si>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</si>
  <si>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</si>
  <si>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</si>
  <si>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</si>
  <si>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</si>
  <si>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</si>
  <si>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</si>
  <si>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</si>
  <si>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</si>
  <si>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</si>
  <si>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</si>
  <si>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</si>
  <si>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</si>
  <si>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</si>
  <si>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</si>
  <si>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</si>
  <si>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</si>
  <si>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</si>
  <si>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</si>
  <si>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</si>
  <si>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</si>
  <si>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</si>
  <si>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</si>
  <si>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</si>
  <si>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</si>
  <si>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</si>
  <si>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</si>
  <si>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</si>
  <si>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</si>
  <si>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</si>
  <si>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</si>
  <si>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</si>
  <si>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</si>
  <si>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</si>
  <si>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</si>
  <si>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</si>
  <si>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</si>
  <si>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</si>
  <si>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</si>
  <si>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</si>
  <si>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</si>
  <si>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</si>
  <si>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</si>
  <si>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</si>
  <si>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</si>
  <si>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</si>
  <si>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</si>
  <si>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</si>
  <si>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</si>
  <si>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</si>
  <si>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</si>
  <si>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</si>
  <si>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</si>
  <si>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</si>
  <si>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</si>
  <si>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</si>
  <si>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</si>
  <si>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</si>
  <si>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</si>
  <si>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</si>
  <si>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</si>
  <si>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</si>
  <si>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</si>
  <si>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</si>
  <si>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</si>
  <si>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</si>
  <si>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</si>
  <si>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</si>
  <si>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</si>
  <si>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</si>
  <si>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</si>
  <si>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</si>
  <si>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</si>
  <si>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</si>
  <si>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</si>
  <si>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</si>
  <si>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</si>
  <si>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</si>
  <si>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</si>
  <si>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</si>
  <si>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</si>
  <si>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</si>
  <si>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</si>
  <si>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</si>
  <si>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</si>
  <si>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</si>
  <si>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</si>
  <si>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</si>
  <si>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</si>
  <si>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</si>
  <si>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</si>
  <si>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</si>
  <si>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</si>
  <si>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</si>
  <si>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</si>
  <si>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</si>
  <si>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</si>
  <si>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</si>
  <si>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</si>
  <si>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</si>
  <si>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</si>
  <si>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</si>
  <si>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</si>
  <si>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</si>
  <si>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</si>
  <si>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</si>
  <si>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</si>
  <si>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</si>
  <si>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</si>
  <si>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</si>
  <si>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</si>
  <si>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</si>
  <si>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</si>
  <si>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</si>
  <si>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</si>
  <si>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</si>
  <si>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</si>
  <si>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</si>
  <si>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</si>
  <si>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</si>
  <si>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</si>
  <si>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</si>
  <si>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</si>
  <si>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</si>
  <si>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</si>
  <si>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</si>
  <si>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</si>
  <si>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</si>
  <si>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</si>
  <si>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</si>
  <si>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</si>
  <si>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</si>
  <si>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</si>
  <si>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</si>
  <si>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</si>
  <si>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</si>
  <si>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</si>
  <si>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</si>
  <si>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</si>
  <si>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</si>
  <si>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</si>
  <si>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</si>
  <si>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</si>
  <si>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</si>
  <si>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</si>
  <si>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</si>
  <si>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</si>
  <si>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</si>
  <si>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</si>
  <si>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</si>
  <si>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</si>
  <si>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</si>
  <si>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</si>
  <si>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</si>
  <si>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</si>
  <si>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</si>
  <si>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</si>
  <si>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</si>
  <si>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</si>
  <si>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</si>
  <si>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</si>
  <si>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</si>
  <si>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</si>
  <si>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</si>
  <si>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</si>
  <si>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</si>
  <si>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</si>
  <si>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</si>
  <si>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</si>
  <si>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</si>
  <si>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</si>
  <si>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</si>
  <si>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</si>
  <si>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</si>
  <si>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</si>
  <si>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</si>
  <si>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</si>
  <si>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</si>
  <si>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</si>
  <si>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</si>
  <si>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</si>
  <si>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</si>
  <si>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</si>
  <si>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</si>
  <si>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</si>
  <si>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</si>
  <si>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</si>
  <si>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</si>
  <si>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</si>
  <si>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</si>
  <si>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</si>
  <si>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</si>
  <si>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</si>
  <si>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</si>
  <si>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</si>
  <si>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</si>
  <si>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</si>
  <si>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</si>
  <si>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</si>
  <si>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</si>
  <si>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</si>
  <si>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</si>
  <si>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</si>
  <si>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</si>
  <si>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</si>
  <si>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</si>
  <si>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</si>
  <si>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</si>
  <si>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</si>
  <si>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</si>
  <si>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</si>
  <si>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</si>
  <si>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</si>
  <si>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</si>
  <si>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</si>
  <si>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</si>
  <si>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</si>
  <si>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</si>
  <si>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</si>
  <si>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</si>
  <si>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</si>
  <si>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</si>
  <si>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Lake</t>
  </si>
  <si>
    <t>25775 W. Highway 134</t>
  </si>
  <si>
    <t>Ingleside</t>
  </si>
  <si>
    <t>Evans, Marshall and Pease, P.C.</t>
  </si>
  <si>
    <t>Jeffery M. Rollefson</t>
  </si>
  <si>
    <t>1875 Hicks Road</t>
  </si>
  <si>
    <t>Rolling Meadows</t>
  </si>
  <si>
    <t>IL</t>
  </si>
  <si>
    <t>847-221-5700</t>
  </si>
  <si>
    <t>847-221-5701</t>
  </si>
  <si>
    <t>060-003973</t>
  </si>
  <si>
    <t>Refunding General Obligation Bond 2014</t>
  </si>
  <si>
    <t>Refunding General Obligation Bond 2017</t>
  </si>
  <si>
    <t>Short-Term Long-Term Debt 24 - Refunded bonds in the amount of $235,000</t>
  </si>
  <si>
    <t>NIHIP</t>
  </si>
  <si>
    <t>IUPC</t>
  </si>
  <si>
    <t>ARBOR MANAGEMENT</t>
  </si>
  <si>
    <t>CLIC</t>
  </si>
  <si>
    <t>PMA</t>
  </si>
  <si>
    <t>HODGES, LOIZZI, ET AL.</t>
  </si>
  <si>
    <t>SEDOL</t>
  </si>
  <si>
    <t>DURHAM, CHAIN O' LAKES</t>
  </si>
  <si>
    <t>Evans, Marshall and Pease P.C.</t>
  </si>
  <si>
    <t>LIBERTYVILLE</t>
  </si>
  <si>
    <t>none</t>
  </si>
  <si>
    <t>x</t>
  </si>
  <si>
    <t>Gavin Sd 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</si>
</sst>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2943225</xdr:colOff>
          <xdr:row>3</xdr:row>
          <xdr:rowOff>38100</xdr:rowOff>
        </xdr:from>
        <xdr:to>
          <xdr:col>1</xdr:col>
          <xdr:colOff>3857625</xdr:colOff>
          <xdr:row>7</xdr:row>
          <xdr:rowOff>76200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3</xdr:row>
          <xdr:rowOff>9525</xdr:rowOff>
        </xdr:from>
        <xdr:to>
          <xdr:col>4</xdr:col>
          <xdr:colOff>161925</xdr:colOff>
          <xdr:row>7</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34049037002</v>
      </c>
      <c r="B13" s="2035"/>
      <c r="C13" s="2035"/>
      <c r="D13" s="2035"/>
      <c r="E13" s="2035"/>
      <c r="F13" s="2035"/>
      <c r="G13" s="2035"/>
      <c r="H13" s="2036"/>
      <c r="I13" s="31"/>
      <c r="J13" s="30"/>
      <c r="K13" s="28"/>
      <c r="L13" s="30"/>
      <c r="M13" s="30"/>
      <c r="N13" s="30"/>
      <c r="O13" s="30"/>
      <c r="P13" s="30"/>
      <c r="Q13" s="30"/>
      <c r="R13" s="30"/>
      <c r="S13" s="30"/>
      <c r="T13" s="2039" t="s">
        <v>2081</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2078</v>
      </c>
      <c r="B15" s="2037"/>
      <c r="C15" s="2037"/>
      <c r="D15" s="2037"/>
      <c r="E15" s="2037"/>
      <c r="F15" s="2037"/>
      <c r="G15" s="2037"/>
      <c r="H15" s="2038"/>
      <c r="T15" s="2043" t="s">
        <v>2082</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2104</v>
      </c>
      <c r="B17" s="1994"/>
      <c r="C17" s="1994"/>
      <c r="D17" s="1994"/>
      <c r="E17" s="1994"/>
      <c r="F17" s="1994"/>
      <c r="G17" s="1994"/>
      <c r="H17" s="2019"/>
      <c r="T17" s="2050" t="s">
        <v>2083</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2079</v>
      </c>
      <c r="B19" s="1979"/>
      <c r="C19" s="1979"/>
      <c r="D19" s="1979"/>
      <c r="E19" s="1979"/>
      <c r="F19" s="1979"/>
      <c r="G19" s="1979"/>
      <c r="H19" s="1959"/>
      <c r="I19" s="30"/>
      <c r="J19" s="99"/>
      <c r="K19" s="40"/>
      <c r="L19" s="38"/>
      <c r="M19" s="112" t="s">
        <v>333</v>
      </c>
      <c r="P19" s="27"/>
      <c r="Q19" s="27"/>
      <c r="R19" s="27"/>
      <c r="S19" s="31"/>
      <c r="T19" s="2033" t="s">
        <v>2084</v>
      </c>
      <c r="U19" s="1958"/>
      <c r="V19" s="1958"/>
      <c r="W19" s="1959"/>
      <c r="X19" s="2048" t="s">
        <v>2085</v>
      </c>
      <c r="Y19" s="2049"/>
      <c r="Z19" s="2046">
        <v>60008</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2080</v>
      </c>
      <c r="B21" s="1958"/>
      <c r="C21" s="1958"/>
      <c r="D21" s="1958"/>
      <c r="E21" s="1958"/>
      <c r="F21" s="1958"/>
      <c r="G21" s="1958"/>
      <c r="H21" s="1959"/>
      <c r="I21" s="2013" t="s">
        <v>699</v>
      </c>
      <c r="J21" s="2008"/>
      <c r="K21" s="2008"/>
      <c r="L21" s="2008"/>
      <c r="M21" s="2008"/>
      <c r="N21" s="2008"/>
      <c r="O21" s="2008"/>
      <c r="P21" s="2008"/>
      <c r="Q21" s="2008"/>
      <c r="R21" s="2008"/>
      <c r="S21" s="2014"/>
      <c r="T21" s="2057" t="s">
        <v>2086</v>
      </c>
      <c r="U21" s="2058"/>
      <c r="V21" s="2058"/>
      <c r="W21" s="2058"/>
      <c r="X21" s="2063" t="s">
        <v>2087</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t="s">
        <v>2088</v>
      </c>
      <c r="U23" s="2056"/>
      <c r="V23" s="2056"/>
      <c r="W23" s="2056"/>
      <c r="X23" s="2060">
        <v>43466</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60041</v>
      </c>
      <c r="B25" s="1958"/>
      <c r="C25" s="1958"/>
      <c r="D25" s="1958"/>
      <c r="E25" s="1958"/>
      <c r="F25" s="1958"/>
      <c r="G25" s="1958"/>
      <c r="H25" s="1959"/>
      <c r="I25" s="113"/>
      <c r="J25" s="1982"/>
      <c r="K25" s="1982"/>
      <c r="L25" s="1982"/>
      <c r="M25" s="1982"/>
      <c r="N25" s="1982"/>
      <c r="O25" s="1982"/>
      <c r="P25" s="1982"/>
      <c r="Q25" s="1982"/>
      <c r="R25" s="1982"/>
      <c r="S25" s="1983"/>
      <c r="T25" s="2053"/>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c r="B42" s="1977"/>
      <c r="C42" s="1978"/>
      <c r="D42" s="1976"/>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50" zoomScaleNormal="15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4479055</v>
      </c>
      <c r="C4" s="1546">
        <v>2400889</v>
      </c>
      <c r="D4" s="1774">
        <f>B4-C4</f>
        <v>2078166</v>
      </c>
      <c r="E4" s="1546">
        <v>4550000</v>
      </c>
      <c r="F4" s="1774">
        <f>E4-C4</f>
        <v>2149111</v>
      </c>
    </row>
    <row r="5" spans="1:6" ht="13.7" customHeight="1" x14ac:dyDescent="0.2">
      <c r="A5" s="716" t="s">
        <v>925</v>
      </c>
      <c r="B5" s="1772">
        <f>'Revenues 9-14'!D5</f>
        <v>799186</v>
      </c>
      <c r="C5" s="585">
        <v>403800</v>
      </c>
      <c r="D5" s="1775">
        <f t="shared" ref="D5:D18" si="0">B5-C5</f>
        <v>395386</v>
      </c>
      <c r="E5" s="585">
        <v>754200</v>
      </c>
      <c r="F5" s="1775">
        <f>E5-C5</f>
        <v>350400</v>
      </c>
    </row>
    <row r="6" spans="1:6" ht="13.7" customHeight="1" x14ac:dyDescent="0.2">
      <c r="A6" s="716" t="s">
        <v>431</v>
      </c>
      <c r="B6" s="1772">
        <f>'Revenues 9-14'!E5</f>
        <v>787435</v>
      </c>
      <c r="C6" s="585">
        <v>274155</v>
      </c>
      <c r="D6" s="1775">
        <f t="shared" si="0"/>
        <v>513280</v>
      </c>
      <c r="E6" s="585">
        <v>506446</v>
      </c>
      <c r="F6" s="1775">
        <f t="shared" ref="F6:F18" si="1">E6-C6</f>
        <v>232291</v>
      </c>
    </row>
    <row r="7" spans="1:6" ht="13.7" customHeight="1" x14ac:dyDescent="0.2">
      <c r="A7" s="716" t="s">
        <v>157</v>
      </c>
      <c r="B7" s="1772">
        <f>'Revenues 9-14'!F5</f>
        <v>79034</v>
      </c>
      <c r="C7" s="585">
        <v>37024</v>
      </c>
      <c r="D7" s="1775">
        <f t="shared" si="0"/>
        <v>42010</v>
      </c>
      <c r="E7" s="585">
        <v>70000</v>
      </c>
      <c r="F7" s="1775">
        <f t="shared" si="1"/>
        <v>32976</v>
      </c>
    </row>
    <row r="8" spans="1:6" ht="13.7" customHeight="1" x14ac:dyDescent="0.2">
      <c r="A8" s="716" t="s">
        <v>1241</v>
      </c>
      <c r="B8" s="1772">
        <f>'Revenues 9-14'!G5</f>
        <v>117758</v>
      </c>
      <c r="C8" s="585">
        <v>61001</v>
      </c>
      <c r="D8" s="1775">
        <f t="shared" si="0"/>
        <v>56757</v>
      </c>
      <c r="E8" s="585">
        <v>115000</v>
      </c>
      <c r="F8" s="1775">
        <f t="shared" si="1"/>
        <v>53999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3054</v>
      </c>
      <c r="C10" s="585">
        <v>1535</v>
      </c>
      <c r="D10" s="1775">
        <f t="shared" si="0"/>
        <v>1519</v>
      </c>
      <c r="E10" s="585">
        <v>2900</v>
      </c>
      <c r="F10" s="1775">
        <f t="shared" si="1"/>
        <v>1365</v>
      </c>
    </row>
    <row r="11" spans="1:6" x14ac:dyDescent="0.2">
      <c r="A11" s="716" t="s">
        <v>429</v>
      </c>
      <c r="B11" s="1772">
        <f>'Revenues 9-14'!J5</f>
        <v>42949</v>
      </c>
      <c r="C11" s="585">
        <v>42923</v>
      </c>
      <c r="D11" s="1775">
        <f t="shared" si="0"/>
        <v>26</v>
      </c>
      <c r="E11" s="585">
        <v>80000</v>
      </c>
      <c r="F11" s="1775">
        <f t="shared" si="1"/>
        <v>37077</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22073</v>
      </c>
      <c r="C14" s="585">
        <v>11594</v>
      </c>
      <c r="D14" s="1775">
        <f t="shared" si="0"/>
        <v>10479</v>
      </c>
      <c r="E14" s="585">
        <v>22169</v>
      </c>
      <c r="F14" s="1775">
        <f t="shared" si="1"/>
        <v>10575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123950</v>
      </c>
      <c r="C16" s="585">
        <v>64525</v>
      </c>
      <c r="D16" s="1775">
        <f t="shared" si="0"/>
        <v>59425</v>
      </c>
      <c r="E16" s="585">
        <v>122000</v>
      </c>
      <c r="F16" s="1775">
        <f t="shared" si="1"/>
        <v>57475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11943</v>
      </c>
      <c r="C18" s="585">
        <v>6358</v>
      </c>
      <c r="D18" s="1775">
        <f t="shared" si="0"/>
        <v>5585</v>
      </c>
      <c r="E18" s="585">
        <v>11744</v>
      </c>
      <c r="F18" s="1775">
        <f t="shared" si="1"/>
        <v>5386</v>
      </c>
    </row>
    <row r="19" spans="1:6" ht="13.7" customHeight="1" thickBot="1" x14ac:dyDescent="0.25">
      <c r="A19" s="1776" t="s">
        <v>1223</v>
      </c>
      <c r="B19" s="1773">
        <f>SUM(B4:B18)</f>
        <v>6466437</v>
      </c>
      <c r="C19" s="1773">
        <f>SUM(C4:C18)</f>
        <v>3303804</v>
      </c>
      <c r="D19" s="1773">
        <f>SUM(D4:D18)</f>
        <v>3162633</v>
      </c>
      <c r="E19" s="1773">
        <f>SUM(E4:E18)</f>
        <v>6234459</v>
      </c>
      <c r="F19" s="1773">
        <f>SUM(F4:F18)</f>
        <v>2930655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G32" sqref="G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9" t="s">
        <v>2036</v>
      </c>
      <c r="D2" s="724" t="s">
        <v>2043</v>
      </c>
      <c r="E2" s="724" t="s">
        <v>2044</v>
      </c>
      <c r="F2" s="1909" t="s">
        <v>2037</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7">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7">
        <f>SUM(C17+D17)-E17</f>
        <v>0</v>
      </c>
    </row>
    <row r="18" spans="1:11" ht="12.75" customHeight="1" thickTop="1" thickBot="1" x14ac:dyDescent="0.25">
      <c r="A18" s="2207" t="s">
        <v>6</v>
      </c>
      <c r="B18" s="2208"/>
      <c r="C18" s="727"/>
      <c r="D18" s="585"/>
      <c r="E18" s="727"/>
      <c r="F18" s="1777">
        <f>SUM(C18+D18)-E18</f>
        <v>0</v>
      </c>
    </row>
    <row r="19" spans="1:11" ht="12.75" customHeight="1" thickTop="1" thickBot="1" x14ac:dyDescent="0.25">
      <c r="A19" s="2207" t="s">
        <v>406</v>
      </c>
      <c r="B19" s="2208"/>
      <c r="C19" s="727"/>
      <c r="D19" s="585"/>
      <c r="E19" s="727"/>
      <c r="F19" s="1777">
        <f>SUM(C19+D19)-E19</f>
        <v>0</v>
      </c>
    </row>
    <row r="20" spans="1:11" ht="12.75" customHeight="1" thickTop="1" thickBot="1" x14ac:dyDescent="0.25">
      <c r="A20" s="2207" t="s">
        <v>468</v>
      </c>
      <c r="B20" s="2208"/>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7">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7">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2089</v>
      </c>
      <c r="B31" s="734">
        <v>41974</v>
      </c>
      <c r="C31" s="735">
        <v>3485000</v>
      </c>
      <c r="D31" s="736">
        <v>3</v>
      </c>
      <c r="E31" s="735">
        <v>1490000</v>
      </c>
      <c r="F31" s="735"/>
      <c r="G31" s="735"/>
      <c r="H31" s="735">
        <f>1025000+235000</f>
        <v>1260000</v>
      </c>
      <c r="I31" s="1778">
        <f>((E31+F31)-H31)+G31</f>
        <v>230000</v>
      </c>
      <c r="J31" s="735"/>
      <c r="K31" s="737"/>
    </row>
    <row r="32" spans="1:11" ht="12" customHeight="1" x14ac:dyDescent="0.2">
      <c r="A32" s="733" t="s">
        <v>2090</v>
      </c>
      <c r="B32" s="734">
        <v>42927</v>
      </c>
      <c r="C32" s="735">
        <v>265000</v>
      </c>
      <c r="D32" s="736">
        <v>3</v>
      </c>
      <c r="E32" s="735"/>
      <c r="F32" s="735">
        <v>265000</v>
      </c>
      <c r="G32" s="735"/>
      <c r="H32" s="735"/>
      <c r="I32" s="1778">
        <f>((E32+F32)-H32)+G32</f>
        <v>265000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3750000</v>
      </c>
      <c r="D49" s="746"/>
      <c r="E49" s="1778">
        <f t="shared" ref="E49:J49" si="2">SUM(E31:E48)</f>
        <v>1490000</v>
      </c>
      <c r="F49" s="1778">
        <f t="shared" si="2"/>
        <v>265000</v>
      </c>
      <c r="G49" s="1778">
        <f t="shared" si="2"/>
        <v>0</v>
      </c>
      <c r="H49" s="1778">
        <f t="shared" si="2"/>
        <v>1260000</v>
      </c>
      <c r="I49" s="1778">
        <f t="shared" si="2"/>
        <v>495000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22073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9"/>
      <c r="G12" s="1780">
        <f>SUM(G5:G11)</f>
        <v>0</v>
      </c>
      <c r="H12" s="1780">
        <f>SUM(H5:H11)</f>
        <v>22073</v>
      </c>
      <c r="I12" s="1780">
        <f>SUM(I5:I11)</f>
        <v>0</v>
      </c>
      <c r="J12" s="1780">
        <f>SUM(J5:J11)</f>
        <v>0</v>
      </c>
      <c r="K12" s="1780">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c r="I14" s="772"/>
      <c r="J14" s="774"/>
      <c r="K14" s="766"/>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1"/>
      <c r="G21" s="793"/>
      <c r="H21" s="797"/>
      <c r="I21" s="797"/>
      <c r="J21" s="1782">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3"/>
      <c r="G23" s="1780">
        <f>SUM(G14:G16,G21,G22)</f>
        <v>0</v>
      </c>
      <c r="H23" s="1780">
        <f>SUM(H14:H16,H21,H22)</f>
        <v>0</v>
      </c>
      <c r="I23" s="1780">
        <f>SUM(I14:I16,I21,I22)</f>
        <v>0</v>
      </c>
      <c r="J23" s="1780">
        <f>SUM(J14:J16,J21,J22)</f>
        <v>0</v>
      </c>
      <c r="K23" s="1780">
        <f>SUM(K14:K16,K21,K22)</f>
        <v>0</v>
      </c>
    </row>
    <row r="24" spans="1:11" ht="14.25" thickTop="1" thickBot="1" x14ac:dyDescent="0.25">
      <c r="A24" s="2264" t="s">
        <v>2024</v>
      </c>
      <c r="B24" s="2263"/>
      <c r="C24" s="2263"/>
      <c r="D24" s="2263"/>
      <c r="E24" s="2263"/>
      <c r="F24" s="1784"/>
      <c r="G24" s="1785">
        <f>SUM(G3,G12)-G23</f>
        <v>0</v>
      </c>
      <c r="H24" s="1785">
        <f>SUM(H3,H12)-H23</f>
        <v>22073</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22073</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158453</v>
      </c>
      <c r="D5" s="842"/>
      <c r="E5" s="842"/>
      <c r="F5" s="1782">
        <f>(C5+D5)-E5</f>
        <v>158453</v>
      </c>
      <c r="G5" s="838"/>
      <c r="H5" s="843"/>
      <c r="I5" s="843"/>
      <c r="J5" s="843"/>
      <c r="K5" s="794"/>
      <c r="L5" s="1791">
        <f>F5-K5</f>
        <v>158453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10227324</v>
      </c>
      <c r="D8" s="845">
        <v>21594</v>
      </c>
      <c r="E8" s="845"/>
      <c r="F8" s="1782">
        <f>(C8+D8)-E8</f>
        <v>10248918</v>
      </c>
      <c r="G8" s="844">
        <v>50</v>
      </c>
      <c r="H8" s="766">
        <v>6080263</v>
      </c>
      <c r="I8" s="766">
        <v>225842</v>
      </c>
      <c r="J8" s="766"/>
      <c r="K8" s="1791">
        <f>(H8+I8)-J8</f>
        <v>6306105</v>
      </c>
      <c r="L8" s="1791">
        <f>F8-K8</f>
        <v>3942813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173345</v>
      </c>
      <c r="D10" s="847">
        <v>24660</v>
      </c>
      <c r="E10" s="847"/>
      <c r="F10" s="1786">
        <f>(C10+D10)-E10</f>
        <v>198005</v>
      </c>
      <c r="G10" s="844">
        <v>20</v>
      </c>
      <c r="H10" s="848">
        <v>173122</v>
      </c>
      <c r="I10" s="848">
        <v>766</v>
      </c>
      <c r="J10" s="848"/>
      <c r="K10" s="1791">
        <f>(H10+I10)-J10</f>
        <v>173888</v>
      </c>
      <c r="L10" s="1791">
        <f>F10-K10</f>
        <v>24117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1551751</v>
      </c>
      <c r="D12" s="845">
        <v>35887</v>
      </c>
      <c r="E12" s="845"/>
      <c r="F12" s="1782">
        <f>(C12+D12)-E12</f>
        <v>1587638</v>
      </c>
      <c r="G12" s="844">
        <v>10</v>
      </c>
      <c r="H12" s="766">
        <v>1259356</v>
      </c>
      <c r="I12" s="766">
        <v>49461</v>
      </c>
      <c r="J12" s="766"/>
      <c r="K12" s="1791">
        <f>(H12+I12)-J12</f>
        <v>1308817</v>
      </c>
      <c r="L12" s="1791">
        <f>F12-K12</f>
        <v>278821</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12110873</v>
      </c>
      <c r="D16" s="1782">
        <f>SUM(D3,D5:D6,D8:D10,D12:D15)</f>
        <v>82141</v>
      </c>
      <c r="E16" s="1782">
        <f>SUM(E3,E5:E6,E8:E10,E12:E15)</f>
        <v>0</v>
      </c>
      <c r="F16" s="1782">
        <f>SUM(F3,F5:F6,F8:F10,F12:F15)</f>
        <v>12193014</v>
      </c>
      <c r="G16" s="844"/>
      <c r="H16" s="1782">
        <f>SUM(H3,H6,H8:H10,H12:H14,)</f>
        <v>7512741</v>
      </c>
      <c r="I16" s="1782">
        <f>SUM(I3,I6,I8:I10,I12:I14,)</f>
        <v>276069</v>
      </c>
      <c r="J16" s="1782">
        <f>SUM(J3,J6,J8:J10,J12:J14,)</f>
        <v>0</v>
      </c>
      <c r="K16" s="1782">
        <f>(H16+I16)-J16</f>
        <v>7788810</v>
      </c>
      <c r="L16" s="1782">
        <f>F16-K16</f>
        <v>4404204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6350</v>
      </c>
      <c r="G17" s="838">
        <v>10</v>
      </c>
      <c r="H17" s="770"/>
      <c r="I17" s="1791">
        <f>F17/G17</f>
        <v>635</v>
      </c>
      <c r="J17" s="770"/>
      <c r="K17" s="796"/>
      <c r="L17" s="796"/>
    </row>
    <row r="18" spans="1:12" ht="14.25" thickTop="1" thickBot="1" x14ac:dyDescent="0.25">
      <c r="A18" s="1789" t="s">
        <v>706</v>
      </c>
      <c r="B18" s="1790"/>
      <c r="C18" s="772"/>
      <c r="D18" s="772"/>
      <c r="E18" s="772"/>
      <c r="F18" s="851"/>
      <c r="G18" s="852"/>
      <c r="H18" s="774"/>
      <c r="I18" s="1782">
        <f>SUM(I16,I17)</f>
        <v>276704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47" sqref="A47"/>
      <selection pane="bottomLeft" activeCell="D79" sqref="D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7538208</v>
      </c>
      <c r="G8" s="866"/>
    </row>
    <row r="9" spans="1:7" x14ac:dyDescent="0.2">
      <c r="A9" s="870" t="s">
        <v>480</v>
      </c>
      <c r="B9" s="871" t="s">
        <v>1988</v>
      </c>
      <c r="C9" s="872"/>
      <c r="D9" s="870" t="s">
        <v>522</v>
      </c>
      <c r="E9" s="869"/>
      <c r="F9" s="1935">
        <f>'Expenditures 15-22'!K151</f>
        <v>774479</v>
      </c>
      <c r="G9" s="873"/>
    </row>
    <row r="10" spans="1:7" x14ac:dyDescent="0.2">
      <c r="A10" s="870" t="s">
        <v>520</v>
      </c>
      <c r="B10" s="871" t="s">
        <v>1989</v>
      </c>
      <c r="C10" s="872"/>
      <c r="D10" s="870" t="s">
        <v>522</v>
      </c>
      <c r="E10" s="869"/>
      <c r="F10" s="1935">
        <f>'Expenditures 15-22'!K174</f>
        <v>1062525</v>
      </c>
      <c r="G10" s="873"/>
    </row>
    <row r="11" spans="1:7" x14ac:dyDescent="0.2">
      <c r="A11" s="870" t="s">
        <v>481</v>
      </c>
      <c r="B11" s="871" t="s">
        <v>1990</v>
      </c>
      <c r="C11" s="872"/>
      <c r="D11" s="870" t="s">
        <v>522</v>
      </c>
      <c r="E11" s="869"/>
      <c r="F11" s="1935">
        <f>'Expenditures 15-22'!K210</f>
        <v>575439</v>
      </c>
      <c r="G11" s="873"/>
    </row>
    <row r="12" spans="1:7" x14ac:dyDescent="0.2">
      <c r="A12" s="870" t="s">
        <v>482</v>
      </c>
      <c r="B12" s="871" t="s">
        <v>1991</v>
      </c>
      <c r="C12" s="872"/>
      <c r="D12" s="870" t="s">
        <v>522</v>
      </c>
      <c r="E12" s="869"/>
      <c r="F12" s="1935">
        <f>'Expenditures 15-22'!K295</f>
        <v>297380</v>
      </c>
      <c r="G12" s="873"/>
    </row>
    <row r="13" spans="1:7" x14ac:dyDescent="0.2">
      <c r="A13" s="870" t="s">
        <v>108</v>
      </c>
      <c r="B13" s="871" t="s">
        <v>1992</v>
      </c>
      <c r="C13" s="872"/>
      <c r="D13" s="870" t="s">
        <v>522</v>
      </c>
      <c r="E13" s="869"/>
      <c r="F13" s="1935">
        <f>'Expenditures 15-22'!K342</f>
        <v>40000</v>
      </c>
      <c r="G13" s="874"/>
    </row>
    <row r="14" spans="1:7" ht="12" customHeight="1" thickBot="1" x14ac:dyDescent="0.25">
      <c r="A14" s="1792"/>
      <c r="B14" s="1793"/>
      <c r="C14" s="1794"/>
      <c r="D14" s="1795" t="s">
        <v>522</v>
      </c>
      <c r="E14" s="1796" t="s">
        <v>1015</v>
      </c>
      <c r="F14" s="1797">
        <f>SUM(F8:F13)</f>
        <v>10288031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13015</v>
      </c>
      <c r="G52" s="866"/>
    </row>
    <row r="53" spans="1:7" x14ac:dyDescent="0.2">
      <c r="A53" s="870" t="s">
        <v>479</v>
      </c>
      <c r="B53" s="870" t="s">
        <v>1551</v>
      </c>
      <c r="C53" s="890">
        <f>'Expenditures 15-22'!B102</f>
        <v>4000</v>
      </c>
      <c r="D53" s="889" t="str">
        <f>'Expenditures 15-22'!A102</f>
        <v>Total Payments to Other Govt Units</v>
      </c>
      <c r="E53" s="869"/>
      <c r="F53" s="1939">
        <f>'Expenditures 15-22'!K102</f>
        <v>576022</v>
      </c>
      <c r="G53" s="866"/>
    </row>
    <row r="54" spans="1:7" x14ac:dyDescent="0.2">
      <c r="A54" s="870" t="s">
        <v>479</v>
      </c>
      <c r="B54" s="870" t="s">
        <v>1552</v>
      </c>
      <c r="C54" s="890" t="s">
        <v>1039</v>
      </c>
      <c r="D54" s="886" t="s">
        <v>1157</v>
      </c>
      <c r="E54" s="869"/>
      <c r="F54" s="1939">
        <f>'Expenditures 15-22'!G114</f>
        <v>31962</v>
      </c>
      <c r="G54" s="866"/>
    </row>
    <row r="55" spans="1:7" x14ac:dyDescent="0.2">
      <c r="A55" s="870" t="s">
        <v>479</v>
      </c>
      <c r="B55" s="870" t="s">
        <v>1553</v>
      </c>
      <c r="C55" s="890" t="s">
        <v>1039</v>
      </c>
      <c r="D55" s="886" t="s">
        <v>309</v>
      </c>
      <c r="E55" s="869"/>
      <c r="F55" s="1939">
        <f>'Expenditures 15-22'!I114</f>
        <v>6350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50179</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1025000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1702528</v>
      </c>
      <c r="G76" s="866"/>
    </row>
    <row r="77" spans="1:8" s="894" customFormat="1" ht="12" customHeight="1" thickTop="1" thickBot="1" x14ac:dyDescent="0.25">
      <c r="A77" s="1801"/>
      <c r="B77" s="1798"/>
      <c r="C77" s="1794"/>
      <c r="D77" s="1799" t="s">
        <v>2011</v>
      </c>
      <c r="E77" s="1796"/>
      <c r="F77" s="1802">
        <f>(F14-F76)</f>
        <v>8585503</v>
      </c>
      <c r="G77" s="870"/>
    </row>
    <row r="78" spans="1:8" s="894" customFormat="1" ht="12" customHeight="1" thickTop="1" x14ac:dyDescent="0.2">
      <c r="A78" s="1803"/>
      <c r="B78" s="1798"/>
      <c r="C78" s="1794"/>
      <c r="D78" s="1799" t="s">
        <v>2057</v>
      </c>
      <c r="E78" s="1796"/>
      <c r="F78" s="899">
        <v>740.42</v>
      </c>
      <c r="G78" s="900"/>
      <c r="H78" s="870"/>
    </row>
    <row r="79" spans="1:8" s="894" customFormat="1" ht="12" customHeight="1" thickBot="1" x14ac:dyDescent="0.25">
      <c r="A79" s="1804"/>
      <c r="B79" s="1798"/>
      <c r="C79" s="1794"/>
      <c r="D79" s="1799" t="s">
        <v>2012</v>
      </c>
      <c r="E79" s="1796" t="s">
        <v>1015</v>
      </c>
      <c r="F79" s="1805">
        <f>IF(F78&gt;0,F77/F78," Complete Line 78")</f>
        <v>11595.449879797954</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81920</v>
      </c>
      <c r="G94" s="913"/>
    </row>
    <row r="95" spans="1:7" x14ac:dyDescent="0.2">
      <c r="A95" s="909" t="s">
        <v>142</v>
      </c>
      <c r="B95" s="909" t="s">
        <v>177</v>
      </c>
      <c r="C95" s="911">
        <v>1700</v>
      </c>
      <c r="D95" s="919" t="str">
        <f>'Revenues 9-14'!A82</f>
        <v>Total District/School Activity Income</v>
      </c>
      <c r="E95" s="907"/>
      <c r="F95" s="1811">
        <f>SUM('Revenues 9-14'!C82,'Revenues 9-14'!D82)</f>
        <v>11768</v>
      </c>
      <c r="G95" s="913"/>
    </row>
    <row r="96" spans="1:7" x14ac:dyDescent="0.2">
      <c r="A96" s="909" t="s">
        <v>479</v>
      </c>
      <c r="B96" s="909" t="s">
        <v>178</v>
      </c>
      <c r="C96" s="911">
        <f>'Revenues 9-14'!B84</f>
        <v>1811</v>
      </c>
      <c r="D96" s="912" t="str">
        <f>'Revenues 9-14'!A84</f>
        <v>Rentals - Regular Textbooks</v>
      </c>
      <c r="E96" s="907"/>
      <c r="F96" s="1811">
        <f>'Revenues 9-14'!C84</f>
        <v>76473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185667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3262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413134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7913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291620</v>
      </c>
      <c r="G129" s="931"/>
    </row>
    <row r="130" spans="1:7" x14ac:dyDescent="0.2">
      <c r="A130" s="928" t="s">
        <v>689</v>
      </c>
      <c r="B130" s="928" t="s">
        <v>804</v>
      </c>
      <c r="C130" s="933">
        <v>4300</v>
      </c>
      <c r="D130" s="934" t="str">
        <f>'Revenues 9-14'!A211</f>
        <v>Total Title I</v>
      </c>
      <c r="E130" s="907"/>
      <c r="F130" s="1811">
        <f>SUM('Revenues 9-14'!C211,'Revenues 9-14'!D211,'Revenues 9-14'!F211,'Revenues 9-14'!G211)</f>
        <v>86948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3550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107936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39397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33659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1343897</v>
      </c>
    </row>
    <row r="179" spans="1:7" ht="12" customHeight="1" x14ac:dyDescent="0.2">
      <c r="A179" s="1792"/>
      <c r="B179" s="1806"/>
      <c r="C179" s="1807"/>
      <c r="D179" s="1808" t="s">
        <v>2014</v>
      </c>
      <c r="E179" s="1809"/>
      <c r="F179" s="1811">
        <f>'PCTC-OEPP 27-28'!F77-F178</f>
        <v>7241606</v>
      </c>
    </row>
    <row r="180" spans="1:7" ht="12" customHeight="1" x14ac:dyDescent="0.2">
      <c r="A180" s="1792"/>
      <c r="B180" s="1806"/>
      <c r="C180" s="1807"/>
      <c r="D180" s="1808" t="s">
        <v>1924</v>
      </c>
      <c r="E180" s="1809"/>
      <c r="F180" s="1811">
        <f>'Cap Outlay Deprec 26'!I18</f>
        <v>276704</v>
      </c>
    </row>
    <row r="181" spans="1:7" ht="12" customHeight="1" x14ac:dyDescent="0.2">
      <c r="A181" s="1792"/>
      <c r="B181" s="1806"/>
      <c r="C181" s="1807"/>
      <c r="D181" s="1808" t="s">
        <v>2015</v>
      </c>
      <c r="E181" s="1809"/>
      <c r="F181" s="1811">
        <f>F179+F180</f>
        <v>7518310</v>
      </c>
    </row>
    <row r="182" spans="1:7" ht="12" customHeight="1" x14ac:dyDescent="0.2">
      <c r="A182" s="1792"/>
      <c r="B182" s="1812"/>
      <c r="C182" s="1807"/>
      <c r="D182" s="1808" t="str">
        <f>D78</f>
        <v>9 Month ADA from District Average Daily Attendance/Prior General State Aid Inquiry 2017-2018</v>
      </c>
      <c r="E182" s="1809"/>
      <c r="F182" s="1813">
        <f>'PCTC-OEPP 27-28'!F78</f>
        <v>740.42</v>
      </c>
      <c r="G182" s="931"/>
    </row>
    <row r="183" spans="1:7" ht="12" customHeight="1" thickBot="1" x14ac:dyDescent="0.25">
      <c r="A183" s="1792"/>
      <c r="B183" s="1812"/>
      <c r="C183" s="1807"/>
      <c r="D183" s="1808" t="s">
        <v>2016</v>
      </c>
      <c r="E183" s="1809" t="s">
        <v>1626</v>
      </c>
      <c r="F183" s="1814">
        <f>F181/F182</f>
        <v>10154.115231895412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2102</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278120+1039</f>
        <v>279159</v>
      </c>
      <c r="F10" s="975"/>
      <c r="G10" s="976"/>
      <c r="H10" s="162"/>
      <c r="I10" s="162"/>
    </row>
    <row r="11" spans="1:9" s="669" customFormat="1" ht="22.5" customHeight="1" x14ac:dyDescent="0.2">
      <c r="A11" s="2303" t="s">
        <v>1944</v>
      </c>
      <c r="B11" s="2304"/>
      <c r="C11" s="2304"/>
      <c r="D11" s="2305"/>
      <c r="E11" s="978">
        <v>26089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4898311</v>
      </c>
      <c r="F19" s="1822"/>
      <c r="G19" s="1824">
        <f>'Expenditures 15-22'!K33-SUM('Expenditures 15-22'!G33,'Expenditures 15-22'!I33)+'Expenditures 15-22'!D229</f>
        <v>4898311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401340</v>
      </c>
      <c r="F21" s="1825"/>
      <c r="G21" s="1828">
        <f>'Expenditures 15-22'!K42-SUM('Expenditures 15-22'!G42,'Expenditures 15-22'!I42)+'Expenditures 15-22'!K120-SUM('Expenditures 15-22'!G120,'Expenditures 15-22'!I120)+'Expenditures 15-22'!K180-SUM('Expenditures 15-22'!G180,'Expenditures 15-22'!I180)+'Expenditures 15-22'!D238</f>
        <v>401340</v>
      </c>
      <c r="H21" s="988"/>
      <c r="I21" s="162"/>
    </row>
    <row r="22" spans="1:9" s="669" customFormat="1" ht="12" customHeight="1" x14ac:dyDescent="0.2">
      <c r="A22" s="995" t="s">
        <v>585</v>
      </c>
      <c r="B22" s="996"/>
      <c r="C22" s="994">
        <v>2200</v>
      </c>
      <c r="D22" s="1825"/>
      <c r="E22" s="1827">
        <f>'Expenditures 15-22'!K47-SUM('Expenditures 15-22'!G47,'Expenditures 15-22'!I47)+'Expenditures 15-22'!D243</f>
        <v>73363</v>
      </c>
      <c r="F22" s="1825"/>
      <c r="G22" s="1828">
        <f>'Expenditures 15-22'!K47-SUM('Expenditures 15-22'!G47,'Expenditures 15-22'!I47)+'Expenditures 15-22'!D243</f>
        <v>73363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447128</v>
      </c>
      <c r="F23" s="1825"/>
      <c r="G23" s="1827">
        <f>'Expenditures 15-22'!K53-SUM('Expenditures 15-22'!G53,'Expenditures 15-22'!I53)+'Expenditures 15-22'!D257+'Expenditures 15-22'!K330-SUM('Expenditures 15-22'!G330,'Expenditures 15-22'!I330)</f>
        <v>447128</v>
      </c>
      <c r="H23" s="988"/>
      <c r="I23" s="162"/>
    </row>
    <row r="24" spans="1:9" s="669" customFormat="1" ht="12" customHeight="1" x14ac:dyDescent="0.2">
      <c r="A24" s="995" t="s">
        <v>587</v>
      </c>
      <c r="B24" s="996"/>
      <c r="C24" s="994">
        <v>2400</v>
      </c>
      <c r="D24" s="1825"/>
      <c r="E24" s="1827">
        <f>'Expenditures 15-22'!K57-SUM('Expenditures 15-22'!G57,'Expenditures 15-22'!I57)+'Expenditures 15-22'!D261</f>
        <v>449008</v>
      </c>
      <c r="F24" s="1825"/>
      <c r="G24" s="1828">
        <f>'Expenditures 15-22'!K57-SUM('Expenditures 15-22'!G57,'Expenditures 15-22'!I57)+'Expenditures 15-22'!D261</f>
        <v>449008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156543</v>
      </c>
      <c r="E26" s="1827">
        <f>'Expenditures 15-22'!K122-SUM('Expenditures 15-22'!G122,'Expenditures 15-22'!I122)+E7</f>
        <v>0</v>
      </c>
      <c r="F26" s="1827">
        <f>'Expenditures 15-22'!K59-SUM('Expenditures 15-22'!G59,'Expenditures 15-22'!I59)+'Expenditures 15-22'!D263-E7</f>
        <v>156543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73612</v>
      </c>
      <c r="E27" s="1827">
        <f>E8</f>
        <v>0</v>
      </c>
      <c r="F27" s="1827">
        <f>'Expenditures 15-22'!K60-SUM('Expenditures 15-22'!G60,'Expenditures 15-22'!I60)+'Expenditures 15-22'!D264-E8</f>
        <v>73612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775072</v>
      </c>
      <c r="F28" s="1829">
        <f>'Expenditures 15-22'!K61-SUM('Expenditures 15-22'!G61,'Expenditures 15-22'!I61)+'Expenditures 15-22'!K124-SUM('Expenditures 15-22'!G124,'Expenditures 15-22'!I124)+'Expenditures 15-22'!D266-E9</f>
        <v>775072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614025</v>
      </c>
      <c r="F29" s="1825"/>
      <c r="G29" s="1828">
        <f>'Expenditures 15-22'!K62-SUM('Expenditures 15-22'!G62,'Expenditures 15-22'!I62)+'Expenditures 15-22'!K125-SUM('Expenditures 15-22'!G125,'Expenditures 15-22'!I125)+'Expenditures 15-22'!K182-SUM('Expenditures 15-22'!G182,'Expenditures 15-22'!I182)+'Expenditures 15-22'!D267</f>
        <v>614025</v>
      </c>
      <c r="H29" s="986"/>
    </row>
    <row r="30" spans="1:9" ht="12" customHeight="1" x14ac:dyDescent="0.2">
      <c r="A30" s="995" t="s">
        <v>102</v>
      </c>
      <c r="B30" s="998"/>
      <c r="C30" s="994">
        <v>2560</v>
      </c>
      <c r="D30" s="1825"/>
      <c r="E30" s="1827">
        <f>'Expenditures 15-22'!K63-SUM('Expenditures 15-22'!G63,'Expenditures 15-22'!I63)+'Expenditures 15-22'!D268-E10</f>
        <v>43915</v>
      </c>
      <c r="F30" s="1825"/>
      <c r="G30" s="1827">
        <f>'Expenditures 15-22'!K63-SUM('Expenditures 15-22'!G63,'Expenditures 15-22'!I63)+'Expenditures 15-22'!D268-E10</f>
        <v>43915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261654</v>
      </c>
      <c r="F35" s="1825"/>
      <c r="G35" s="1827">
        <f>'Expenditures 15-22'!K69-SUM('Expenditures 15-22'!G69,'Expenditures 15-22'!I69)+'Expenditures 15-22'!D274</f>
        <v>261654</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74848</v>
      </c>
      <c r="E37" s="1827">
        <f>E14</f>
        <v>0</v>
      </c>
      <c r="F37" s="1827">
        <f>'Expenditures 15-22'!K71-SUM('Expenditures 15-22'!G71,'Expenditures 15-22'!I71)+'Expenditures 15-22'!D276-E14</f>
        <v>74848</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13015</v>
      </c>
      <c r="F39" s="1825"/>
      <c r="G39" s="1827">
        <f>'Expenditures 15-22'!K75-SUM('Expenditures 15-22'!G75,'Expenditures 15-22'!I75)+'Expenditures 15-22'!K130-SUM('Expenditures 15-22'!G130,'Expenditures 15-22'!I130)+'Expenditures 15-22'!K185-SUM('Expenditures 15-22'!G185,'Expenditures 15-22'!I185)+'Expenditures 15-22'!D280</f>
        <v>13015</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305003</v>
      </c>
      <c r="E41" s="1829">
        <f>SUM(E19:E40)</f>
        <v>7976831</v>
      </c>
      <c r="F41" s="1829">
        <f>SUM(F19:F39)</f>
        <v>1080075</v>
      </c>
      <c r="G41" s="1829">
        <f>SUM(G19:G40)</f>
        <v>7201759</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305003</v>
      </c>
      <c r="F43" s="1830" t="s">
        <v>495</v>
      </c>
      <c r="G43" s="1831">
        <f>F41</f>
        <v>1080075</v>
      </c>
    </row>
    <row r="44" spans="1:7" ht="12" customHeight="1" x14ac:dyDescent="0.2">
      <c r="A44" s="988"/>
      <c r="B44" s="162"/>
      <c r="C44" s="1002"/>
      <c r="D44" s="1830" t="s">
        <v>494</v>
      </c>
      <c r="E44" s="1831">
        <f>E41</f>
        <v>7976831</v>
      </c>
      <c r="F44" s="1830" t="s">
        <v>494</v>
      </c>
      <c r="G44" s="1831">
        <f>G41</f>
        <v>7201759</v>
      </c>
    </row>
    <row r="45" spans="1:7" ht="12" customHeight="1" x14ac:dyDescent="0.2">
      <c r="A45" s="988"/>
      <c r="B45" s="162"/>
      <c r="C45" s="162"/>
      <c r="D45" s="1832" t="s">
        <v>1063</v>
      </c>
      <c r="E45" s="1833">
        <f>(E43/E44)</f>
        <v>3.8236111558587617E-2</v>
      </c>
      <c r="F45" s="1832" t="s">
        <v>1063</v>
      </c>
      <c r="G45" s="1833">
        <f>(G43/G44)</f>
        <v>0.14997377723969935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Gavin Sd 37</v>
      </c>
      <c r="D6" s="2324"/>
      <c r="E6" s="2324"/>
      <c r="F6" s="1877"/>
    </row>
    <row r="7" spans="1:10" ht="11.25" customHeight="1" thickBot="1" x14ac:dyDescent="0.3">
      <c r="A7" s="1875"/>
      <c r="B7" s="1876"/>
      <c r="C7" s="2325">
        <f>COVER!A13</f>
        <v>34049037002</v>
      </c>
      <c r="D7" s="2325"/>
      <c r="E7" s="2325"/>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t="s">
        <v>2077</v>
      </c>
      <c r="F14" s="1892" t="s">
        <v>2092</v>
      </c>
      <c r="H14" s="1903">
        <f t="shared" si="0"/>
        <v>5</v>
      </c>
      <c r="I14" s="1903">
        <f t="shared" si="1"/>
        <v>5</v>
      </c>
      <c r="J14" s="1903">
        <f t="shared" si="2"/>
        <v>5</v>
      </c>
    </row>
    <row r="15" spans="1:10" ht="12" customHeight="1" x14ac:dyDescent="0.2">
      <c r="A15" s="1888" t="s">
        <v>1454</v>
      </c>
      <c r="B15" s="1889"/>
      <c r="C15" s="1890" t="s">
        <v>2077</v>
      </c>
      <c r="D15" s="1890" t="s">
        <v>2077</v>
      </c>
      <c r="E15" s="1893" t="s">
        <v>2077</v>
      </c>
      <c r="F15" s="1892" t="s">
        <v>2093</v>
      </c>
      <c r="H15" s="1903">
        <f t="shared" si="0"/>
        <v>5</v>
      </c>
      <c r="I15" s="1903">
        <f t="shared" si="1"/>
        <v>5</v>
      </c>
      <c r="J15" s="1903">
        <f t="shared" si="2"/>
        <v>5</v>
      </c>
    </row>
    <row r="16" spans="1:10" ht="12" customHeight="1" x14ac:dyDescent="0.2">
      <c r="A16" s="1888" t="s">
        <v>1455</v>
      </c>
      <c r="B16" s="1889"/>
      <c r="C16" s="1890" t="s">
        <v>2077</v>
      </c>
      <c r="D16" s="1890" t="s">
        <v>2077</v>
      </c>
      <c r="E16" s="1893" t="s">
        <v>2077</v>
      </c>
      <c r="F16" s="1892" t="s">
        <v>2094</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2077</v>
      </c>
      <c r="D19" s="1890" t="s">
        <v>2077</v>
      </c>
      <c r="E19" s="1893" t="s">
        <v>2077</v>
      </c>
      <c r="F19" s="1892" t="s">
        <v>2095</v>
      </c>
      <c r="H19" s="1903">
        <f t="shared" si="0"/>
        <v>5</v>
      </c>
      <c r="I19" s="1903">
        <f t="shared" si="1"/>
        <v>5</v>
      </c>
      <c r="J19" s="1903">
        <f t="shared" si="2"/>
        <v>5</v>
      </c>
    </row>
    <row r="20" spans="1:12" ht="12" customHeight="1" x14ac:dyDescent="0.2">
      <c r="A20" s="1888" t="s">
        <v>1609</v>
      </c>
      <c r="B20" s="1889"/>
      <c r="C20" s="1890" t="s">
        <v>2077</v>
      </c>
      <c r="D20" s="1890" t="s">
        <v>2077</v>
      </c>
      <c r="E20" s="1893" t="s">
        <v>2077</v>
      </c>
      <c r="F20" s="1892" t="s">
        <v>2096</v>
      </c>
      <c r="H20" s="1903">
        <f t="shared" si="0"/>
        <v>5</v>
      </c>
      <c r="I20" s="1903">
        <f t="shared" si="1"/>
        <v>5</v>
      </c>
      <c r="J20" s="1903">
        <f t="shared" si="2"/>
        <v>5</v>
      </c>
    </row>
    <row r="21" spans="1:12" ht="12" customHeight="1" x14ac:dyDescent="0.2">
      <c r="A21" s="1888" t="s">
        <v>1610</v>
      </c>
      <c r="B21" s="1889"/>
      <c r="C21" s="1890" t="s">
        <v>2077</v>
      </c>
      <c r="D21" s="1890" t="s">
        <v>2077</v>
      </c>
      <c r="E21" s="1893" t="s">
        <v>2077</v>
      </c>
      <c r="F21" s="1892" t="s">
        <v>2097</v>
      </c>
      <c r="H21" s="1903">
        <f t="shared" si="0"/>
        <v>5</v>
      </c>
      <c r="I21" s="1903">
        <f t="shared" si="1"/>
        <v>5</v>
      </c>
      <c r="J21" s="1903">
        <f t="shared" si="2"/>
        <v>5</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2098</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2099</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2077</v>
      </c>
      <c r="D32" s="1890" t="s">
        <v>2077</v>
      </c>
      <c r="E32" s="1893" t="s">
        <v>2077</v>
      </c>
      <c r="F32" s="1892" t="s">
        <v>2101</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45</v>
      </c>
      <c r="I34" s="1903">
        <f>SUM(I11:I32)</f>
        <v>45</v>
      </c>
      <c r="J34" s="1903">
        <f>SUM(J11:J32)</f>
        <v>45</v>
      </c>
      <c r="K34" s="1903">
        <f>SUM(H34:J34)</f>
        <v>135</v>
      </c>
    </row>
    <row r="35" spans="1:11" ht="12" customHeight="1" x14ac:dyDescent="0.2">
      <c r="A35" s="1896" t="s">
        <v>1459</v>
      </c>
      <c r="B35" s="1897"/>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8"/>
      <c r="B39" s="1898"/>
      <c r="C39" s="1898"/>
      <c r="D39" s="1898"/>
      <c r="E39" s="1898"/>
      <c r="F39" s="1898"/>
    </row>
    <row r="40" spans="1:11" s="1895" customFormat="1" ht="12" customHeight="1" x14ac:dyDescent="0.25">
      <c r="A40" s="1899" t="s">
        <v>1458</v>
      </c>
      <c r="B40" s="1900"/>
      <c r="C40" s="2315"/>
      <c r="D40" s="2315"/>
      <c r="E40" s="2315"/>
      <c r="F40" s="2316"/>
      <c r="H40" s="1904"/>
      <c r="I40" s="1904"/>
      <c r="J40" s="1904"/>
      <c r="K40" s="1904"/>
    </row>
    <row r="41" spans="1:11" s="1895" customFormat="1" ht="12" customHeight="1" x14ac:dyDescent="0.25">
      <c r="A41" s="2317"/>
      <c r="B41" s="2318"/>
      <c r="C41" s="2318"/>
      <c r="D41" s="2318"/>
      <c r="E41" s="2318"/>
      <c r="F41" s="2319"/>
      <c r="H41" s="1904"/>
      <c r="I41" s="1904"/>
      <c r="J41" s="1904"/>
      <c r="K41" s="1904"/>
    </row>
    <row r="42" spans="1:11" s="1895" customFormat="1" ht="12" customHeight="1" x14ac:dyDescent="0.25">
      <c r="A42" s="2317"/>
      <c r="B42" s="2318"/>
      <c r="C42" s="2318"/>
      <c r="D42" s="2318"/>
      <c r="E42" s="2318"/>
      <c r="F42" s="2319"/>
      <c r="H42" s="1904"/>
      <c r="I42" s="1904"/>
      <c r="J42" s="1904"/>
      <c r="K42" s="1904"/>
    </row>
    <row r="43" spans="1:11" s="1895" customFormat="1" ht="15" x14ac:dyDescent="0.25">
      <c r="A43" s="2306"/>
      <c r="B43" s="2307"/>
      <c r="C43" s="2307"/>
      <c r="D43" s="2307"/>
      <c r="E43" s="2307"/>
      <c r="F43" s="2308"/>
      <c r="H43" s="1904"/>
      <c r="I43" s="1904"/>
      <c r="J43" s="1904"/>
      <c r="K43" s="1904"/>
    </row>
    <row r="44" spans="1:11" s="1895" customFormat="1" ht="12" hidden="1" customHeight="1" x14ac:dyDescent="0.25">
      <c r="A44" s="2306"/>
      <c r="B44" s="2307"/>
      <c r="C44" s="2307"/>
      <c r="D44" s="2307"/>
      <c r="E44" s="2307"/>
      <c r="F44" s="230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38" sqref="B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Gavin Sd 37</v>
      </c>
      <c r="J6" s="2334"/>
      <c r="Q6" s="1686"/>
    </row>
    <row r="7" spans="1:17" x14ac:dyDescent="0.2">
      <c r="A7" s="2335" t="s">
        <v>924</v>
      </c>
      <c r="B7" s="2336"/>
      <c r="C7" s="2336"/>
      <c r="D7" s="2336"/>
      <c r="E7" s="2337"/>
      <c r="F7" s="1018"/>
      <c r="G7" s="1010"/>
      <c r="H7" s="1017" t="s">
        <v>390</v>
      </c>
      <c r="I7" s="2338">
        <f>COVER!A13</f>
        <v>34049037002</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308284</v>
      </c>
      <c r="F12" s="1040"/>
      <c r="G12" s="1834">
        <f t="shared" ref="G12:G18" si="0">SUM(E12:F12)</f>
        <v>308284</v>
      </c>
      <c r="H12" s="1041">
        <v>302345</v>
      </c>
      <c r="I12" s="1040"/>
      <c r="J12" s="1834">
        <f t="shared" ref="J12:J18" si="1">SUM(H12:I12)</f>
        <v>302345</v>
      </c>
    </row>
    <row r="13" spans="1:17" ht="15" customHeight="1" x14ac:dyDescent="0.2">
      <c r="A13" s="1036">
        <v>2</v>
      </c>
      <c r="B13" s="1037" t="s">
        <v>44</v>
      </c>
      <c r="C13" s="1038"/>
      <c r="D13" s="1039">
        <v>2330</v>
      </c>
      <c r="E13" s="1834">
        <f>'Expenditures 15-22'!K51</f>
        <v>0</v>
      </c>
      <c r="F13" s="1040"/>
      <c r="G13" s="1834">
        <f t="shared" si="0"/>
        <v>0</v>
      </c>
      <c r="H13" s="1041">
        <v>139550</v>
      </c>
      <c r="I13" s="1040"/>
      <c r="J13" s="1834">
        <f t="shared" si="1"/>
        <v>139550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155041</v>
      </c>
      <c r="F15" s="1834">
        <f>'Expenditures 15-22'!K122</f>
        <v>0</v>
      </c>
      <c r="G15" s="1834">
        <f t="shared" si="0"/>
        <v>155041</v>
      </c>
      <c r="H15" s="1041">
        <v>152736</v>
      </c>
      <c r="I15" s="1041"/>
      <c r="J15" s="1834">
        <f t="shared" si="1"/>
        <v>152736</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463325</v>
      </c>
      <c r="F19" s="1836">
        <f t="shared" si="2"/>
        <v>0</v>
      </c>
      <c r="G19" s="1836">
        <f t="shared" si="2"/>
        <v>463325</v>
      </c>
      <c r="H19" s="1836">
        <f t="shared" si="2"/>
        <v>594631</v>
      </c>
      <c r="I19" s="1836">
        <f t="shared" si="2"/>
        <v>0</v>
      </c>
      <c r="J19" s="1836">
        <f t="shared" si="2"/>
        <v>594631</v>
      </c>
    </row>
    <row r="20" spans="1:10" ht="13.5" thickTop="1" x14ac:dyDescent="0.2">
      <c r="A20" s="1036">
        <v>9</v>
      </c>
      <c r="B20" s="2345" t="s">
        <v>1703</v>
      </c>
      <c r="C20" s="2345"/>
      <c r="D20" s="2346"/>
      <c r="E20" s="1047"/>
      <c r="F20" s="1047"/>
      <c r="G20" s="1047"/>
      <c r="H20" s="1047"/>
      <c r="I20" s="1047"/>
      <c r="J20" s="1837">
        <f>IF(AND(G19&gt;0,J19&gt;0),(((J19-G19)/G19)),"Enter Budget Data")</f>
        <v>0.28339934171477904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t="s">
        <v>2103</v>
      </c>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Gavin Sd 37</v>
      </c>
    </row>
    <row r="65" spans="2:2" x14ac:dyDescent="0.2">
      <c r="B65" s="1071">
        <f>COVER!A13</f>
        <v>34049037002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2943225</xdr:colOff>
                <xdr:row>3</xdr:row>
                <xdr:rowOff>38100</xdr:rowOff>
              </from>
              <to>
                <xdr:col>1</xdr:col>
                <xdr:colOff>3857625</xdr:colOff>
                <xdr:row>7</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457200</xdr:colOff>
                <xdr:row>3</xdr:row>
                <xdr:rowOff>9525</xdr:rowOff>
              </from>
              <to>
                <xdr:col>4</xdr:col>
                <xdr:colOff>161925</xdr:colOff>
                <xdr:row>7</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7912384</v>
      </c>
      <c r="C8" s="1838">
        <f>'Acct Summary 7-8'!D8</f>
        <v>806472</v>
      </c>
      <c r="D8" s="1838">
        <f>'Acct Summary 7-8'!F8</f>
        <v>494319</v>
      </c>
      <c r="E8" s="1838">
        <f>'Acct Summary 7-8'!I8</f>
        <v>3054</v>
      </c>
      <c r="F8" s="1838">
        <f>SUM(B8:E8)</f>
        <v>9216229</v>
      </c>
    </row>
    <row r="9" spans="1:8" s="1080" customFormat="1" ht="14.25" customHeight="1" thickBot="1" x14ac:dyDescent="0.25">
      <c r="A9" s="1079" t="s">
        <v>1436</v>
      </c>
      <c r="B9" s="1839">
        <f>'Acct Summary 7-8'!C17</f>
        <v>7538208</v>
      </c>
      <c r="C9" s="1839">
        <f>'Acct Summary 7-8'!D17</f>
        <v>774479</v>
      </c>
      <c r="D9" s="1839">
        <f>'Acct Summary 7-8'!F17</f>
        <v>575439</v>
      </c>
      <c r="E9" s="1838"/>
      <c r="F9" s="1838">
        <f>SUM(B9:E9)</f>
        <v>8888126</v>
      </c>
    </row>
    <row r="10" spans="1:8" s="1080" customFormat="1" ht="14.25" thickTop="1" thickBot="1" x14ac:dyDescent="0.25">
      <c r="A10" s="1081" t="s">
        <v>1437</v>
      </c>
      <c r="B10" s="1840">
        <f>(B8-B9)</f>
        <v>374176</v>
      </c>
      <c r="C10" s="1840">
        <f>(C8-C9)</f>
        <v>31993</v>
      </c>
      <c r="D10" s="1840">
        <f>(D8-D9)</f>
        <v>-81120</v>
      </c>
      <c r="E10" s="1839">
        <f>(E8-E9)</f>
        <v>3054</v>
      </c>
      <c r="F10" s="1841">
        <f>SUM(F8-F9)</f>
        <v>328103</v>
      </c>
    </row>
    <row r="11" spans="1:8" s="1080" customFormat="1" ht="14.25" thickTop="1" thickBot="1" x14ac:dyDescent="0.25">
      <c r="A11" s="1082" t="s">
        <v>1785</v>
      </c>
      <c r="B11" s="1842">
        <f>'Acct Summary 7-8'!C81</f>
        <v>925098</v>
      </c>
      <c r="C11" s="1842">
        <f>'Acct Summary 7-8'!D81</f>
        <v>108533</v>
      </c>
      <c r="D11" s="1842">
        <f>'Acct Summary 7-8'!F81</f>
        <v>861803</v>
      </c>
      <c r="E11" s="1842">
        <f>'Acct Summary 7-8'!I81</f>
        <v>185521</v>
      </c>
      <c r="F11" s="1843">
        <f>SUM(B11:E11)</f>
        <v>2080955</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34049037002</v>
      </c>
    </row>
    <row r="3" spans="1:2" x14ac:dyDescent="0.2">
      <c r="A3" t="s">
        <v>1013</v>
      </c>
      <c r="B3" s="138" t="str">
        <f>COVER!A15</f>
        <v>Lake</v>
      </c>
    </row>
    <row r="4" spans="1:2" x14ac:dyDescent="0.2">
      <c r="A4" t="s">
        <v>1064</v>
      </c>
      <c r="B4" s="138" t="str">
        <f>COVER!A17</f>
        <v>Gavin Sd 37</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v>
      </c>
    </row>
    <row r="18" spans="1:2" x14ac:dyDescent="0.2">
      <c r="A18" t="s">
        <v>1212</v>
      </c>
      <c r="B18" s="138" t="str">
        <f>COVER!T17</f>
        <v>1875 Hicks Road</v>
      </c>
    </row>
    <row r="19" spans="1:2" x14ac:dyDescent="0.2">
      <c r="A19" t="s">
        <v>941</v>
      </c>
      <c r="B19" s="138">
        <f>COVER!T25</f>
        <v>0</v>
      </c>
    </row>
    <row r="20" spans="1:2" x14ac:dyDescent="0.2">
      <c r="A20" t="s">
        <v>942</v>
      </c>
      <c r="B20" s="138" t="str">
        <f>COVER!T19</f>
        <v>Rolling Meadows</v>
      </c>
    </row>
    <row r="21" spans="1:2" x14ac:dyDescent="0.2">
      <c r="A21" t="s">
        <v>500</v>
      </c>
      <c r="B21" s="138" t="str">
        <f>COVER!X19</f>
        <v>IL</v>
      </c>
    </row>
    <row r="22" spans="1:2" x14ac:dyDescent="0.2">
      <c r="A22" t="s">
        <v>943</v>
      </c>
      <c r="B22" s="138">
        <f>COVER!Z19</f>
        <v>60008</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931919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6821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6821</v>
      </c>
      <c r="C91" s="2" t="s">
        <v>594</v>
      </c>
      <c r="D91" s="2" t="str">
        <f t="shared" si="0"/>
        <v>Error?</v>
      </c>
    </row>
    <row r="92" spans="1:4" x14ac:dyDescent="0.2">
      <c r="A92" s="5">
        <v>31</v>
      </c>
      <c r="B92" s="138">
        <f>'Assets-Liab 5-6'!C39</f>
        <v>925098</v>
      </c>
      <c r="D92" s="2" t="str">
        <f t="shared" si="0"/>
        <v>Error?</v>
      </c>
    </row>
    <row r="93" spans="1:4" x14ac:dyDescent="0.2">
      <c r="A93" s="5">
        <v>32</v>
      </c>
      <c r="B93" s="138">
        <f>'Assets-Liab 5-6'!C41</f>
        <v>931919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158872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339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50339</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158872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625249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625249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861891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88</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861891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174169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174169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158453</v>
      </c>
      <c r="D273" s="2" t="str">
        <f t="shared" si="3"/>
        <v>Error?</v>
      </c>
    </row>
    <row r="274" spans="1:4" x14ac:dyDescent="0.2">
      <c r="A274" s="5">
        <v>213</v>
      </c>
      <c r="B274" s="138">
        <f>'Assets-Liab 5-6'!M17</f>
        <v>10248918</v>
      </c>
      <c r="D274" s="2" t="str">
        <f t="shared" si="3"/>
        <v>Error?</v>
      </c>
    </row>
    <row r="275" spans="1:4" x14ac:dyDescent="0.2">
      <c r="A275" s="5">
        <v>214</v>
      </c>
      <c r="B275" s="138">
        <f>'Assets-Liab 5-6'!M18</f>
        <v>198005</v>
      </c>
      <c r="D275" s="2" t="str">
        <f t="shared" si="3"/>
        <v>Error?</v>
      </c>
    </row>
    <row r="276" spans="1:4" x14ac:dyDescent="0.2">
      <c r="A276" s="5">
        <v>215</v>
      </c>
      <c r="B276" s="138">
        <f>'Assets-Liab 5-6'!M19</f>
        <v>1587638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12193014</v>
      </c>
      <c r="C279" s="2" t="s">
        <v>594</v>
      </c>
      <c r="D279" s="2" t="str">
        <f t="shared" si="3"/>
        <v>Error?</v>
      </c>
    </row>
    <row r="280" spans="1:4" x14ac:dyDescent="0.2">
      <c r="A280" s="5">
        <v>219</v>
      </c>
      <c r="B280" s="138">
        <f>'Assets-Liab 5-6'!M40</f>
        <v>12193014</v>
      </c>
      <c r="D280" s="2" t="str">
        <f t="shared" si="3"/>
        <v>Error?</v>
      </c>
    </row>
    <row r="281" spans="1:4" x14ac:dyDescent="0.2">
      <c r="A281" s="5">
        <v>220</v>
      </c>
      <c r="B281" s="138">
        <f>'Assets-Liab 5-6'!M41</f>
        <v>12193014</v>
      </c>
      <c r="C281" s="2" t="s">
        <v>594</v>
      </c>
      <c r="D281" s="2" t="str">
        <f t="shared" si="3"/>
        <v>Error?</v>
      </c>
    </row>
    <row r="282" spans="1:4" x14ac:dyDescent="0.2">
      <c r="A282" s="5">
        <v>221</v>
      </c>
      <c r="B282" s="138">
        <f>'Assets-Liab 5-6'!N21</f>
        <v>495000</v>
      </c>
      <c r="D282" s="2" t="str">
        <f t="shared" si="3"/>
        <v>Error?</v>
      </c>
    </row>
    <row r="283" spans="1:4" x14ac:dyDescent="0.2">
      <c r="A283" s="5">
        <v>222</v>
      </c>
      <c r="B283" s="138">
        <f>'Assets-Liab 5-6'!N22</f>
        <v>0</v>
      </c>
      <c r="D283" s="2" t="str">
        <f t="shared" si="3"/>
        <v>Error?</v>
      </c>
    </row>
    <row r="284" spans="1:4" x14ac:dyDescent="0.2">
      <c r="A284" s="5">
        <v>223</v>
      </c>
      <c r="B284" s="138">
        <f>'Assets-Liab 5-6'!N23</f>
        <v>495000</v>
      </c>
      <c r="C284" s="2" t="s">
        <v>594</v>
      </c>
      <c r="D284" s="2" t="str">
        <f t="shared" si="3"/>
        <v>Error?</v>
      </c>
    </row>
    <row r="285" spans="1:4" x14ac:dyDescent="0.2">
      <c r="A285" s="5">
        <v>224</v>
      </c>
      <c r="B285" s="138">
        <f>'Assets-Liab 5-6'!N36</f>
        <v>495000</v>
      </c>
      <c r="D285" s="2" t="str">
        <f t="shared" si="3"/>
        <v>Error?</v>
      </c>
    </row>
    <row r="286" spans="1:4" x14ac:dyDescent="0.2">
      <c r="A286" s="10">
        <v>225</v>
      </c>
      <c r="D286" s="2" t="str">
        <f t="shared" si="3"/>
        <v>OK</v>
      </c>
    </row>
    <row r="287" spans="1:4" x14ac:dyDescent="0.2">
      <c r="A287" s="5">
        <v>226</v>
      </c>
      <c r="B287" s="138">
        <f>'Assets-Liab 5-6'!N37</f>
        <v>495000</v>
      </c>
      <c r="C287" s="2" t="s">
        <v>594</v>
      </c>
      <c r="D287" s="2" t="str">
        <f t="shared" si="3"/>
        <v>Error?</v>
      </c>
    </row>
    <row r="288" spans="1:4" x14ac:dyDescent="0.2">
      <c r="A288" s="5">
        <v>227</v>
      </c>
      <c r="B288" s="138">
        <f>'Assets-Liab 5-6'!N41</f>
        <v>495000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2657303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50076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37400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3893642</v>
      </c>
      <c r="C720" s="2" t="s">
        <v>594</v>
      </c>
      <c r="D720" s="2" t="str">
        <f t="shared" si="10"/>
        <v>Error?</v>
      </c>
    </row>
    <row r="721" spans="1:4" x14ac:dyDescent="0.2">
      <c r="A721" s="5">
        <v>660</v>
      </c>
      <c r="B721" s="138">
        <f>'Expenditures 15-22'!C36</f>
        <v>103059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35800</v>
      </c>
      <c r="D723" s="2" t="str">
        <f t="shared" si="10"/>
        <v>Error?</v>
      </c>
    </row>
    <row r="724" spans="1:4" x14ac:dyDescent="0.2">
      <c r="A724" s="5">
        <v>663</v>
      </c>
      <c r="B724" s="138">
        <f>'Expenditures 15-22'!C39</f>
        <v>48001</v>
      </c>
      <c r="D724" s="2" t="str">
        <f t="shared" si="10"/>
        <v>Error?</v>
      </c>
    </row>
    <row r="725" spans="1:4" x14ac:dyDescent="0.2">
      <c r="A725" s="5">
        <v>664</v>
      </c>
      <c r="B725" s="138">
        <f>'Expenditures 15-22'!C40</f>
        <v>80978</v>
      </c>
      <c r="D725" s="2" t="str">
        <f t="shared" si="10"/>
        <v>Error?</v>
      </c>
    </row>
    <row r="726" spans="1:4" x14ac:dyDescent="0.2">
      <c r="A726" s="5">
        <v>665</v>
      </c>
      <c r="B726" s="138">
        <f>'Expenditures 15-22'!C41</f>
        <v>53678</v>
      </c>
      <c r="D726" s="2" t="str">
        <f t="shared" si="10"/>
        <v>Error?</v>
      </c>
    </row>
    <row r="727" spans="1:4" x14ac:dyDescent="0.2">
      <c r="A727" s="5">
        <v>666</v>
      </c>
      <c r="B727" s="138">
        <f>'Expenditures 15-22'!C42</f>
        <v>321516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30291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30291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223773</v>
      </c>
      <c r="D733" s="2" t="str">
        <f t="shared" si="10"/>
        <v>Error?</v>
      </c>
    </row>
    <row r="734" spans="1:4" x14ac:dyDescent="0.2">
      <c r="A734" s="5">
        <v>673</v>
      </c>
      <c r="B734" s="138">
        <f>'Expenditures 15-22'!C53</f>
        <v>223773</v>
      </c>
      <c r="C734" s="2" t="s">
        <v>594</v>
      </c>
      <c r="D734" s="2" t="str">
        <f t="shared" si="10"/>
        <v>Error?</v>
      </c>
    </row>
    <row r="735" spans="1:4" x14ac:dyDescent="0.2">
      <c r="A735" s="5">
        <v>674</v>
      </c>
      <c r="B735" s="138">
        <f>'Expenditures 15-22'!C55</f>
        <v>339795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339795</v>
      </c>
      <c r="C737" s="2" t="s">
        <v>594</v>
      </c>
      <c r="D737" s="2" t="str">
        <f t="shared" si="10"/>
        <v>Error?</v>
      </c>
    </row>
    <row r="738" spans="1:4" x14ac:dyDescent="0.2">
      <c r="A738" s="5">
        <v>677</v>
      </c>
      <c r="B738" s="138">
        <f>'Expenditures 15-22'!C59</f>
        <v>105334</v>
      </c>
      <c r="D738" s="2" t="str">
        <f t="shared" si="10"/>
        <v>Error?</v>
      </c>
    </row>
    <row r="739" spans="1:4" x14ac:dyDescent="0.2">
      <c r="A739" s="5">
        <v>678</v>
      </c>
      <c r="B739" s="138">
        <f>'Expenditures 15-22'!C60</f>
        <v>29770</v>
      </c>
      <c r="D739" s="2" t="str">
        <f t="shared" si="10"/>
        <v>Error?</v>
      </c>
    </row>
    <row r="740" spans="1:4" x14ac:dyDescent="0.2">
      <c r="A740" s="5">
        <v>679</v>
      </c>
      <c r="B740" s="138">
        <f>'Expenditures 15-22'!C61</f>
        <v>3482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14832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153418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115902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115902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1184695</v>
      </c>
      <c r="C755" s="2" t="s">
        <v>594</v>
      </c>
      <c r="D755" s="2" t="str">
        <f t="shared" si="10"/>
        <v>Error?</v>
      </c>
    </row>
    <row r="756" spans="1:4" x14ac:dyDescent="0.2">
      <c r="A756" s="5">
        <v>695</v>
      </c>
      <c r="B756" s="138">
        <f>'Expenditures 15-22'!C75</f>
        <v>465</v>
      </c>
      <c r="D756" s="2" t="str">
        <f t="shared" si="10"/>
        <v>Error?</v>
      </c>
    </row>
    <row r="757" spans="1:4" x14ac:dyDescent="0.2">
      <c r="A757" s="5">
        <v>696</v>
      </c>
      <c r="B757" s="138">
        <f>'Expenditures 15-22'!C114</f>
        <v>5078802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458105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9999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658314</v>
      </c>
      <c r="C778" s="2" t="s">
        <v>594</v>
      </c>
      <c r="D778" s="2" t="str">
        <f t="shared" si="11"/>
        <v>Error?</v>
      </c>
    </row>
    <row r="779" spans="1:4" x14ac:dyDescent="0.2">
      <c r="A779" s="5">
        <v>718</v>
      </c>
      <c r="B779" s="138">
        <f>'Expenditures 15-22'!D36</f>
        <v>19885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77</v>
      </c>
      <c r="D781" s="2" t="str">
        <f t="shared" si="11"/>
        <v>Error?</v>
      </c>
    </row>
    <row r="782" spans="1:4" x14ac:dyDescent="0.2">
      <c r="A782" s="5">
        <v>721</v>
      </c>
      <c r="B782" s="138">
        <f>'Expenditures 15-22'!D39</f>
        <v>10010</v>
      </c>
      <c r="D782" s="2" t="str">
        <f t="shared" si="11"/>
        <v>Error?</v>
      </c>
    </row>
    <row r="783" spans="1:4" x14ac:dyDescent="0.2">
      <c r="A783" s="5">
        <v>722</v>
      </c>
      <c r="B783" s="138">
        <f>'Expenditures 15-22'!D40</f>
        <v>1008</v>
      </c>
      <c r="D783" s="2" t="str">
        <f t="shared" si="11"/>
        <v>Error?</v>
      </c>
    </row>
    <row r="784" spans="1:4" x14ac:dyDescent="0.2">
      <c r="A784" s="5">
        <v>723</v>
      </c>
      <c r="B784" s="138">
        <f>'Expenditures 15-22'!D41</f>
        <v>228</v>
      </c>
      <c r="D784" s="2" t="str">
        <f t="shared" si="11"/>
        <v>Error?</v>
      </c>
    </row>
    <row r="785" spans="1:4" x14ac:dyDescent="0.2">
      <c r="A785" s="5">
        <v>724</v>
      </c>
      <c r="B785" s="138">
        <f>'Expenditures 15-22'!D42</f>
        <v>31208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65865</v>
      </c>
      <c r="D791" s="2" t="str">
        <f t="shared" si="11"/>
        <v>Error?</v>
      </c>
    </row>
    <row r="792" spans="1:4" x14ac:dyDescent="0.2">
      <c r="A792" s="5">
        <v>731</v>
      </c>
      <c r="B792" s="138">
        <f>'Expenditures 15-22'!D53</f>
        <v>65865</v>
      </c>
      <c r="C792" s="2" t="s">
        <v>594</v>
      </c>
      <c r="D792" s="2" t="str">
        <f t="shared" si="11"/>
        <v>Error?</v>
      </c>
    </row>
    <row r="793" spans="1:4" x14ac:dyDescent="0.2">
      <c r="A793" s="5">
        <v>732</v>
      </c>
      <c r="B793" s="138">
        <f>'Expenditures 15-22'!D55</f>
        <v>83032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83032</v>
      </c>
      <c r="C795" s="2" t="s">
        <v>594</v>
      </c>
      <c r="D795" s="2" t="str">
        <f t="shared" si="11"/>
        <v>Error?</v>
      </c>
    </row>
    <row r="796" spans="1:4" x14ac:dyDescent="0.2">
      <c r="A796" s="5">
        <v>735</v>
      </c>
      <c r="B796" s="138">
        <f>'Expenditures 15-22'!D59</f>
        <v>49707</v>
      </c>
      <c r="D796" s="2" t="str">
        <f t="shared" si="11"/>
        <v>Error?</v>
      </c>
    </row>
    <row r="797" spans="1:4" x14ac:dyDescent="0.2">
      <c r="A797" s="5">
        <v>736</v>
      </c>
      <c r="B797" s="138">
        <f>'Expenditures 15-22'!D60</f>
        <v>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49800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16993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16993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246944</v>
      </c>
      <c r="C813" s="2" t="s">
        <v>594</v>
      </c>
      <c r="D813" s="2" t="str">
        <f t="shared" si="11"/>
        <v>Error?</v>
      </c>
    </row>
    <row r="814" spans="1:4" x14ac:dyDescent="0.2">
      <c r="A814" s="5">
        <v>753</v>
      </c>
      <c r="B814" s="138">
        <f>'Expenditures 15-22'!D75</f>
        <v>7</v>
      </c>
      <c r="D814" s="2" t="str">
        <f t="shared" si="11"/>
        <v>Error?</v>
      </c>
    </row>
    <row r="815" spans="1:4" x14ac:dyDescent="0.2">
      <c r="A815" s="5">
        <v>754</v>
      </c>
      <c r="B815" s="138">
        <f>'Expenditures 15-22'!D114</f>
        <v>905265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30572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6294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69094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22962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23762</v>
      </c>
      <c r="C843" s="2" t="s">
        <v>594</v>
      </c>
      <c r="D843" s="2" t="str">
        <f t="shared" si="12"/>
        <v>Error?</v>
      </c>
    </row>
    <row r="844" spans="1:4" x14ac:dyDescent="0.2">
      <c r="A844" s="5">
        <v>783</v>
      </c>
      <c r="B844" s="138">
        <f>'Expenditures 15-22'!E44</f>
        <v>21549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3838</v>
      </c>
      <c r="D846" s="2" t="str">
        <f t="shared" si="12"/>
        <v>Error?</v>
      </c>
    </row>
    <row r="847" spans="1:4" x14ac:dyDescent="0.2">
      <c r="A847" s="5">
        <v>786</v>
      </c>
      <c r="B847" s="138">
        <f>'Expenditures 15-22'!E47</f>
        <v>25387</v>
      </c>
      <c r="C847" s="2" t="s">
        <v>594</v>
      </c>
      <c r="D847" s="2" t="str">
        <f t="shared" si="12"/>
        <v>Error?</v>
      </c>
    </row>
    <row r="848" spans="1:4" x14ac:dyDescent="0.2">
      <c r="A848" s="5">
        <v>787</v>
      </c>
      <c r="B848" s="138">
        <f>'Expenditures 15-22'!E49</f>
        <v>82113</v>
      </c>
      <c r="D848" s="2" t="str">
        <f t="shared" si="12"/>
        <v>Error?</v>
      </c>
    </row>
    <row r="849" spans="1:4" x14ac:dyDescent="0.2">
      <c r="A849" s="5">
        <v>788</v>
      </c>
      <c r="B849" s="138">
        <f>'Expenditures 15-22'!E50</f>
        <v>13798</v>
      </c>
      <c r="D849" s="2" t="str">
        <f t="shared" si="12"/>
        <v>Error?</v>
      </c>
    </row>
    <row r="850" spans="1:4" x14ac:dyDescent="0.2">
      <c r="A850" s="5">
        <v>789</v>
      </c>
      <c r="B850" s="138">
        <f>'Expenditures 15-22'!E53</f>
        <v>95911</v>
      </c>
      <c r="C850" s="2" t="s">
        <v>594</v>
      </c>
      <c r="D850" s="2" t="str">
        <f t="shared" si="12"/>
        <v>Error?</v>
      </c>
    </row>
    <row r="851" spans="1:4" x14ac:dyDescent="0.2">
      <c r="A851" s="5">
        <v>790</v>
      </c>
      <c r="B851" s="138">
        <f>'Expenditures 15-22'!E55</f>
        <v>1815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35280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278120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313400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24209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73486</v>
      </c>
      <c r="D867" s="2" t="str">
        <f t="shared" si="12"/>
        <v>Error?</v>
      </c>
    </row>
    <row r="868" spans="1:4" x14ac:dyDescent="0.2">
      <c r="A868" s="10">
        <v>807</v>
      </c>
      <c r="D868" s="2" t="str">
        <f t="shared" si="12"/>
        <v>OK</v>
      </c>
    </row>
    <row r="869" spans="1:4" x14ac:dyDescent="0.2">
      <c r="A869" s="5">
        <v>808</v>
      </c>
      <c r="B869" s="138">
        <f>'Expenditures 15-22'!E72</f>
        <v>97695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557970</v>
      </c>
      <c r="C871" s="2" t="s">
        <v>594</v>
      </c>
      <c r="D871" s="2" t="str">
        <f t="shared" si="12"/>
        <v>Error?</v>
      </c>
    </row>
    <row r="872" spans="1:4" x14ac:dyDescent="0.2">
      <c r="A872" s="5">
        <v>811</v>
      </c>
      <c r="B872" s="138">
        <f>'Expenditures 15-22'!E75</f>
        <v>10502</v>
      </c>
      <c r="D872" s="2" t="str">
        <f t="shared" si="12"/>
        <v>Error?</v>
      </c>
    </row>
    <row r="873" spans="1:4" x14ac:dyDescent="0.2">
      <c r="A873" s="5">
        <v>812</v>
      </c>
      <c r="B873" s="138">
        <f>'Expenditures 15-22'!E114</f>
        <v>1196685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137372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6770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159471</v>
      </c>
      <c r="C894" s="2" t="s">
        <v>594</v>
      </c>
      <c r="D894" s="2" t="str">
        <f t="shared" si="12"/>
        <v>Error?</v>
      </c>
    </row>
    <row r="895" spans="1:4" x14ac:dyDescent="0.2">
      <c r="A895" s="5">
        <v>834</v>
      </c>
      <c r="B895" s="138">
        <f>'Expenditures 15-22'!F36</f>
        <v>43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3468</v>
      </c>
      <c r="D897" s="2" t="str">
        <f t="shared" si="13"/>
        <v>Error?</v>
      </c>
    </row>
    <row r="898" spans="1:4" x14ac:dyDescent="0.2">
      <c r="A898" s="5">
        <v>837</v>
      </c>
      <c r="B898" s="138">
        <f>'Expenditures 15-22'!F39</f>
        <v>2675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6186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8313</v>
      </c>
      <c r="D903" s="2" t="str">
        <f t="shared" si="13"/>
        <v>Error?</v>
      </c>
    </row>
    <row r="904" spans="1:4" x14ac:dyDescent="0.2">
      <c r="A904" s="5">
        <v>843</v>
      </c>
      <c r="B904" s="138">
        <f>'Expenditures 15-22'!F46</f>
        <v>20</v>
      </c>
      <c r="D904" s="2" t="str">
        <f t="shared" si="13"/>
        <v>Error?</v>
      </c>
    </row>
    <row r="905" spans="1:4" x14ac:dyDescent="0.2">
      <c r="A905" s="5">
        <v>844</v>
      </c>
      <c r="B905" s="138">
        <f>'Expenditures 15-22'!F47</f>
        <v>8333</v>
      </c>
      <c r="C905" s="2" t="s">
        <v>594</v>
      </c>
      <c r="D905" s="2" t="str">
        <f t="shared" si="13"/>
        <v>Error?</v>
      </c>
    </row>
    <row r="906" spans="1:4" x14ac:dyDescent="0.2">
      <c r="A906" s="5">
        <v>845</v>
      </c>
      <c r="B906" s="138">
        <f>'Expenditures 15-22'!F49</f>
        <v>3070</v>
      </c>
      <c r="D906" s="2" t="str">
        <f t="shared" si="13"/>
        <v>Error?</v>
      </c>
    </row>
    <row r="907" spans="1:4" x14ac:dyDescent="0.2">
      <c r="A907" s="5">
        <v>846</v>
      </c>
      <c r="B907" s="138">
        <f>'Expenditures 15-22'!F50</f>
        <v>3431</v>
      </c>
      <c r="D907" s="2" t="str">
        <f t="shared" si="13"/>
        <v>Error?</v>
      </c>
    </row>
    <row r="908" spans="1:4" x14ac:dyDescent="0.2">
      <c r="A908" s="5">
        <v>847</v>
      </c>
      <c r="B908" s="138">
        <f>'Expenditures 15-22'!F53</f>
        <v>6501</v>
      </c>
      <c r="C908" s="2" t="s">
        <v>594</v>
      </c>
      <c r="D908" s="2" t="str">
        <f t="shared" si="13"/>
        <v>Error?</v>
      </c>
    </row>
    <row r="909" spans="1:4" x14ac:dyDescent="0.2">
      <c r="A909" s="5">
        <v>848</v>
      </c>
      <c r="B909" s="138">
        <f>'Expenditures 15-22'!F55</f>
        <v>1096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1096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2600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27128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29728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82818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1362</v>
      </c>
      <c r="D925" s="2" t="str">
        <f t="shared" si="13"/>
        <v>Error?</v>
      </c>
    </row>
    <row r="926" spans="1:4" x14ac:dyDescent="0.2">
      <c r="A926" s="10">
        <v>865</v>
      </c>
      <c r="D926" s="2" t="str">
        <f t="shared" si="13"/>
        <v>OK</v>
      </c>
    </row>
    <row r="927" spans="1:4" x14ac:dyDescent="0.2">
      <c r="A927" s="5">
        <v>866</v>
      </c>
      <c r="B927" s="138">
        <f>'Expenditures 15-22'!F72</f>
        <v>84180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136024</v>
      </c>
      <c r="C929" s="2" t="s">
        <v>594</v>
      </c>
      <c r="D929" s="2" t="str">
        <f t="shared" si="13"/>
        <v>Error?</v>
      </c>
    </row>
    <row r="930" spans="1:4" x14ac:dyDescent="0.2">
      <c r="A930" s="5">
        <v>869</v>
      </c>
      <c r="B930" s="138">
        <f>'Expenditures 15-22'!F75</f>
        <v>2041</v>
      </c>
      <c r="D930" s="2" t="str">
        <f t="shared" si="13"/>
        <v>Error?</v>
      </c>
    </row>
    <row r="931" spans="1:4" x14ac:dyDescent="0.2">
      <c r="A931" s="5">
        <v>870</v>
      </c>
      <c r="B931" s="138">
        <f>'Expenditures 15-22'!F114</f>
        <v>297536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26263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2900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2799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2799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31962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3288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3288</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1417</v>
      </c>
      <c r="D1023" s="2" t="str">
        <f t="shared" ref="D1023:D1086" si="15">IF(ISBLANK(B1023),"OK",IF(A1023-B1023=0,"OK","Error?"))</f>
        <v>Error?</v>
      </c>
    </row>
    <row r="1024" spans="1:4" x14ac:dyDescent="0.2">
      <c r="A1024" s="5">
        <v>963</v>
      </c>
      <c r="B1024" s="138">
        <f>'Expenditures 15-22'!H53</f>
        <v>1417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16903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21608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3283352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60138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50902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4806784</v>
      </c>
      <c r="C1108" s="2" t="s">
        <v>594</v>
      </c>
      <c r="D1108" s="2" t="str">
        <f t="shared" si="16"/>
        <v>Error?</v>
      </c>
    </row>
    <row r="1109" spans="1:4" x14ac:dyDescent="0.2">
      <c r="A1109" s="5">
        <v>1048</v>
      </c>
      <c r="B1109" s="138">
        <f>'Expenditures 15-22'!K36</f>
        <v>122987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40145</v>
      </c>
      <c r="C1111" s="2" t="s">
        <v>594</v>
      </c>
      <c r="D1111" s="2" t="str">
        <f t="shared" si="16"/>
        <v>Error?</v>
      </c>
    </row>
    <row r="1112" spans="1:4" x14ac:dyDescent="0.2">
      <c r="A1112" s="5">
        <v>1051</v>
      </c>
      <c r="B1112" s="138">
        <f>'Expenditures 15-22'!K39</f>
        <v>60686</v>
      </c>
      <c r="C1112" s="2" t="s">
        <v>594</v>
      </c>
      <c r="D1112" s="2" t="str">
        <f t="shared" si="16"/>
        <v>Error?</v>
      </c>
    </row>
    <row r="1113" spans="1:4" x14ac:dyDescent="0.2">
      <c r="A1113" s="5">
        <v>1052</v>
      </c>
      <c r="B1113" s="138">
        <f>'Expenditures 15-22'!K40</f>
        <v>104948</v>
      </c>
      <c r="C1113" s="2" t="s">
        <v>594</v>
      </c>
      <c r="D1113" s="2" t="str">
        <f t="shared" si="16"/>
        <v>Error?</v>
      </c>
    </row>
    <row r="1114" spans="1:4" x14ac:dyDescent="0.2">
      <c r="A1114" s="5">
        <v>1053</v>
      </c>
      <c r="B1114" s="138">
        <f>'Expenditures 15-22'!K41</f>
        <v>53906</v>
      </c>
      <c r="C1114" s="2" t="s">
        <v>594</v>
      </c>
      <c r="D1114" s="2" t="str">
        <f t="shared" si="16"/>
        <v>Error?</v>
      </c>
    </row>
    <row r="1115" spans="1:4" x14ac:dyDescent="0.2">
      <c r="A1115" s="5">
        <v>1054</v>
      </c>
      <c r="B1115" s="138">
        <f>'Expenditures 15-22'!K42</f>
        <v>382672</v>
      </c>
      <c r="C1115" s="2" t="s">
        <v>594</v>
      </c>
      <c r="D1115" s="2" t="str">
        <f t="shared" si="16"/>
        <v>Error?</v>
      </c>
    </row>
    <row r="1116" spans="1:4" x14ac:dyDescent="0.2">
      <c r="A1116" s="5">
        <v>1055</v>
      </c>
      <c r="B1116" s="138">
        <f>'Expenditures 15-22'!K44</f>
        <v>24837</v>
      </c>
      <c r="C1116" s="2" t="s">
        <v>594</v>
      </c>
      <c r="D1116" s="2" t="str">
        <f t="shared" si="16"/>
        <v>Error?</v>
      </c>
    </row>
    <row r="1117" spans="1:4" x14ac:dyDescent="0.2">
      <c r="A1117" s="5">
        <v>1056</v>
      </c>
      <c r="B1117" s="138">
        <f>'Expenditures 15-22'!K45</f>
        <v>38650</v>
      </c>
      <c r="C1117" s="2" t="s">
        <v>594</v>
      </c>
      <c r="D1117" s="2" t="str">
        <f t="shared" si="16"/>
        <v>Error?</v>
      </c>
    </row>
    <row r="1118" spans="1:4" x14ac:dyDescent="0.2">
      <c r="A1118" s="5">
        <v>1057</v>
      </c>
      <c r="B1118" s="138">
        <f>'Expenditures 15-22'!K46</f>
        <v>3858</v>
      </c>
      <c r="C1118" s="2" t="s">
        <v>594</v>
      </c>
      <c r="D1118" s="2" t="str">
        <f t="shared" si="16"/>
        <v>Error?</v>
      </c>
    </row>
    <row r="1119" spans="1:4" x14ac:dyDescent="0.2">
      <c r="A1119" s="5">
        <v>1058</v>
      </c>
      <c r="B1119" s="138">
        <f>'Expenditures 15-22'!K47</f>
        <v>67345</v>
      </c>
      <c r="C1119" s="2" t="s">
        <v>594</v>
      </c>
      <c r="D1119" s="2" t="str">
        <f t="shared" si="16"/>
        <v>Error?</v>
      </c>
    </row>
    <row r="1120" spans="1:4" x14ac:dyDescent="0.2">
      <c r="A1120" s="5">
        <v>1059</v>
      </c>
      <c r="B1120" s="138">
        <f>'Expenditures 15-22'!K49</f>
        <v>85183</v>
      </c>
      <c r="C1120" s="2" t="s">
        <v>594</v>
      </c>
      <c r="D1120" s="2" t="str">
        <f t="shared" si="16"/>
        <v>Error?</v>
      </c>
    </row>
    <row r="1121" spans="1:4" x14ac:dyDescent="0.2">
      <c r="A1121" s="5">
        <v>1060</v>
      </c>
      <c r="B1121" s="138">
        <f>'Expenditures 15-22'!K50</f>
        <v>308284</v>
      </c>
      <c r="C1121" s="2" t="s">
        <v>594</v>
      </c>
      <c r="D1121" s="2" t="str">
        <f t="shared" si="16"/>
        <v>Error?</v>
      </c>
    </row>
    <row r="1122" spans="1:4" x14ac:dyDescent="0.2">
      <c r="A1122" s="5">
        <v>1061</v>
      </c>
      <c r="B1122" s="138">
        <f>'Expenditures 15-22'!K53</f>
        <v>393467</v>
      </c>
      <c r="C1122" s="2" t="s">
        <v>594</v>
      </c>
      <c r="D1122" s="2" t="str">
        <f t="shared" si="16"/>
        <v>Error?</v>
      </c>
    </row>
    <row r="1123" spans="1:4" x14ac:dyDescent="0.2">
      <c r="A1123" s="5">
        <v>1062</v>
      </c>
      <c r="B1123" s="138">
        <f>'Expenditures 15-22'!K55</f>
        <v>425738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425738</v>
      </c>
      <c r="C1125" s="2" t="s">
        <v>594</v>
      </c>
      <c r="D1125" s="2" t="str">
        <f t="shared" si="16"/>
        <v>Error?</v>
      </c>
    </row>
    <row r="1126" spans="1:4" x14ac:dyDescent="0.2">
      <c r="A1126" s="5">
        <v>1065</v>
      </c>
      <c r="B1126" s="138">
        <f>'Expenditures 15-22'!K59</f>
        <v>155041</v>
      </c>
      <c r="C1126" s="2" t="s">
        <v>594</v>
      </c>
      <c r="D1126" s="2" t="str">
        <f t="shared" si="16"/>
        <v>Error?</v>
      </c>
    </row>
    <row r="1127" spans="1:4" x14ac:dyDescent="0.2">
      <c r="A1127" s="5">
        <v>1066</v>
      </c>
      <c r="B1127" s="138">
        <f>'Expenditures 15-22'!K60</f>
        <v>67697</v>
      </c>
      <c r="C1127" s="2" t="s">
        <v>594</v>
      </c>
      <c r="D1127" s="2" t="str">
        <f t="shared" si="16"/>
        <v>Error?</v>
      </c>
    </row>
    <row r="1128" spans="1:4" x14ac:dyDescent="0.2">
      <c r="A1128" s="5">
        <v>1067</v>
      </c>
      <c r="B1128" s="138">
        <f>'Expenditures 15-22'!K61</f>
        <v>3482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323026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549246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249071</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74848</v>
      </c>
      <c r="C1139" s="2" t="s">
        <v>594</v>
      </c>
      <c r="D1139" s="2" t="str">
        <f t="shared" si="16"/>
        <v>Error?</v>
      </c>
    </row>
    <row r="1140" spans="1:4" x14ac:dyDescent="0.2">
      <c r="A1140" s="10">
        <v>1079</v>
      </c>
      <c r="D1140" s="2" t="str">
        <f t="shared" si="16"/>
        <v>OK</v>
      </c>
    </row>
    <row r="1141" spans="1:4" x14ac:dyDescent="0.2">
      <c r="A1141" s="5">
        <v>1080</v>
      </c>
      <c r="B1141" s="138">
        <f>'Expenditures 15-22'!K72</f>
        <v>323919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2142387</v>
      </c>
      <c r="C1143" s="2" t="s">
        <v>594</v>
      </c>
      <c r="D1143" s="2" t="str">
        <f t="shared" si="16"/>
        <v>Error?</v>
      </c>
    </row>
    <row r="1144" spans="1:4" x14ac:dyDescent="0.2">
      <c r="A1144" s="5">
        <v>1083</v>
      </c>
      <c r="B1144" s="138">
        <f>'Expenditures 15-22'!K75</f>
        <v>13015</v>
      </c>
      <c r="C1144" s="2" t="s">
        <v>594</v>
      </c>
      <c r="D1144" s="2" t="str">
        <f t="shared" si="16"/>
        <v>Error?</v>
      </c>
    </row>
    <row r="1145" spans="1:4" x14ac:dyDescent="0.2">
      <c r="A1145" s="5">
        <v>1084</v>
      </c>
      <c r="B1145" s="138">
        <f>'Expenditures 15-22'!K102</f>
        <v>576022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7538208</v>
      </c>
      <c r="C1152" s="2" t="s">
        <v>594</v>
      </c>
      <c r="D1152" s="2" t="str">
        <f t="shared" si="17"/>
        <v>Error?</v>
      </c>
    </row>
    <row r="1153" spans="1:4" x14ac:dyDescent="0.2">
      <c r="A1153" s="5">
        <v>1092</v>
      </c>
      <c r="B1153" s="138">
        <f>'Expenditures 15-22'!K115</f>
        <v>374176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242518</v>
      </c>
      <c r="D1221" s="2" t="str">
        <f t="shared" si="18"/>
        <v>Error?</v>
      </c>
    </row>
    <row r="1222" spans="1:4" x14ac:dyDescent="0.2">
      <c r="A1222" s="10">
        <v>1161</v>
      </c>
      <c r="D1222" s="2" t="str">
        <f t="shared" si="18"/>
        <v>OK</v>
      </c>
    </row>
    <row r="1223" spans="1:4" x14ac:dyDescent="0.2">
      <c r="A1223" s="5">
        <v>1162</v>
      </c>
      <c r="B1223" s="138">
        <f>'Expenditures 15-22'!C127</f>
        <v>242518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242518</v>
      </c>
      <c r="C1225" s="2" t="s">
        <v>594</v>
      </c>
      <c r="D1225" s="2" t="str">
        <f t="shared" si="18"/>
        <v>Error?</v>
      </c>
    </row>
    <row r="1226" spans="1:4" x14ac:dyDescent="0.2">
      <c r="A1226" s="5">
        <v>1165</v>
      </c>
      <c r="B1226" s="138">
        <f>'Expenditures 15-22'!C151</f>
        <v>242518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63607</v>
      </c>
      <c r="D1229" s="2" t="str">
        <f t="shared" si="18"/>
        <v>Error?</v>
      </c>
    </row>
    <row r="1230" spans="1:4" x14ac:dyDescent="0.2">
      <c r="A1230" s="10">
        <v>1169</v>
      </c>
      <c r="D1230" s="2" t="str">
        <f t="shared" si="18"/>
        <v>OK</v>
      </c>
    </row>
    <row r="1231" spans="1:4" x14ac:dyDescent="0.2">
      <c r="A1231" s="5">
        <v>1170</v>
      </c>
      <c r="B1231" s="138">
        <f>'Expenditures 15-22'!D127</f>
        <v>63607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63607</v>
      </c>
      <c r="C1233" s="2" t="s">
        <v>594</v>
      </c>
      <c r="D1233" s="2" t="str">
        <f t="shared" si="18"/>
        <v>Error?</v>
      </c>
    </row>
    <row r="1234" spans="1:4" x14ac:dyDescent="0.2">
      <c r="A1234" s="5">
        <v>1173</v>
      </c>
      <c r="B1234" s="138">
        <f>'Expenditures 15-22'!D151</f>
        <v>63607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220249</v>
      </c>
      <c r="D1237" s="2" t="str">
        <f t="shared" si="18"/>
        <v>Error?</v>
      </c>
    </row>
    <row r="1238" spans="1:4" x14ac:dyDescent="0.2">
      <c r="A1238" s="10">
        <v>1177</v>
      </c>
      <c r="D1238" s="2" t="str">
        <f t="shared" si="18"/>
        <v>OK</v>
      </c>
    </row>
    <row r="1239" spans="1:4" x14ac:dyDescent="0.2">
      <c r="A1239" s="5">
        <v>1178</v>
      </c>
      <c r="B1239" s="138">
        <f>'Expenditures 15-22'!E127</f>
        <v>220249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220249</v>
      </c>
      <c r="C1241" s="2" t="s">
        <v>594</v>
      </c>
      <c r="D1241" s="2" t="str">
        <f t="shared" si="18"/>
        <v>Error?</v>
      </c>
    </row>
    <row r="1242" spans="1:4" x14ac:dyDescent="0.2">
      <c r="A1242" s="5">
        <v>1181</v>
      </c>
      <c r="B1242" s="138">
        <f>'Expenditures 15-22'!E151</f>
        <v>220249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197926</v>
      </c>
      <c r="D1245" s="2" t="str">
        <f t="shared" si="18"/>
        <v>Error?</v>
      </c>
    </row>
    <row r="1246" spans="1:4" x14ac:dyDescent="0.2">
      <c r="A1246" s="10">
        <v>1185</v>
      </c>
      <c r="D1246" s="2" t="str">
        <f t="shared" si="18"/>
        <v>OK</v>
      </c>
    </row>
    <row r="1247" spans="1:4" x14ac:dyDescent="0.2">
      <c r="A1247" s="5">
        <v>1186</v>
      </c>
      <c r="B1247" s="138">
        <f>'Expenditures 15-22'!F127</f>
        <v>197926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197926</v>
      </c>
      <c r="C1249" s="2" t="s">
        <v>594</v>
      </c>
      <c r="D1249" s="2" t="str">
        <f t="shared" si="18"/>
        <v>Error?</v>
      </c>
    </row>
    <row r="1250" spans="1:4" x14ac:dyDescent="0.2">
      <c r="A1250" s="5">
        <v>1189</v>
      </c>
      <c r="B1250" s="138">
        <f>'Expenditures 15-22'!F151</f>
        <v>197926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50179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50179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50179</v>
      </c>
      <c r="C1258" s="2" t="s">
        <v>594</v>
      </c>
      <c r="D1258" s="2" t="str">
        <f t="shared" si="18"/>
        <v>Error?</v>
      </c>
    </row>
    <row r="1259" spans="1:4" x14ac:dyDescent="0.2">
      <c r="A1259" s="5">
        <v>1198</v>
      </c>
      <c r="B1259" s="138">
        <f>'Expenditures 15-22'!G151</f>
        <v>50179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774479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774479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774479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774479</v>
      </c>
      <c r="C1288" s="2" t="s">
        <v>594</v>
      </c>
      <c r="D1288" s="2" t="str">
        <f t="shared" si="19"/>
        <v>Error?</v>
      </c>
    </row>
    <row r="1289" spans="1:4" x14ac:dyDescent="0.2">
      <c r="A1289" s="5">
        <v>1228</v>
      </c>
      <c r="B1289" s="138">
        <f>'Expenditures 15-22'!K152</f>
        <v>31993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22450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1025000</v>
      </c>
      <c r="D1315" s="2" t="str">
        <f t="shared" si="19"/>
        <v>Error?</v>
      </c>
    </row>
    <row r="1316" spans="1:4" x14ac:dyDescent="0.2">
      <c r="A1316" s="5">
        <v>1255</v>
      </c>
      <c r="B1316" s="138">
        <f>'Expenditures 15-22'!H171</f>
        <v>15075</v>
      </c>
      <c r="D1316" s="2" t="str">
        <f t="shared" si="19"/>
        <v>Error?</v>
      </c>
    </row>
    <row r="1317" spans="1:4" x14ac:dyDescent="0.2">
      <c r="A1317" s="5">
        <v>1256</v>
      </c>
      <c r="B1317" s="138">
        <f>'Expenditures 15-22'!H172</f>
        <v>1062525</v>
      </c>
      <c r="C1317" s="2" t="s">
        <v>594</v>
      </c>
      <c r="D1317" s="2" t="str">
        <f t="shared" si="19"/>
        <v>Error?</v>
      </c>
    </row>
    <row r="1318" spans="1:4" x14ac:dyDescent="0.2">
      <c r="A1318" s="5">
        <v>1257</v>
      </c>
      <c r="B1318" s="138">
        <f>'Expenditures 15-22'!H174</f>
        <v>1062525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22450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1025000</v>
      </c>
      <c r="C1329" s="2" t="s">
        <v>594</v>
      </c>
      <c r="D1329" s="2" t="str">
        <f t="shared" si="19"/>
        <v>Error?</v>
      </c>
    </row>
    <row r="1330" spans="1:4" x14ac:dyDescent="0.2">
      <c r="A1330" s="5">
        <v>1269</v>
      </c>
      <c r="B1330" s="138">
        <f>'Expenditures 15-22'!K171</f>
        <v>15075</v>
      </c>
      <c r="C1330" s="2" t="s">
        <v>594</v>
      </c>
      <c r="D1330" s="2" t="str">
        <f t="shared" si="19"/>
        <v>Error?</v>
      </c>
    </row>
    <row r="1331" spans="1:4" x14ac:dyDescent="0.2">
      <c r="A1331" s="5">
        <v>1270</v>
      </c>
      <c r="B1331" s="138">
        <f>'Expenditures 15-22'!K172</f>
        <v>1062525</v>
      </c>
      <c r="C1331" s="2" t="s">
        <v>594</v>
      </c>
      <c r="D1331" s="2" t="str">
        <f t="shared" si="19"/>
        <v>Error?</v>
      </c>
    </row>
    <row r="1332" spans="1:4" x14ac:dyDescent="0.2">
      <c r="A1332" s="5">
        <v>1271</v>
      </c>
      <c r="B1332" s="138">
        <f>'Expenditures 15-22'!K174</f>
        <v>1062525</v>
      </c>
      <c r="C1332" s="2" t="s">
        <v>594</v>
      </c>
      <c r="D1332" s="2" t="str">
        <f t="shared" si="19"/>
        <v>Error?</v>
      </c>
    </row>
    <row r="1333" spans="1:4" x14ac:dyDescent="0.2">
      <c r="A1333" s="5">
        <v>1272</v>
      </c>
      <c r="B1333" s="138">
        <f>'Expenditures 15-22'!K175</f>
        <v>-275090</v>
      </c>
      <c r="C1333" s="2" t="s">
        <v>594</v>
      </c>
      <c r="D1333" s="2" t="str">
        <f t="shared" si="19"/>
        <v>Error?</v>
      </c>
    </row>
    <row r="1334" spans="1:4" x14ac:dyDescent="0.2">
      <c r="A1334" s="10">
        <v>1273</v>
      </c>
      <c r="D1334" s="2" t="str">
        <f t="shared" si="19"/>
        <v>OK</v>
      </c>
    </row>
    <row r="1335" spans="1:4" x14ac:dyDescent="0.2">
      <c r="A1335" s="5">
        <v>1274</v>
      </c>
      <c r="B1335" s="138">
        <f>'Expenditures 15-22'!C182</f>
        <v>201690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201690</v>
      </c>
      <c r="C1339" s="2" t="s">
        <v>594</v>
      </c>
      <c r="D1339" s="2" t="str">
        <f t="shared" si="19"/>
        <v>Error?</v>
      </c>
    </row>
    <row r="1340" spans="1:4" x14ac:dyDescent="0.2">
      <c r="A1340" s="5">
        <v>1279</v>
      </c>
      <c r="B1340" s="138">
        <f>'Expenditures 15-22'!C210</f>
        <v>201690</v>
      </c>
      <c r="C1340" s="2" t="s">
        <v>594</v>
      </c>
      <c r="D1340" s="2" t="str">
        <f t="shared" si="19"/>
        <v>Error?</v>
      </c>
    </row>
    <row r="1341" spans="1:4" x14ac:dyDescent="0.2">
      <c r="A1341" s="5">
        <v>1280</v>
      </c>
      <c r="B1341" s="138">
        <f>'Expenditures 15-22'!D182</f>
        <v>10504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10504</v>
      </c>
      <c r="C1345" s="2" t="s">
        <v>594</v>
      </c>
      <c r="D1345" s="2" t="str">
        <f t="shared" si="20"/>
        <v>Error?</v>
      </c>
    </row>
    <row r="1346" spans="1:4" x14ac:dyDescent="0.2">
      <c r="A1346" s="5">
        <v>1285</v>
      </c>
      <c r="B1346" s="138">
        <f>'Expenditures 15-22'!D210</f>
        <v>10504</v>
      </c>
      <c r="C1346" s="2" t="s">
        <v>594</v>
      </c>
      <c r="D1346" s="2" t="str">
        <f t="shared" si="20"/>
        <v>Error?</v>
      </c>
    </row>
    <row r="1347" spans="1:4" x14ac:dyDescent="0.2">
      <c r="A1347" s="5">
        <v>1286</v>
      </c>
      <c r="B1347" s="138">
        <f>'Expenditures 15-22'!E182</f>
        <v>327132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327132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327132</v>
      </c>
      <c r="C1353" s="2" t="s">
        <v>594</v>
      </c>
      <c r="D1353" s="2" t="str">
        <f t="shared" si="20"/>
        <v>Error?</v>
      </c>
    </row>
    <row r="1354" spans="1:4" x14ac:dyDescent="0.2">
      <c r="A1354" s="5">
        <v>1293</v>
      </c>
      <c r="B1354" s="138">
        <f>'Expenditures 15-22'!F182</f>
        <v>36113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36113</v>
      </c>
      <c r="C1358" s="2" t="s">
        <v>594</v>
      </c>
      <c r="D1358" s="2" t="str">
        <f t="shared" si="20"/>
        <v>Error?</v>
      </c>
    </row>
    <row r="1359" spans="1:4" x14ac:dyDescent="0.2">
      <c r="A1359" s="5">
        <v>1298</v>
      </c>
      <c r="B1359" s="138">
        <f>'Expenditures 15-22'!F210</f>
        <v>36113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575439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575439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575439</v>
      </c>
      <c r="C1388" s="2" t="s">
        <v>594</v>
      </c>
      <c r="D1388" s="2" t="str">
        <f t="shared" si="20"/>
        <v>Error?</v>
      </c>
    </row>
    <row r="1389" spans="1:4" x14ac:dyDescent="0.2">
      <c r="A1389" s="5">
        <v>1328</v>
      </c>
      <c r="B1389" s="138">
        <f>'Expenditures 15-22'!K211</f>
        <v>-81120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3606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117790</v>
      </c>
      <c r="C1410" s="2" t="s">
        <v>594</v>
      </c>
      <c r="D1410" s="2" t="str">
        <f t="shared" si="21"/>
        <v>Error?</v>
      </c>
    </row>
    <row r="1411" spans="1:4" x14ac:dyDescent="0.2">
      <c r="A1411" s="5">
        <v>1350</v>
      </c>
      <c r="B1411" s="138">
        <f>'Expenditures 15-22'!D232</f>
        <v>1473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6967</v>
      </c>
      <c r="D1413" s="2" t="str">
        <f t="shared" si="21"/>
        <v>Error?</v>
      </c>
    </row>
    <row r="1414" spans="1:4" x14ac:dyDescent="0.2">
      <c r="A1414" s="5">
        <v>1353</v>
      </c>
      <c r="B1414" s="138">
        <f>'Expenditures 15-22'!D235</f>
        <v>696</v>
      </c>
      <c r="D1414" s="2" t="str">
        <f t="shared" si="21"/>
        <v>Error?</v>
      </c>
    </row>
    <row r="1415" spans="1:4" x14ac:dyDescent="0.2">
      <c r="A1415" s="5">
        <v>1354</v>
      </c>
      <c r="B1415" s="138">
        <f>'Expenditures 15-22'!D236</f>
        <v>2322</v>
      </c>
      <c r="D1415" s="2" t="str">
        <f t="shared" si="21"/>
        <v>Error?</v>
      </c>
    </row>
    <row r="1416" spans="1:4" x14ac:dyDescent="0.2">
      <c r="A1416" s="5">
        <v>1355</v>
      </c>
      <c r="B1416" s="138">
        <f>'Expenditures 15-22'!D237</f>
        <v>7210</v>
      </c>
      <c r="D1416" s="2" t="str">
        <f t="shared" si="21"/>
        <v>Error?</v>
      </c>
    </row>
    <row r="1417" spans="1:4" x14ac:dyDescent="0.2">
      <c r="A1417" s="5">
        <v>1356</v>
      </c>
      <c r="B1417" s="138">
        <f>'Expenditures 15-22'!D238</f>
        <v>18668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6018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6018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13661</v>
      </c>
      <c r="D1423" s="2" t="str">
        <f t="shared" si="21"/>
        <v>Error?</v>
      </c>
    </row>
    <row r="1424" spans="1:4" x14ac:dyDescent="0.2">
      <c r="A1424" s="5">
        <v>1363</v>
      </c>
      <c r="B1424" s="138">
        <f>'Expenditures 15-22'!D257</f>
        <v>13661</v>
      </c>
      <c r="C1424" s="2" t="s">
        <v>594</v>
      </c>
      <c r="D1424" s="2" t="str">
        <f t="shared" si="21"/>
        <v>Error?</v>
      </c>
    </row>
    <row r="1425" spans="1:4" x14ac:dyDescent="0.2">
      <c r="A1425" s="5">
        <v>1364</v>
      </c>
      <c r="B1425" s="138">
        <f>'Expenditures 15-22'!D259</f>
        <v>23270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23270</v>
      </c>
      <c r="C1427" s="2" t="s">
        <v>594</v>
      </c>
      <c r="D1427" s="2" t="str">
        <f t="shared" si="21"/>
        <v>Error?</v>
      </c>
    </row>
    <row r="1428" spans="1:4" x14ac:dyDescent="0.2">
      <c r="A1428" s="5">
        <v>1367</v>
      </c>
      <c r="B1428" s="138">
        <f>'Expenditures 15-22'!D263</f>
        <v>1502</v>
      </c>
      <c r="D1428" s="2" t="str">
        <f t="shared" si="21"/>
        <v>Error?</v>
      </c>
    </row>
    <row r="1429" spans="1:4" x14ac:dyDescent="0.2">
      <c r="A1429" s="5">
        <v>1368</v>
      </c>
      <c r="B1429" s="138">
        <f>'Expenditures 15-22'!D264</f>
        <v>5915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47290</v>
      </c>
      <c r="D1431" s="2" t="str">
        <f t="shared" si="21"/>
        <v>Error?</v>
      </c>
    </row>
    <row r="1432" spans="1:4" x14ac:dyDescent="0.2">
      <c r="A1432" s="5">
        <v>1371</v>
      </c>
      <c r="B1432" s="138">
        <f>'Expenditures 15-22'!D267</f>
        <v>38586</v>
      </c>
      <c r="D1432" s="2" t="str">
        <f t="shared" si="21"/>
        <v>Error?</v>
      </c>
    </row>
    <row r="1433" spans="1:4" x14ac:dyDescent="0.2">
      <c r="A1433" s="5">
        <v>1372</v>
      </c>
      <c r="B1433" s="138">
        <f>'Expenditures 15-22'!D268</f>
        <v>2948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96241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21732</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21732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179590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297380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3606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117790</v>
      </c>
      <c r="C1474" s="2" t="s">
        <v>594</v>
      </c>
      <c r="D1474" s="2" t="str">
        <f t="shared" si="22"/>
        <v>Error?</v>
      </c>
    </row>
    <row r="1475" spans="1:4" x14ac:dyDescent="0.2">
      <c r="A1475" s="5">
        <v>1414</v>
      </c>
      <c r="B1475" s="138">
        <f>'Expenditures 15-22'!K232</f>
        <v>1473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6967</v>
      </c>
      <c r="C1477" s="2" t="s">
        <v>594</v>
      </c>
      <c r="D1477" s="2" t="str">
        <f t="shared" si="22"/>
        <v>Error?</v>
      </c>
    </row>
    <row r="1478" spans="1:4" x14ac:dyDescent="0.2">
      <c r="A1478" s="5">
        <v>1417</v>
      </c>
      <c r="B1478" s="138">
        <f>'Expenditures 15-22'!K235</f>
        <v>696</v>
      </c>
      <c r="C1478" s="2" t="s">
        <v>594</v>
      </c>
      <c r="D1478" s="2" t="str">
        <f t="shared" si="22"/>
        <v>Error?</v>
      </c>
    </row>
    <row r="1479" spans="1:4" x14ac:dyDescent="0.2">
      <c r="A1479" s="5">
        <v>1418</v>
      </c>
      <c r="B1479" s="138">
        <f>'Expenditures 15-22'!K236</f>
        <v>2322</v>
      </c>
      <c r="C1479" s="2" t="s">
        <v>594</v>
      </c>
      <c r="D1479" s="2" t="str">
        <f t="shared" si="22"/>
        <v>Error?</v>
      </c>
    </row>
    <row r="1480" spans="1:4" x14ac:dyDescent="0.2">
      <c r="A1480" s="5">
        <v>1419</v>
      </c>
      <c r="B1480" s="138">
        <f>'Expenditures 15-22'!K237</f>
        <v>7210</v>
      </c>
      <c r="C1480" s="2" t="s">
        <v>594</v>
      </c>
      <c r="D1480" s="2" t="str">
        <f t="shared" si="22"/>
        <v>Error?</v>
      </c>
    </row>
    <row r="1481" spans="1:4" x14ac:dyDescent="0.2">
      <c r="A1481" s="5">
        <v>1420</v>
      </c>
      <c r="B1481" s="138">
        <f>'Expenditures 15-22'!K238</f>
        <v>18668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6018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6018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13661</v>
      </c>
      <c r="C1487" s="2" t="s">
        <v>594</v>
      </c>
      <c r="D1487" s="2" t="str">
        <f t="shared" si="22"/>
        <v>Error?</v>
      </c>
    </row>
    <row r="1488" spans="1:4" x14ac:dyDescent="0.2">
      <c r="A1488" s="5">
        <v>1427</v>
      </c>
      <c r="B1488" s="138">
        <f>'Expenditures 15-22'!K257</f>
        <v>13661</v>
      </c>
      <c r="C1488" s="2" t="s">
        <v>594</v>
      </c>
      <c r="D1488" s="2" t="str">
        <f t="shared" si="22"/>
        <v>Error?</v>
      </c>
    </row>
    <row r="1489" spans="1:4" x14ac:dyDescent="0.2">
      <c r="A1489" s="5">
        <v>1428</v>
      </c>
      <c r="B1489" s="138">
        <f>'Expenditures 15-22'!K259</f>
        <v>23270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23270</v>
      </c>
      <c r="C1491" s="2" t="s">
        <v>594</v>
      </c>
      <c r="D1491" s="2" t="str">
        <f t="shared" si="22"/>
        <v>Error?</v>
      </c>
    </row>
    <row r="1492" spans="1:4" x14ac:dyDescent="0.2">
      <c r="A1492" s="5">
        <v>1431</v>
      </c>
      <c r="B1492" s="138">
        <f>'Expenditures 15-22'!K263</f>
        <v>1502</v>
      </c>
      <c r="C1492" s="2" t="s">
        <v>594</v>
      </c>
      <c r="D1492" s="2" t="str">
        <f t="shared" si="22"/>
        <v>Error?</v>
      </c>
    </row>
    <row r="1493" spans="1:4" x14ac:dyDescent="0.2">
      <c r="A1493" s="5">
        <v>1432</v>
      </c>
      <c r="B1493" s="138">
        <f>'Expenditures 15-22'!K264</f>
        <v>5915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47290</v>
      </c>
      <c r="C1495" s="2" t="s">
        <v>594</v>
      </c>
      <c r="D1495" s="2" t="str">
        <f t="shared" si="22"/>
        <v>Error?</v>
      </c>
    </row>
    <row r="1496" spans="1:4" x14ac:dyDescent="0.2">
      <c r="A1496" s="5">
        <v>1435</v>
      </c>
      <c r="B1496" s="138">
        <f>'Expenditures 15-22'!K267</f>
        <v>38586</v>
      </c>
      <c r="C1496" s="2" t="s">
        <v>594</v>
      </c>
      <c r="D1496" s="2" t="str">
        <f t="shared" si="22"/>
        <v>Error?</v>
      </c>
    </row>
    <row r="1497" spans="1:4" x14ac:dyDescent="0.2">
      <c r="A1497" s="5">
        <v>1436</v>
      </c>
      <c r="B1497" s="138">
        <f>'Expenditures 15-22'!K268</f>
        <v>2948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96241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21732</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21732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179590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297380</v>
      </c>
      <c r="C1517" s="2" t="s">
        <v>594</v>
      </c>
      <c r="D1517" s="2" t="str">
        <f t="shared" si="22"/>
        <v>Error?</v>
      </c>
    </row>
    <row r="1518" spans="1:4" x14ac:dyDescent="0.2">
      <c r="A1518" s="5">
        <v>1457</v>
      </c>
      <c r="B1518" s="138">
        <f>'Expenditures 15-22'!K296</f>
        <v>-39206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550922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925098</v>
      </c>
      <c r="C1630" s="2" t="s">
        <v>594</v>
      </c>
      <c r="D1630" s="2" t="str">
        <f t="shared" si="24"/>
        <v>Error?</v>
      </c>
    </row>
    <row r="1631" spans="1:4" x14ac:dyDescent="0.2">
      <c r="A1631" s="5">
        <v>1570</v>
      </c>
      <c r="B1631" s="138">
        <f>'Acct Summary 7-8'!D79</f>
        <v>76540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108533</v>
      </c>
      <c r="C1644" s="2" t="s">
        <v>594</v>
      </c>
      <c r="D1644" s="2" t="str">
        <f t="shared" si="24"/>
        <v>Error?</v>
      </c>
    </row>
    <row r="1645" spans="1:4" x14ac:dyDescent="0.2">
      <c r="A1645" s="5">
        <v>1584</v>
      </c>
      <c r="B1645" s="138">
        <f>'Acct Summary 7-8'!E79</f>
        <v>887964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625249</v>
      </c>
      <c r="C1658" s="2" t="s">
        <v>594</v>
      </c>
      <c r="D1658" s="2" t="str">
        <f t="shared" si="24"/>
        <v>Error?</v>
      </c>
    </row>
    <row r="1659" spans="1:4" x14ac:dyDescent="0.2">
      <c r="A1659" s="5">
        <v>1598</v>
      </c>
      <c r="B1659" s="138">
        <f>'Acct Summary 7-8'!F79</f>
        <v>942923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861803</v>
      </c>
      <c r="C1672" s="2" t="s">
        <v>594</v>
      </c>
      <c r="D1672" s="2" t="str">
        <f t="shared" si="25"/>
        <v>Error?</v>
      </c>
    </row>
    <row r="1673" spans="1:4" x14ac:dyDescent="0.2">
      <c r="A1673" s="5">
        <v>1612</v>
      </c>
      <c r="B1673" s="138">
        <f>'Acct Summary 7-8'!G79</f>
        <v>213315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174109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4479055</v>
      </c>
      <c r="C1744" s="2" t="s">
        <v>594</v>
      </c>
      <c r="D1744" s="2" t="str">
        <f t="shared" si="26"/>
        <v>Error?</v>
      </c>
    </row>
    <row r="1745" spans="1:5" x14ac:dyDescent="0.2">
      <c r="A1745" s="5">
        <v>1684</v>
      </c>
      <c r="B1745" s="138">
        <f>'Tax Sched 23'!B5</f>
        <v>799186</v>
      </c>
      <c r="C1745" s="2" t="s">
        <v>594</v>
      </c>
      <c r="D1745" s="2" t="str">
        <f t="shared" si="26"/>
        <v>Error?</v>
      </c>
    </row>
    <row r="1746" spans="1:5" x14ac:dyDescent="0.2">
      <c r="A1746" s="5">
        <v>1685</v>
      </c>
      <c r="B1746" s="138">
        <f>'Tax Sched 23'!B6</f>
        <v>787435</v>
      </c>
      <c r="C1746" s="2" t="s">
        <v>594</v>
      </c>
      <c r="D1746" s="2" t="str">
        <f t="shared" si="26"/>
        <v>Error?</v>
      </c>
    </row>
    <row r="1747" spans="1:5" x14ac:dyDescent="0.2">
      <c r="A1747" s="5">
        <v>1686</v>
      </c>
      <c r="B1747" s="138">
        <f>'Tax Sched 23'!B7</f>
        <v>79034</v>
      </c>
      <c r="C1747" s="2" t="s">
        <v>594</v>
      </c>
      <c r="D1747" s="2" t="str">
        <f t="shared" si="26"/>
        <v>Error?</v>
      </c>
    </row>
    <row r="1748" spans="1:5" x14ac:dyDescent="0.2">
      <c r="A1748" s="5">
        <v>1687</v>
      </c>
      <c r="B1748" s="138">
        <f>'Tax Sched 23'!B8</f>
        <v>117758</v>
      </c>
      <c r="C1748" s="2" t="s">
        <v>594</v>
      </c>
      <c r="D1748" s="2" t="str">
        <f t="shared" si="26"/>
        <v>Error?</v>
      </c>
    </row>
    <row r="1749" spans="1:5" x14ac:dyDescent="0.2">
      <c r="A1749" s="5">
        <v>1688</v>
      </c>
      <c r="B1749" s="138">
        <f>'Tax Sched 23'!B10</f>
        <v>3054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42949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22073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6466437</v>
      </c>
      <c r="C1759" s="2" t="s">
        <v>594</v>
      </c>
      <c r="D1759" s="2" t="str">
        <f t="shared" si="26"/>
        <v>Error?</v>
      </c>
    </row>
    <row r="1760" spans="1:5" x14ac:dyDescent="0.2">
      <c r="A1760" s="5">
        <v>1699</v>
      </c>
      <c r="B1760" s="138">
        <f>'Tax Sched 23'!D4</f>
        <v>2078166</v>
      </c>
      <c r="C1760" s="2" t="s">
        <v>594</v>
      </c>
      <c r="D1760" s="2" t="str">
        <f t="shared" si="26"/>
        <v>Error?</v>
      </c>
    </row>
    <row r="1761" spans="1:5" x14ac:dyDescent="0.2">
      <c r="A1761" s="5">
        <v>1700</v>
      </c>
      <c r="B1761" s="138">
        <f>'Tax Sched 23'!D5</f>
        <v>395386</v>
      </c>
      <c r="C1761" s="2" t="s">
        <v>594</v>
      </c>
      <c r="D1761" s="2" t="str">
        <f t="shared" si="26"/>
        <v>Error?</v>
      </c>
    </row>
    <row r="1762" spans="1:5" s="8" customFormat="1" x14ac:dyDescent="0.2">
      <c r="A1762" s="5">
        <v>1701</v>
      </c>
      <c r="B1762" s="138">
        <f>'Tax Sched 23'!D6</f>
        <v>513280</v>
      </c>
      <c r="C1762" s="2" t="s">
        <v>594</v>
      </c>
      <c r="D1762" s="2" t="str">
        <f t="shared" si="26"/>
        <v>Error?</v>
      </c>
      <c r="E1762" s="9"/>
    </row>
    <row r="1763" spans="1:5" x14ac:dyDescent="0.2">
      <c r="A1763" s="5">
        <v>1702</v>
      </c>
      <c r="B1763" s="138">
        <f>'Tax Sched 23'!D7</f>
        <v>42010</v>
      </c>
      <c r="C1763" s="2" t="s">
        <v>594</v>
      </c>
      <c r="D1763" s="2" t="str">
        <f t="shared" si="26"/>
        <v>Error?</v>
      </c>
    </row>
    <row r="1764" spans="1:5" x14ac:dyDescent="0.2">
      <c r="A1764" s="5">
        <v>1703</v>
      </c>
      <c r="B1764" s="138">
        <f>'Tax Sched 23'!D8</f>
        <v>56757</v>
      </c>
      <c r="C1764" s="2" t="s">
        <v>594</v>
      </c>
      <c r="D1764" s="2" t="str">
        <f t="shared" si="26"/>
        <v>Error?</v>
      </c>
    </row>
    <row r="1765" spans="1:5" x14ac:dyDescent="0.2">
      <c r="A1765" s="5">
        <v>1704</v>
      </c>
      <c r="B1765" s="138">
        <f>'Tax Sched 23'!D10</f>
        <v>1519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10479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3162633</v>
      </c>
      <c r="C1775" s="2" t="s">
        <v>594</v>
      </c>
      <c r="D1775" s="2" t="str">
        <f t="shared" si="26"/>
        <v>Error?</v>
      </c>
    </row>
    <row r="1776" spans="1:5" x14ac:dyDescent="0.2">
      <c r="A1776" s="5">
        <v>1715</v>
      </c>
      <c r="B1776" s="138">
        <f>'Tax Sched 23'!C4</f>
        <v>2400889</v>
      </c>
      <c r="D1776" s="2" t="str">
        <f t="shared" si="26"/>
        <v>Error?</v>
      </c>
    </row>
    <row r="1777" spans="1:4" x14ac:dyDescent="0.2">
      <c r="A1777" s="5">
        <v>1716</v>
      </c>
      <c r="B1777" s="138">
        <f>'Tax Sched 23'!C5</f>
        <v>403800</v>
      </c>
      <c r="D1777" s="2" t="str">
        <f t="shared" si="26"/>
        <v>Error?</v>
      </c>
    </row>
    <row r="1778" spans="1:4" x14ac:dyDescent="0.2">
      <c r="A1778" s="5">
        <v>1717</v>
      </c>
      <c r="B1778" s="138">
        <f>'Tax Sched 23'!C6</f>
        <v>274155</v>
      </c>
      <c r="D1778" s="2" t="str">
        <f t="shared" si="26"/>
        <v>Error?</v>
      </c>
    </row>
    <row r="1779" spans="1:4" x14ac:dyDescent="0.2">
      <c r="A1779" s="5">
        <v>1718</v>
      </c>
      <c r="B1779" s="138">
        <f>'Tax Sched 23'!C7</f>
        <v>37024</v>
      </c>
      <c r="D1779" s="2" t="str">
        <f t="shared" si="26"/>
        <v>Error?</v>
      </c>
    </row>
    <row r="1780" spans="1:4" x14ac:dyDescent="0.2">
      <c r="A1780" s="5">
        <v>1719</v>
      </c>
      <c r="B1780" s="138">
        <f>'Tax Sched 23'!C8</f>
        <v>61001</v>
      </c>
      <c r="D1780" s="2" t="str">
        <f t="shared" si="26"/>
        <v>Error?</v>
      </c>
    </row>
    <row r="1781" spans="1:4" x14ac:dyDescent="0.2">
      <c r="A1781" s="5">
        <v>1720</v>
      </c>
      <c r="B1781" s="138">
        <f>'Tax Sched 23'!C10</f>
        <v>1535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42923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11594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3303804</v>
      </c>
      <c r="C1791" s="2" t="s">
        <v>594</v>
      </c>
      <c r="D1791" s="2" t="str">
        <f t="shared" ref="D1791:D1854" si="27">IF(ISBLANK(B1791),"OK",IF(A1791-B1791=0,"OK","Error?"))</f>
        <v>Error?</v>
      </c>
    </row>
    <row r="1792" spans="1:4" x14ac:dyDescent="0.2">
      <c r="A1792" s="5">
        <v>1731</v>
      </c>
      <c r="B1792" s="138">
        <f>'Tax Sched 23'!F4</f>
        <v>2149111</v>
      </c>
      <c r="C1792" s="2" t="s">
        <v>594</v>
      </c>
      <c r="D1792" s="2" t="str">
        <f t="shared" si="27"/>
        <v>Error?</v>
      </c>
    </row>
    <row r="1793" spans="1:4" x14ac:dyDescent="0.2">
      <c r="A1793" s="5">
        <v>1732</v>
      </c>
      <c r="B1793" s="138">
        <f>'Tax Sched 23'!F5</f>
        <v>350400</v>
      </c>
      <c r="C1793" s="2" t="s">
        <v>594</v>
      </c>
      <c r="D1793" s="2" t="str">
        <f t="shared" si="27"/>
        <v>Error?</v>
      </c>
    </row>
    <row r="1794" spans="1:4" x14ac:dyDescent="0.2">
      <c r="A1794" s="5">
        <v>1733</v>
      </c>
      <c r="B1794" s="138">
        <f>'Tax Sched 23'!F6</f>
        <v>232291</v>
      </c>
      <c r="C1794" s="2" t="s">
        <v>594</v>
      </c>
      <c r="D1794" s="2" t="str">
        <f t="shared" si="27"/>
        <v>Error?</v>
      </c>
    </row>
    <row r="1795" spans="1:4" x14ac:dyDescent="0.2">
      <c r="A1795" s="5">
        <v>1734</v>
      </c>
      <c r="B1795" s="138">
        <f>'Tax Sched 23'!F7</f>
        <v>32976</v>
      </c>
      <c r="C1795" s="2" t="s">
        <v>594</v>
      </c>
      <c r="D1795" s="2" t="str">
        <f t="shared" si="27"/>
        <v>Error?</v>
      </c>
    </row>
    <row r="1796" spans="1:4" x14ac:dyDescent="0.2">
      <c r="A1796" s="5">
        <v>1735</v>
      </c>
      <c r="B1796" s="138">
        <f>'Tax Sched 23'!F8</f>
        <v>53999</v>
      </c>
      <c r="C1796" s="2" t="s">
        <v>594</v>
      </c>
      <c r="D1796" s="2" t="str">
        <f t="shared" si="27"/>
        <v>Error?</v>
      </c>
    </row>
    <row r="1797" spans="1:4" x14ac:dyDescent="0.2">
      <c r="A1797" s="5">
        <v>1736</v>
      </c>
      <c r="B1797" s="138">
        <f>'Tax Sched 23'!F10</f>
        <v>1365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37077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10575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2930655</v>
      </c>
      <c r="C1807" s="2" t="s">
        <v>594</v>
      </c>
      <c r="D1807" s="2" t="str">
        <f t="shared" si="27"/>
        <v>Error?</v>
      </c>
    </row>
    <row r="1808" spans="1:4" x14ac:dyDescent="0.2">
      <c r="A1808" s="5">
        <v>1747</v>
      </c>
      <c r="B1808" s="138">
        <f>'Tax Sched 23'!E4</f>
        <v>4550000</v>
      </c>
      <c r="D1808" s="2" t="str">
        <f t="shared" si="27"/>
        <v>Error?</v>
      </c>
    </row>
    <row r="1809" spans="1:4" x14ac:dyDescent="0.2">
      <c r="A1809" s="5">
        <v>1748</v>
      </c>
      <c r="B1809" s="138">
        <f>'Tax Sched 23'!E5</f>
        <v>754200</v>
      </c>
      <c r="D1809" s="2" t="str">
        <f t="shared" si="27"/>
        <v>Error?</v>
      </c>
    </row>
    <row r="1810" spans="1:4" x14ac:dyDescent="0.2">
      <c r="A1810" s="5">
        <v>1749</v>
      </c>
      <c r="B1810" s="138">
        <f>'Tax Sched 23'!E6</f>
        <v>506446</v>
      </c>
      <c r="D1810" s="2" t="str">
        <f t="shared" si="27"/>
        <v>Error?</v>
      </c>
    </row>
    <row r="1811" spans="1:4" x14ac:dyDescent="0.2">
      <c r="A1811" s="5">
        <v>1750</v>
      </c>
      <c r="B1811" s="138">
        <f>'Tax Sched 23'!E7</f>
        <v>70000</v>
      </c>
      <c r="D1811" s="2" t="str">
        <f t="shared" si="27"/>
        <v>Error?</v>
      </c>
    </row>
    <row r="1812" spans="1:4" x14ac:dyDescent="0.2">
      <c r="A1812" s="5">
        <v>1751</v>
      </c>
      <c r="B1812" s="138">
        <f>'Tax Sched 23'!E8</f>
        <v>115000</v>
      </c>
      <c r="D1812" s="2" t="str">
        <f t="shared" si="27"/>
        <v>Error?</v>
      </c>
    </row>
    <row r="1813" spans="1:4" x14ac:dyDescent="0.2">
      <c r="A1813" s="5">
        <v>1752</v>
      </c>
      <c r="B1813" s="138">
        <f>'Tax Sched 23'!E10</f>
        <v>2900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22169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6234459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1490000</v>
      </c>
      <c r="C1939" s="2" t="s">
        <v>594</v>
      </c>
      <c r="D1939" s="2" t="str">
        <f t="shared" si="29"/>
        <v>Error?</v>
      </c>
    </row>
    <row r="1940" spans="1:5" x14ac:dyDescent="0.2">
      <c r="A1940" s="5">
        <v>1879</v>
      </c>
      <c r="B1940" s="138">
        <f>'Short-Term Long-Term Debt 24'!F49</f>
        <v>265000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22073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22073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22073</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158453</v>
      </c>
      <c r="D2008" s="2" t="str">
        <f t="shared" si="30"/>
        <v>Error?</v>
      </c>
    </row>
    <row r="2009" spans="1:4" x14ac:dyDescent="0.2">
      <c r="A2009" s="5">
        <v>1948</v>
      </c>
      <c r="B2009" s="138">
        <f>'Cap Outlay Deprec 26'!C8</f>
        <v>10227324</v>
      </c>
      <c r="D2009" s="2" t="str">
        <f t="shared" si="30"/>
        <v>Error?</v>
      </c>
    </row>
    <row r="2010" spans="1:4" x14ac:dyDescent="0.2">
      <c r="A2010" s="5">
        <v>1949</v>
      </c>
      <c r="B2010" s="138">
        <f>'Cap Outlay Deprec 26'!C10</f>
        <v>173345</v>
      </c>
      <c r="D2010" s="2" t="str">
        <f t="shared" si="30"/>
        <v>Error?</v>
      </c>
    </row>
    <row r="2011" spans="1:4" x14ac:dyDescent="0.2">
      <c r="A2011" s="5">
        <v>1950</v>
      </c>
      <c r="B2011" s="138">
        <f>'Cap Outlay Deprec 26'!C12</f>
        <v>1551751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12110873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21594</v>
      </c>
      <c r="D2015" s="2" t="str">
        <f t="shared" si="30"/>
        <v>Error?</v>
      </c>
    </row>
    <row r="2016" spans="1:4" x14ac:dyDescent="0.2">
      <c r="A2016" s="5">
        <v>1955</v>
      </c>
      <c r="B2016" s="138">
        <f>'Cap Outlay Deprec 26'!D10</f>
        <v>24660</v>
      </c>
      <c r="D2016" s="2" t="str">
        <f t="shared" si="30"/>
        <v>Error?</v>
      </c>
    </row>
    <row r="2017" spans="1:4" x14ac:dyDescent="0.2">
      <c r="A2017" s="5">
        <v>1956</v>
      </c>
      <c r="B2017" s="138">
        <f>'Cap Outlay Deprec 26'!D12</f>
        <v>35887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82141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158453</v>
      </c>
      <c r="C2026" s="2" t="s">
        <v>594</v>
      </c>
      <c r="D2026" s="2" t="str">
        <f t="shared" si="30"/>
        <v>Error?</v>
      </c>
    </row>
    <row r="2027" spans="1:4" x14ac:dyDescent="0.2">
      <c r="A2027" s="5">
        <v>1966</v>
      </c>
      <c r="B2027" s="138">
        <f>'Cap Outlay Deprec 26'!F8</f>
        <v>10248918</v>
      </c>
      <c r="C2027" s="2" t="s">
        <v>594</v>
      </c>
      <c r="D2027" s="2" t="str">
        <f t="shared" si="30"/>
        <v>Error?</v>
      </c>
    </row>
    <row r="2028" spans="1:4" x14ac:dyDescent="0.2">
      <c r="A2028" s="5">
        <v>1967</v>
      </c>
      <c r="B2028" s="138">
        <f>'Cap Outlay Deprec 26'!F10</f>
        <v>198005</v>
      </c>
      <c r="C2028" s="2" t="s">
        <v>594</v>
      </c>
      <c r="D2028" s="2" t="str">
        <f t="shared" si="30"/>
        <v>Error?</v>
      </c>
    </row>
    <row r="2029" spans="1:4" x14ac:dyDescent="0.2">
      <c r="A2029" s="5">
        <v>1968</v>
      </c>
      <c r="B2029" s="138">
        <f>'Cap Outlay Deprec 26'!F12</f>
        <v>1587638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12193014</v>
      </c>
      <c r="C2031" s="2" t="s">
        <v>594</v>
      </c>
      <c r="D2031" s="2" t="str">
        <f t="shared" si="30"/>
        <v>Error?</v>
      </c>
    </row>
    <row r="2032" spans="1:4" x14ac:dyDescent="0.2">
      <c r="A2032" s="10">
        <v>1971</v>
      </c>
      <c r="D2032" s="2" t="str">
        <f t="shared" si="30"/>
        <v>OK</v>
      </c>
    </row>
    <row r="2033" spans="1:4" x14ac:dyDescent="0.2">
      <c r="A2033" s="5">
        <v>1972</v>
      </c>
      <c r="B2033" s="138">
        <f>'Cap Outlay Deprec 26'!H8</f>
        <v>6080263</v>
      </c>
      <c r="D2033" s="2" t="str">
        <f t="shared" si="30"/>
        <v>Error?</v>
      </c>
    </row>
    <row r="2034" spans="1:4" x14ac:dyDescent="0.2">
      <c r="A2034" s="5">
        <v>1973</v>
      </c>
      <c r="B2034" s="138">
        <f>'Cap Outlay Deprec 26'!H10</f>
        <v>173122</v>
      </c>
      <c r="D2034" s="2" t="str">
        <f t="shared" si="30"/>
        <v>Error?</v>
      </c>
    </row>
    <row r="2035" spans="1:4" x14ac:dyDescent="0.2">
      <c r="A2035" s="5">
        <v>1974</v>
      </c>
      <c r="B2035" s="138">
        <f>'Cap Outlay Deprec 26'!H12</f>
        <v>1259356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7512741</v>
      </c>
      <c r="C2037" s="2" t="s">
        <v>594</v>
      </c>
      <c r="D2037" s="2" t="str">
        <f t="shared" si="30"/>
        <v>Error?</v>
      </c>
    </row>
    <row r="2038" spans="1:4" x14ac:dyDescent="0.2">
      <c r="A2038" s="10">
        <v>1977</v>
      </c>
      <c r="D2038" s="2" t="str">
        <f t="shared" si="30"/>
        <v>OK</v>
      </c>
    </row>
    <row r="2039" spans="1:4" x14ac:dyDescent="0.2">
      <c r="A2039" s="5">
        <v>1978</v>
      </c>
      <c r="B2039" s="138">
        <f>'Cap Outlay Deprec 26'!I8</f>
        <v>225842</v>
      </c>
      <c r="D2039" s="2" t="str">
        <f t="shared" si="30"/>
        <v>Error?</v>
      </c>
    </row>
    <row r="2040" spans="1:4" x14ac:dyDescent="0.2">
      <c r="A2040" s="5">
        <v>1979</v>
      </c>
      <c r="B2040" s="138">
        <f>'Cap Outlay Deprec 26'!I10</f>
        <v>766</v>
      </c>
      <c r="D2040" s="2" t="str">
        <f t="shared" si="30"/>
        <v>Error?</v>
      </c>
    </row>
    <row r="2041" spans="1:4" x14ac:dyDescent="0.2">
      <c r="A2041" s="5">
        <v>1980</v>
      </c>
      <c r="B2041" s="138">
        <f>'Cap Outlay Deprec 26'!I12</f>
        <v>49461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276069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6306105</v>
      </c>
      <c r="C2051" s="2" t="s">
        <v>594</v>
      </c>
      <c r="D2051" s="2" t="str">
        <f t="shared" si="31"/>
        <v>Error?</v>
      </c>
    </row>
    <row r="2052" spans="1:4" x14ac:dyDescent="0.2">
      <c r="A2052" s="5">
        <v>1991</v>
      </c>
      <c r="B2052" s="138">
        <f>'Cap Outlay Deprec 26'!K10</f>
        <v>173888</v>
      </c>
      <c r="C2052" s="2" t="s">
        <v>594</v>
      </c>
      <c r="D2052" s="2" t="str">
        <f t="shared" si="31"/>
        <v>Error?</v>
      </c>
    </row>
    <row r="2053" spans="1:4" x14ac:dyDescent="0.2">
      <c r="A2053" s="5">
        <v>1992</v>
      </c>
      <c r="B2053" s="138">
        <f>'Cap Outlay Deprec 26'!K12</f>
        <v>1308817</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7788810</v>
      </c>
      <c r="C2055" s="2" t="s">
        <v>594</v>
      </c>
      <c r="D2055" s="2" t="str">
        <f t="shared" si="31"/>
        <v>Error?</v>
      </c>
    </row>
    <row r="2056" spans="1:4" x14ac:dyDescent="0.2">
      <c r="A2056" s="5">
        <v>1995</v>
      </c>
      <c r="B2056" s="138">
        <f>'Cap Outlay Deprec 26'!L5</f>
        <v>158453</v>
      </c>
      <c r="C2056" s="2" t="s">
        <v>594</v>
      </c>
      <c r="D2056" s="2" t="str">
        <f t="shared" si="31"/>
        <v>Error?</v>
      </c>
    </row>
    <row r="2057" spans="1:4" x14ac:dyDescent="0.2">
      <c r="A2057" s="5">
        <v>1996</v>
      </c>
      <c r="B2057" s="138">
        <f>'Cap Outlay Deprec 26'!L8</f>
        <v>3942813</v>
      </c>
      <c r="C2057" s="2" t="s">
        <v>594</v>
      </c>
      <c r="D2057" s="2" t="str">
        <f t="shared" si="31"/>
        <v>Error?</v>
      </c>
    </row>
    <row r="2058" spans="1:4" x14ac:dyDescent="0.2">
      <c r="A2058" s="5">
        <v>1997</v>
      </c>
      <c r="B2058" s="138">
        <f>'Cap Outlay Deprec 26'!L10</f>
        <v>24117</v>
      </c>
      <c r="C2058" s="2" t="s">
        <v>594</v>
      </c>
      <c r="D2058" s="2" t="str">
        <f t="shared" si="31"/>
        <v>Error?</v>
      </c>
    </row>
    <row r="2059" spans="1:4" x14ac:dyDescent="0.2">
      <c r="A2059" s="5">
        <v>1998</v>
      </c>
      <c r="B2059" s="138">
        <f>'Cap Outlay Deprec 26'!L12</f>
        <v>278821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4404204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16903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576022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108533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861803</v>
      </c>
      <c r="D2475" s="2" t="str">
        <f t="shared" si="37"/>
        <v>Error?</v>
      </c>
    </row>
    <row r="2476" spans="1:4" x14ac:dyDescent="0.2">
      <c r="A2476" s="10">
        <v>2415</v>
      </c>
      <c r="D2476" s="2" t="str">
        <f t="shared" si="37"/>
        <v>OK</v>
      </c>
    </row>
    <row r="2477" spans="1:4" x14ac:dyDescent="0.2">
      <c r="A2477" s="5">
        <v>2416</v>
      </c>
      <c r="B2477" s="138">
        <f>'Assets-Liab 5-6'!G38</f>
        <v>174109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625249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4815705</v>
      </c>
      <c r="C2551" s="2" t="s">
        <v>594</v>
      </c>
      <c r="D2551" s="2" t="str">
        <f t="shared" si="38"/>
        <v>Error?</v>
      </c>
    </row>
    <row r="2552" spans="1:4" x14ac:dyDescent="0.2">
      <c r="A2552" s="10">
        <v>2491</v>
      </c>
      <c r="D2552" s="2" t="str">
        <f t="shared" si="38"/>
        <v>OK</v>
      </c>
    </row>
    <row r="2553" spans="1:4" x14ac:dyDescent="0.2">
      <c r="A2553" s="5">
        <v>2492</v>
      </c>
      <c r="B2553" s="138">
        <f>'Acct Summary 7-8'!C6</f>
        <v>2526112</v>
      </c>
      <c r="C2553" s="2" t="s">
        <v>594</v>
      </c>
      <c r="D2553" s="2" t="str">
        <f t="shared" si="38"/>
        <v>Error?</v>
      </c>
    </row>
    <row r="2554" spans="1:4" x14ac:dyDescent="0.2">
      <c r="A2554" s="5">
        <v>2493</v>
      </c>
      <c r="B2554" s="138">
        <f>'Acct Summary 7-8'!C7</f>
        <v>570567</v>
      </c>
      <c r="C2554" s="2" t="s">
        <v>594</v>
      </c>
      <c r="D2554" s="2" t="str">
        <f t="shared" si="38"/>
        <v>Error?</v>
      </c>
    </row>
    <row r="2555" spans="1:4" x14ac:dyDescent="0.2">
      <c r="A2555" s="5">
        <v>2494</v>
      </c>
      <c r="B2555" s="138">
        <f>'Acct Summary 7-8'!C8</f>
        <v>7912384</v>
      </c>
      <c r="C2555" s="2" t="s">
        <v>594</v>
      </c>
      <c r="D2555" s="2" t="str">
        <f t="shared" si="38"/>
        <v>Error?</v>
      </c>
    </row>
    <row r="2556" spans="1:4" x14ac:dyDescent="0.2">
      <c r="A2556" s="5">
        <v>2495</v>
      </c>
      <c r="B2556" s="138">
        <f>'Acct Summary 7-8'!C12</f>
        <v>4806784</v>
      </c>
      <c r="C2556" s="2" t="s">
        <v>594</v>
      </c>
      <c r="D2556" s="2" t="str">
        <f t="shared" si="38"/>
        <v>Error?</v>
      </c>
    </row>
    <row r="2557" spans="1:4" x14ac:dyDescent="0.2">
      <c r="A2557" s="5">
        <v>2496</v>
      </c>
      <c r="B2557" s="138">
        <f>'Acct Summary 7-8'!C13</f>
        <v>2142387</v>
      </c>
      <c r="C2557" s="2" t="s">
        <v>594</v>
      </c>
      <c r="D2557" s="2" t="str">
        <f t="shared" si="38"/>
        <v>Error?</v>
      </c>
    </row>
    <row r="2558" spans="1:4" x14ac:dyDescent="0.2">
      <c r="A2558" s="5">
        <v>2497</v>
      </c>
      <c r="B2558" s="138">
        <f>'Acct Summary 7-8'!C14</f>
        <v>13015</v>
      </c>
      <c r="C2558" s="2" t="s">
        <v>594</v>
      </c>
      <c r="D2558" s="2" t="str">
        <f t="shared" si="38"/>
        <v>Error?</v>
      </c>
    </row>
    <row r="2559" spans="1:4" x14ac:dyDescent="0.2">
      <c r="A2559" s="5">
        <v>2498</v>
      </c>
      <c r="B2559" s="138">
        <f>'Acct Summary 7-8'!C15</f>
        <v>576022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7538208</v>
      </c>
      <c r="C2561" s="2" t="s">
        <v>594</v>
      </c>
      <c r="D2561" s="2" t="str">
        <f t="shared" si="39"/>
        <v>Error?</v>
      </c>
    </row>
    <row r="2562" spans="1:4" x14ac:dyDescent="0.2">
      <c r="A2562" s="5">
        <v>2501</v>
      </c>
      <c r="B2562" s="138">
        <f>'Acct Summary 7-8'!C20</f>
        <v>374176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806472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806472</v>
      </c>
      <c r="C2568" s="2" t="s">
        <v>594</v>
      </c>
      <c r="D2568" s="2" t="str">
        <f t="shared" si="39"/>
        <v>Error?</v>
      </c>
    </row>
    <row r="2569" spans="1:4" x14ac:dyDescent="0.2">
      <c r="A2569" s="5">
        <v>2508</v>
      </c>
      <c r="B2569" s="138">
        <f>'Acct Summary 7-8'!D13</f>
        <v>774479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774479</v>
      </c>
      <c r="C2573" s="2" t="s">
        <v>594</v>
      </c>
      <c r="D2573" s="2" t="str">
        <f t="shared" si="39"/>
        <v>Error?</v>
      </c>
    </row>
    <row r="2574" spans="1:4" x14ac:dyDescent="0.2">
      <c r="A2574" s="5">
        <v>2513</v>
      </c>
      <c r="B2574" s="138">
        <f>'Acct Summary 7-8'!D20</f>
        <v>31993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81185</v>
      </c>
      <c r="C2591" s="2" t="s">
        <v>594</v>
      </c>
      <c r="D2591" s="2" t="str">
        <f t="shared" si="39"/>
        <v>Error?</v>
      </c>
    </row>
    <row r="2592" spans="1:4" x14ac:dyDescent="0.2">
      <c r="A2592" s="10">
        <v>2531</v>
      </c>
      <c r="D2592" s="2" t="str">
        <f t="shared" si="39"/>
        <v>OK</v>
      </c>
    </row>
    <row r="2593" spans="1:4" x14ac:dyDescent="0.2">
      <c r="A2593" s="5">
        <v>2532</v>
      </c>
      <c r="B2593" s="138">
        <f>'Acct Summary 7-8'!F6</f>
        <v>413134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494319</v>
      </c>
      <c r="C2595" s="2" t="s">
        <v>594</v>
      </c>
      <c r="D2595" s="2" t="str">
        <f t="shared" si="39"/>
        <v>Error?</v>
      </c>
    </row>
    <row r="2596" spans="1:4" x14ac:dyDescent="0.2">
      <c r="A2596" s="5">
        <v>2535</v>
      </c>
      <c r="B2596" s="138">
        <f>'Acct Summary 7-8'!F13</f>
        <v>575439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575439</v>
      </c>
      <c r="C2600" s="2" t="s">
        <v>594</v>
      </c>
      <c r="D2600" s="2" t="str">
        <f t="shared" si="39"/>
        <v>Error?</v>
      </c>
    </row>
    <row r="2601" spans="1:4" x14ac:dyDescent="0.2">
      <c r="A2601" s="5">
        <v>2540</v>
      </c>
      <c r="B2601" s="138">
        <f>'Acct Summary 7-8'!F20</f>
        <v>-81120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258174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258174</v>
      </c>
      <c r="C2606" s="2" t="s">
        <v>594</v>
      </c>
      <c r="D2606" s="2" t="str">
        <f t="shared" si="39"/>
        <v>Error?</v>
      </c>
    </row>
    <row r="2607" spans="1:4" x14ac:dyDescent="0.2">
      <c r="A2607" s="5">
        <v>2546</v>
      </c>
      <c r="B2607" s="138">
        <f>'Acct Summary 7-8'!G12</f>
        <v>117790</v>
      </c>
      <c r="C2607" s="2" t="s">
        <v>594</v>
      </c>
      <c r="D2607" s="2" t="str">
        <f t="shared" si="39"/>
        <v>Error?</v>
      </c>
    </row>
    <row r="2608" spans="1:4" x14ac:dyDescent="0.2">
      <c r="A2608" s="5">
        <v>2547</v>
      </c>
      <c r="B2608" s="138">
        <f>'Acct Summary 7-8'!G13</f>
        <v>179590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297380</v>
      </c>
      <c r="C2612" s="2" t="s">
        <v>594</v>
      </c>
      <c r="D2612" s="2" t="str">
        <f t="shared" si="39"/>
        <v>Error?</v>
      </c>
    </row>
    <row r="2613" spans="1:4" x14ac:dyDescent="0.2">
      <c r="A2613" s="5">
        <v>2552</v>
      </c>
      <c r="B2613" s="138">
        <f>'Acct Summary 7-8'!G20</f>
        <v>-39206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787435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787435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1062525</v>
      </c>
      <c r="C2634" s="2" t="s">
        <v>594</v>
      </c>
      <c r="D2634" s="2" t="str">
        <f t="shared" si="40"/>
        <v>Error?</v>
      </c>
    </row>
    <row r="2635" spans="1:4" x14ac:dyDescent="0.2">
      <c r="A2635" s="5">
        <v>2574</v>
      </c>
      <c r="B2635" s="138">
        <f>'Acct Summary 7-8'!E17</f>
        <v>1062525</v>
      </c>
      <c r="C2635" s="2" t="s">
        <v>594</v>
      </c>
      <c r="D2635" s="2" t="str">
        <f t="shared" si="40"/>
        <v>Error?</v>
      </c>
    </row>
    <row r="2636" spans="1:4" x14ac:dyDescent="0.2">
      <c r="A2636" s="5">
        <v>2575</v>
      </c>
      <c r="B2636" s="138">
        <f>'Acct Summary 7-8'!E20</f>
        <v>-275090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559119</v>
      </c>
      <c r="C2789" s="2" t="s">
        <v>594</v>
      </c>
      <c r="D2789" s="2" t="str">
        <f t="shared" si="42"/>
        <v>Error?</v>
      </c>
    </row>
    <row r="2790" spans="1:4" x14ac:dyDescent="0.2">
      <c r="A2790" s="5">
        <v>2729</v>
      </c>
      <c r="B2790" s="138">
        <f>'Expenditures 15-22'!E102</f>
        <v>559119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185521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121523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185521</v>
      </c>
      <c r="D2912" s="2" t="str">
        <f t="shared" si="44"/>
        <v>Error?</v>
      </c>
    </row>
    <row r="2913" spans="1:4" x14ac:dyDescent="0.2">
      <c r="A2913" s="5">
        <v>2852</v>
      </c>
      <c r="B2913" s="138">
        <f>'Assets-Liab 5-6'!I41</f>
        <v>185521</v>
      </c>
      <c r="C2913" s="2" t="s">
        <v>594</v>
      </c>
      <c r="D2913" s="2" t="str">
        <f t="shared" si="44"/>
        <v>Error?</v>
      </c>
    </row>
    <row r="2914" spans="1:4" x14ac:dyDescent="0.2">
      <c r="A2914" s="5">
        <v>2853</v>
      </c>
      <c r="B2914" s="138">
        <f>'Assets-Liab 5-6'!L33</f>
        <v>121523</v>
      </c>
      <c r="D2914" s="2" t="str">
        <f t="shared" si="44"/>
        <v>Error?</v>
      </c>
    </row>
    <row r="2915" spans="1:4" x14ac:dyDescent="0.2">
      <c r="A2915" s="10">
        <v>2854</v>
      </c>
      <c r="D2915" s="2" t="str">
        <f t="shared" si="44"/>
        <v>OK</v>
      </c>
    </row>
    <row r="2916" spans="1:4" x14ac:dyDescent="0.2">
      <c r="A2916" s="5">
        <v>2855</v>
      </c>
      <c r="B2916" s="138">
        <f>'Assets-Liab 5-6'!L34</f>
        <v>121523</v>
      </c>
      <c r="C2916" s="2" t="s">
        <v>594</v>
      </c>
      <c r="D2916" s="2" t="str">
        <f t="shared" si="44"/>
        <v>Error?</v>
      </c>
    </row>
    <row r="2917" spans="1:4" x14ac:dyDescent="0.2">
      <c r="A2917" s="5">
        <v>2856</v>
      </c>
      <c r="B2917" s="138">
        <f>'Assets-Liab 5-6'!L41</f>
        <v>121523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557801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1318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16903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557801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18221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146386</v>
      </c>
      <c r="D3055" s="2" t="str">
        <f t="shared" si="46"/>
        <v>Error?</v>
      </c>
    </row>
    <row r="3056" spans="1:4" x14ac:dyDescent="0.2">
      <c r="A3056" s="5">
        <v>2995</v>
      </c>
      <c r="B3056" s="138">
        <f>'Expenditures 15-22'!D10</f>
        <v>35681</v>
      </c>
      <c r="D3056" s="2" t="str">
        <f t="shared" si="46"/>
        <v>Error?</v>
      </c>
    </row>
    <row r="3057" spans="1:4" x14ac:dyDescent="0.2">
      <c r="A3057" s="5">
        <v>2996</v>
      </c>
      <c r="B3057" s="138">
        <f>'Expenditures 15-22'!E10</f>
        <v>175</v>
      </c>
      <c r="D3057" s="2" t="str">
        <f t="shared" si="46"/>
        <v>Error?</v>
      </c>
    </row>
    <row r="3058" spans="1:4" x14ac:dyDescent="0.2">
      <c r="A3058" s="5">
        <v>2997</v>
      </c>
      <c r="B3058" s="138">
        <f>'Expenditures 15-22'!F10</f>
        <v>519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182761</v>
      </c>
      <c r="C3062" s="2" t="s">
        <v>594</v>
      </c>
      <c r="D3062" s="2" t="str">
        <f t="shared" si="46"/>
        <v>Error?</v>
      </c>
    </row>
    <row r="3063" spans="1:4" x14ac:dyDescent="0.2">
      <c r="A3063" s="10">
        <v>3002</v>
      </c>
      <c r="D3063" s="2" t="str">
        <f t="shared" si="46"/>
        <v>OK</v>
      </c>
    </row>
    <row r="3064" spans="1:4" x14ac:dyDescent="0.2">
      <c r="A3064" s="5">
        <v>3003</v>
      </c>
      <c r="B3064" s="138">
        <f>'Expenditures 15-22'!D219</f>
        <v>8506</v>
      </c>
      <c r="D3064" s="2" t="str">
        <f t="shared" si="46"/>
        <v>Error?</v>
      </c>
    </row>
    <row r="3065" spans="1:4" x14ac:dyDescent="0.2">
      <c r="A3065" s="5">
        <v>3004</v>
      </c>
      <c r="B3065" s="138">
        <f>'Expenditures 15-22'!K219</f>
        <v>8506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265000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3054</v>
      </c>
      <c r="C3225" s="2" t="s">
        <v>594</v>
      </c>
      <c r="D3225" s="2" t="str">
        <f t="shared" si="49"/>
        <v>Error?</v>
      </c>
    </row>
    <row r="3226" spans="1:4" x14ac:dyDescent="0.2">
      <c r="A3226" s="5">
        <v>3165</v>
      </c>
      <c r="B3226" s="138">
        <f>'Acct Summary 7-8'!I8</f>
        <v>3054</v>
      </c>
      <c r="C3226" s="2" t="s">
        <v>594</v>
      </c>
      <c r="D3226" s="2" t="str">
        <f t="shared" si="49"/>
        <v>Error?</v>
      </c>
    </row>
    <row r="3227" spans="1:4" x14ac:dyDescent="0.2">
      <c r="A3227" s="5">
        <v>3166</v>
      </c>
      <c r="B3227" s="138">
        <f>'Acct Summary 7-8'!I20</f>
        <v>3054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374176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31993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-81120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-39206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-252625</v>
      </c>
      <c r="D3273" s="2" t="str">
        <f t="shared" si="50"/>
        <v>Error?</v>
      </c>
    </row>
    <row r="3274" spans="1:4" x14ac:dyDescent="0.2">
      <c r="A3274" s="5">
        <v>3213</v>
      </c>
      <c r="B3274" s="138">
        <f>'Acct Summary 7-8'!E44</f>
        <v>12375</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12375</v>
      </c>
      <c r="C3277" s="2" t="s">
        <v>594</v>
      </c>
      <c r="D3277" s="2" t="str">
        <f t="shared" si="50"/>
        <v>Error?</v>
      </c>
    </row>
    <row r="3278" spans="1:4" x14ac:dyDescent="0.2">
      <c r="A3278" s="5">
        <v>3217</v>
      </c>
      <c r="B3278" s="138">
        <f>'Acct Summary 7-8'!E78</f>
        <v>-262715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3054</v>
      </c>
      <c r="C3320" s="2" t="s">
        <v>594</v>
      </c>
      <c r="D3320" s="2" t="str">
        <f t="shared" si="50"/>
        <v>Error?</v>
      </c>
    </row>
    <row r="3321" spans="1:4" x14ac:dyDescent="0.2">
      <c r="A3321" s="5">
        <v>3260</v>
      </c>
      <c r="B3321" s="138">
        <f>'Acct Summary 7-8'!I79</f>
        <v>182467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185521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1002477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154091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32053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14747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26263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1229631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40892</v>
      </c>
      <c r="D3387" s="2" t="str">
        <f t="shared" si="51"/>
        <v>Error?</v>
      </c>
    </row>
    <row r="3388" spans="1:4" x14ac:dyDescent="0.2">
      <c r="A3388" s="5">
        <v>3327</v>
      </c>
      <c r="B3388" s="138">
        <f>'Expenditures 15-22'!D217</f>
        <v>63351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40892</v>
      </c>
      <c r="C3390" s="2" t="s">
        <v>594</v>
      </c>
      <c r="D3390" s="2" t="str">
        <f t="shared" si="51"/>
        <v>Error?</v>
      </c>
    </row>
    <row r="3391" spans="1:4" x14ac:dyDescent="0.2">
      <c r="A3391" s="5">
        <v>3330</v>
      </c>
      <c r="B3391" s="138">
        <f>'Expenditures 15-22'!K217</f>
        <v>63351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931919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158872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625249</v>
      </c>
      <c r="D3417" s="2" t="str">
        <f t="shared" si="52"/>
        <v>Error?</v>
      </c>
    </row>
    <row r="3418" spans="1:4" x14ac:dyDescent="0.2">
      <c r="A3418" s="10">
        <v>3357</v>
      </c>
      <c r="D3418" s="2" t="str">
        <f t="shared" si="52"/>
        <v>OK</v>
      </c>
    </row>
    <row r="3419" spans="1:4" x14ac:dyDescent="0.2">
      <c r="A3419" s="5">
        <v>3358</v>
      </c>
      <c r="B3419" s="138">
        <f>'Assets-Liab 5-6'!F4</f>
        <v>861891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174169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135521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121523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123950</v>
      </c>
      <c r="C3446" s="2" t="s">
        <v>594</v>
      </c>
      <c r="D3446" s="2" t="str">
        <f t="shared" si="52"/>
        <v>Error?</v>
      </c>
    </row>
    <row r="3447" spans="1:4" x14ac:dyDescent="0.2">
      <c r="A3447" s="5">
        <v>3386</v>
      </c>
      <c r="B3447" s="138">
        <f>'Tax Sched 23'!D16</f>
        <v>59425</v>
      </c>
      <c r="C3447" s="2" t="s">
        <v>594</v>
      </c>
      <c r="D3447" s="2" t="str">
        <f t="shared" si="52"/>
        <v>Error?</v>
      </c>
    </row>
    <row r="3448" spans="1:4" x14ac:dyDescent="0.2">
      <c r="A3448" s="5">
        <v>3387</v>
      </c>
      <c r="B3448" s="138">
        <f>'Tax Sched 23'!C16</f>
        <v>64525</v>
      </c>
      <c r="D3448" s="2" t="str">
        <f t="shared" si="52"/>
        <v>Error?</v>
      </c>
    </row>
    <row r="3449" spans="1:4" x14ac:dyDescent="0.2">
      <c r="A3449" s="5">
        <v>3388</v>
      </c>
      <c r="B3449" s="138">
        <f>'Tax Sched 23'!F16</f>
        <v>57475</v>
      </c>
      <c r="C3449" s="2" t="s">
        <v>594</v>
      </c>
      <c r="D3449" s="2" t="str">
        <f t="shared" si="52"/>
        <v>Error?</v>
      </c>
    </row>
    <row r="3450" spans="1:4" x14ac:dyDescent="0.2">
      <c r="A3450" s="5">
        <v>3389</v>
      </c>
      <c r="B3450" s="138">
        <f>'Tax Sched 23'!E16</f>
        <v>122000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279159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11943</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5585</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6358</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5386</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11744</v>
      </c>
      <c r="D4111" s="2" t="str">
        <f t="shared" si="63"/>
        <v>Error?</v>
      </c>
    </row>
    <row r="4112" spans="1:4" x14ac:dyDescent="0.2">
      <c r="A4112" s="10">
        <v>4051</v>
      </c>
      <c r="D4112" s="2" t="str">
        <f t="shared" si="63"/>
        <v>OK</v>
      </c>
    </row>
    <row r="4113" spans="1:4" x14ac:dyDescent="0.2">
      <c r="A4113" s="5">
        <v>4052</v>
      </c>
      <c r="B4113" s="138">
        <f>'Acct Summary 7-8'!C9</f>
        <v>3037428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10949812</v>
      </c>
      <c r="C4122" s="2" t="s">
        <v>594</v>
      </c>
      <c r="D4122" s="2" t="str">
        <f t="shared" si="63"/>
        <v>Error?</v>
      </c>
    </row>
    <row r="4123" spans="1:4" x14ac:dyDescent="0.2">
      <c r="A4123" s="5">
        <v>4062</v>
      </c>
      <c r="B4123" s="138">
        <f>'Acct Summary 7-8'!D10</f>
        <v>806472</v>
      </c>
      <c r="C4123" s="2" t="s">
        <v>594</v>
      </c>
      <c r="D4123" s="2" t="str">
        <f t="shared" si="63"/>
        <v>Error?</v>
      </c>
    </row>
    <row r="4124" spans="1:4" x14ac:dyDescent="0.2">
      <c r="A4124" s="5">
        <v>4063</v>
      </c>
      <c r="B4124" s="138">
        <f>'Acct Summary 7-8'!E10</f>
        <v>787435</v>
      </c>
      <c r="C4124" s="2" t="s">
        <v>594</v>
      </c>
      <c r="D4124" s="2" t="str">
        <f t="shared" si="63"/>
        <v>Error?</v>
      </c>
    </row>
    <row r="4125" spans="1:4" x14ac:dyDescent="0.2">
      <c r="A4125" s="5">
        <v>4064</v>
      </c>
      <c r="B4125" s="138">
        <f>'Acct Summary 7-8'!F10</f>
        <v>494319</v>
      </c>
      <c r="C4125" s="2" t="s">
        <v>594</v>
      </c>
      <c r="D4125" s="2" t="str">
        <f t="shared" si="63"/>
        <v>Error?</v>
      </c>
    </row>
    <row r="4126" spans="1:4" x14ac:dyDescent="0.2">
      <c r="A4126" s="5">
        <v>4065</v>
      </c>
      <c r="B4126" s="138">
        <f>'Acct Summary 7-8'!G10</f>
        <v>258174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3037428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10575636</v>
      </c>
      <c r="C4136" s="2" t="s">
        <v>594</v>
      </c>
      <c r="D4136" s="2" t="str">
        <f t="shared" si="63"/>
        <v>Error?</v>
      </c>
    </row>
    <row r="4137" spans="1:4" x14ac:dyDescent="0.2">
      <c r="A4137" s="5">
        <v>4076</v>
      </c>
      <c r="B4137" s="138">
        <f>'Acct Summary 7-8'!D19</f>
        <v>774479</v>
      </c>
      <c r="C4137" s="2" t="s">
        <v>594</v>
      </c>
      <c r="D4137" s="2" t="str">
        <f t="shared" si="63"/>
        <v>Error?</v>
      </c>
    </row>
    <row r="4138" spans="1:4" x14ac:dyDescent="0.2">
      <c r="A4138" s="5">
        <v>4077</v>
      </c>
      <c r="B4138" s="138">
        <f>'Acct Summary 7-8'!E19</f>
        <v>1062525</v>
      </c>
      <c r="C4138" s="2" t="s">
        <v>594</v>
      </c>
      <c r="D4138" s="2" t="str">
        <f t="shared" si="63"/>
        <v>Error?</v>
      </c>
    </row>
    <row r="4139" spans="1:4" x14ac:dyDescent="0.2">
      <c r="A4139" s="5">
        <v>4078</v>
      </c>
      <c r="B4139" s="138">
        <f>'Acct Summary 7-8'!F19</f>
        <v>575439</v>
      </c>
      <c r="C4139" s="2" t="s">
        <v>594</v>
      </c>
      <c r="D4139" s="2" t="str">
        <f t="shared" si="63"/>
        <v>Error?</v>
      </c>
    </row>
    <row r="4140" spans="1:4" x14ac:dyDescent="0.2">
      <c r="A4140" s="5">
        <v>4079</v>
      </c>
      <c r="B4140" s="138">
        <f>'Acct Summary 7-8'!G19</f>
        <v>297380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495000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1260000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6841.9999999999991</v>
      </c>
      <c r="C4265" s="2" t="s">
        <v>594</v>
      </c>
      <c r="D4265" s="2" t="str">
        <f t="shared" si="65"/>
        <v>Error?</v>
      </c>
      <c r="E4265" s="128"/>
    </row>
    <row r="4266" spans="1:5" x14ac:dyDescent="0.2">
      <c r="A4266" s="12">
        <v>4205</v>
      </c>
      <c r="B4266" s="138">
        <f>('FP Info 3'!F10)*100000</f>
        <v>451.4</v>
      </c>
      <c r="C4266" s="2" t="s">
        <v>594</v>
      </c>
      <c r="D4266" s="2" t="str">
        <f t="shared" si="65"/>
        <v>Error?</v>
      </c>
      <c r="E4266" s="128"/>
    </row>
    <row r="4267" spans="1:5" x14ac:dyDescent="0.2">
      <c r="A4267" s="12">
        <v>4206</v>
      </c>
      <c r="B4267" s="138">
        <f>('FP Info 3'!H10)*100000</f>
        <v>41.4</v>
      </c>
      <c r="C4267" s="2" t="s">
        <v>594</v>
      </c>
      <c r="D4267" s="2" t="str">
        <f t="shared" si="65"/>
        <v>Error?</v>
      </c>
      <c r="E4267" s="128"/>
    </row>
    <row r="4268" spans="1:5" x14ac:dyDescent="0.2">
      <c r="A4268" s="12">
        <v>4207</v>
      </c>
      <c r="B4268" s="138">
        <f>('FP Info 3'!J10)*100000</f>
        <v>7335</v>
      </c>
      <c r="C4268" s="2" t="s">
        <v>594</v>
      </c>
      <c r="D4268" s="2" t="str">
        <f t="shared" si="65"/>
        <v>Error?</v>
      </c>
    </row>
    <row r="4269" spans="1:5" x14ac:dyDescent="0.2">
      <c r="A4269" s="12">
        <v>4208</v>
      </c>
      <c r="B4269" s="138">
        <f>'FP Info 3'!J16</f>
        <v>2080955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26089</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33659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3550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39397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7913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165233809</v>
      </c>
      <c r="D4995" s="2" t="str">
        <f t="shared" si="77"/>
        <v>Error?</v>
      </c>
    </row>
    <row r="4996" spans="1:4" x14ac:dyDescent="0.2">
      <c r="A4996" s="12">
        <v>4935</v>
      </c>
      <c r="B4996" s="138">
        <f>'FP Info 3'!H31</f>
        <v>11401132.821</v>
      </c>
      <c r="D4996" s="2" t="str">
        <f t="shared" si="77"/>
        <v>Error?</v>
      </c>
    </row>
    <row r="4997" spans="1:4" x14ac:dyDescent="0.2">
      <c r="A4997" s="12">
        <v>4936</v>
      </c>
      <c r="B4997" s="138">
        <f>'FP Info 3'!H37</f>
        <v>495000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4479055</v>
      </c>
      <c r="D5061" s="2" t="str">
        <f t="shared" si="78"/>
        <v>Error?</v>
      </c>
    </row>
    <row r="5062" spans="1:4" x14ac:dyDescent="0.2">
      <c r="A5062" s="10">
        <v>5001</v>
      </c>
      <c r="D5062" s="2" t="str">
        <f t="shared" si="78"/>
        <v>OK</v>
      </c>
    </row>
    <row r="5063" spans="1:4" x14ac:dyDescent="0.2">
      <c r="A5063" s="5">
        <v>5002</v>
      </c>
      <c r="B5063" s="138">
        <f>'Revenues 9-14'!C7</f>
        <v>22073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4501128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26105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26105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13050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13050</v>
      </c>
      <c r="C5087" s="2" t="s">
        <v>594</v>
      </c>
      <c r="D5087" s="2" t="str">
        <f t="shared" si="78"/>
        <v>Error?</v>
      </c>
    </row>
    <row r="5088" spans="1:4" x14ac:dyDescent="0.2">
      <c r="A5088" s="5">
        <v>5027</v>
      </c>
      <c r="B5088" s="138">
        <f>'Revenues 9-14'!C65</f>
        <v>23291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23291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4916</v>
      </c>
      <c r="D5095" s="2" t="str">
        <f t="shared" si="78"/>
        <v>Error?</v>
      </c>
    </row>
    <row r="5096" spans="1:4" x14ac:dyDescent="0.2">
      <c r="A5096" s="5">
        <v>5035</v>
      </c>
      <c r="B5096" s="138">
        <f>'Revenues 9-14'!C75</f>
        <v>81920</v>
      </c>
      <c r="C5096" s="2" t="s">
        <v>594</v>
      </c>
      <c r="D5096" s="2" t="str">
        <f t="shared" si="78"/>
        <v>Error?</v>
      </c>
    </row>
    <row r="5097" spans="1:4" x14ac:dyDescent="0.2">
      <c r="A5097" s="5">
        <v>5036</v>
      </c>
      <c r="B5097" s="138">
        <f>'Revenues 9-14'!C77</f>
        <v>2971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8797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11768</v>
      </c>
      <c r="C5102" s="2" t="s">
        <v>594</v>
      </c>
      <c r="D5102" s="2" t="str">
        <f t="shared" si="78"/>
        <v>Error?</v>
      </c>
    </row>
    <row r="5103" spans="1:4" x14ac:dyDescent="0.2">
      <c r="A5103" s="5">
        <v>5042</v>
      </c>
      <c r="B5103" s="138">
        <f>'Revenues 9-14'!C84</f>
        <v>76473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76473</v>
      </c>
      <c r="C5112" s="2" t="s">
        <v>594</v>
      </c>
      <c r="D5112" s="2" t="str">
        <f t="shared" si="78"/>
        <v>Error?</v>
      </c>
    </row>
    <row r="5113" spans="1:4" x14ac:dyDescent="0.2">
      <c r="A5113" s="5">
        <v>5052</v>
      </c>
      <c r="B5113" s="138">
        <f>'Revenues 9-14'!C95</f>
        <v>650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9055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9001</v>
      </c>
      <c r="D5119" s="2" t="str">
        <f t="shared" ref="D5119:D5182" si="79">IF(ISBLANK(B5119),"OK",IF(A5119-B5119=0,"OK","Error?"))</f>
        <v>Error?</v>
      </c>
    </row>
    <row r="5120" spans="1:4" x14ac:dyDescent="0.2">
      <c r="A5120" s="5">
        <v>5059</v>
      </c>
      <c r="B5120" s="138">
        <f>'Revenues 9-14'!C108</f>
        <v>81970</v>
      </c>
      <c r="C5120" s="2" t="s">
        <v>594</v>
      </c>
      <c r="D5120" s="2" t="str">
        <f t="shared" si="79"/>
        <v>Error?</v>
      </c>
    </row>
    <row r="5121" spans="1:4" x14ac:dyDescent="0.2">
      <c r="A5121" s="5">
        <v>5060</v>
      </c>
      <c r="B5121" s="138">
        <f>'Revenues 9-14'!C109</f>
        <v>4815705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2095081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2095081</v>
      </c>
      <c r="C5132" s="2" t="s">
        <v>594</v>
      </c>
      <c r="D5132" s="2" t="str">
        <f t="shared" si="79"/>
        <v>Error?</v>
      </c>
    </row>
    <row r="5133" spans="1:4" x14ac:dyDescent="0.2">
      <c r="A5133" s="5">
        <v>5072</v>
      </c>
      <c r="B5133" s="138">
        <f>'Revenues 9-14'!C124</f>
        <v>35083</v>
      </c>
      <c r="D5133" s="2" t="str">
        <f t="shared" si="79"/>
        <v>Error?</v>
      </c>
    </row>
    <row r="5134" spans="1:4" x14ac:dyDescent="0.2">
      <c r="A5134" s="5">
        <v>5073</v>
      </c>
      <c r="B5134" s="138">
        <f>'Revenues 9-14'!C125</f>
        <v>55181</v>
      </c>
      <c r="D5134" s="2" t="str">
        <f t="shared" si="79"/>
        <v>Error?</v>
      </c>
    </row>
    <row r="5135" spans="1:4" x14ac:dyDescent="0.2">
      <c r="A5135" s="5">
        <v>5074</v>
      </c>
      <c r="B5135" s="138">
        <f>'Revenues 9-14'!C126</f>
        <v>95403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185667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3262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234189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431031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2526112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211797</v>
      </c>
      <c r="D5239" s="2" t="str">
        <f t="shared" si="80"/>
        <v>Error?</v>
      </c>
    </row>
    <row r="5240" spans="1:4" x14ac:dyDescent="0.2">
      <c r="A5240" s="5">
        <v>5179</v>
      </c>
      <c r="B5240" s="138">
        <f>'Revenues 9-14'!C195</f>
        <v>1977</v>
      </c>
      <c r="D5240" s="2" t="str">
        <f t="shared" si="80"/>
        <v>Error?</v>
      </c>
    </row>
    <row r="5241" spans="1:4" x14ac:dyDescent="0.2">
      <c r="A5241" s="5">
        <v>5180</v>
      </c>
      <c r="B5241" s="138">
        <f>'Revenues 9-14'!C196</f>
        <v>51757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291620</v>
      </c>
      <c r="C5246" s="2" t="s">
        <v>594</v>
      </c>
      <c r="D5246" s="2" t="str">
        <f t="shared" si="80"/>
        <v>Error?</v>
      </c>
    </row>
    <row r="5247" spans="1:4" x14ac:dyDescent="0.2">
      <c r="A5247" s="5">
        <v>5186</v>
      </c>
      <c r="B5247" s="138">
        <f>'Revenues 9-14'!C203</f>
        <v>86948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3550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86948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7457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107936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115393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570567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570567</v>
      </c>
      <c r="C5326" s="2" t="s">
        <v>594</v>
      </c>
      <c r="D5326" s="2" t="str">
        <f t="shared" si="82"/>
        <v>Error?</v>
      </c>
    </row>
    <row r="5327" spans="1:4" x14ac:dyDescent="0.2">
      <c r="A5327" s="5">
        <v>5266</v>
      </c>
      <c r="B5327" s="138">
        <f>'Revenues 9-14'!C275</f>
        <v>7912384</v>
      </c>
      <c r="C5327" s="2" t="s">
        <v>594</v>
      </c>
      <c r="D5327" s="2" t="str">
        <f t="shared" si="82"/>
        <v>Error?</v>
      </c>
    </row>
    <row r="5328" spans="1:4" x14ac:dyDescent="0.2">
      <c r="A5328" s="5">
        <v>5267</v>
      </c>
      <c r="B5328" s="138">
        <f>'Revenues 9-14'!D5</f>
        <v>799186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799186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7286</v>
      </c>
      <c r="D5354" s="2" t="str">
        <f t="shared" si="82"/>
        <v>Error?</v>
      </c>
    </row>
    <row r="5355" spans="1:4" x14ac:dyDescent="0.2">
      <c r="A5355" s="5">
        <v>5294</v>
      </c>
      <c r="B5355" s="138">
        <f>'Revenues 9-14'!D108</f>
        <v>7286</v>
      </c>
      <c r="C5355" s="2" t="s">
        <v>594</v>
      </c>
      <c r="D5355" s="2" t="str">
        <f t="shared" si="82"/>
        <v>Error?</v>
      </c>
    </row>
    <row r="5356" spans="1:4" x14ac:dyDescent="0.2">
      <c r="A5356" s="5">
        <v>5295</v>
      </c>
      <c r="B5356" s="138">
        <f>'Revenues 9-14'!D109</f>
        <v>806472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806472</v>
      </c>
      <c r="C5508" s="2" t="s">
        <v>594</v>
      </c>
      <c r="D5508" s="2" t="str">
        <f t="shared" si="85"/>
        <v>Error?</v>
      </c>
    </row>
    <row r="5509" spans="1:4" x14ac:dyDescent="0.2">
      <c r="A5509" s="5">
        <v>5448</v>
      </c>
      <c r="B5509" s="138">
        <f>'Revenues 9-14'!E5</f>
        <v>787435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787435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787435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787435</v>
      </c>
      <c r="C5552" s="2" t="s">
        <v>594</v>
      </c>
      <c r="D5552" s="2" t="str">
        <f t="shared" si="85"/>
        <v>Error?</v>
      </c>
    </row>
    <row r="5553" spans="1:4" x14ac:dyDescent="0.2">
      <c r="A5553" s="5">
        <v>5492</v>
      </c>
      <c r="B5553" s="138">
        <f>'Revenues 9-14'!F5</f>
        <v>79034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79034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2151</v>
      </c>
      <c r="D5586" s="2" t="str">
        <f t="shared" si="86"/>
        <v>Error?</v>
      </c>
    </row>
    <row r="5587" spans="1:4" x14ac:dyDescent="0.2">
      <c r="A5587" s="5">
        <v>5526</v>
      </c>
      <c r="B5587" s="138">
        <f>'Revenues 9-14'!F108</f>
        <v>2151</v>
      </c>
      <c r="C5587" s="2" t="s">
        <v>594</v>
      </c>
      <c r="D5587" s="2" t="str">
        <f t="shared" si="86"/>
        <v>Error?</v>
      </c>
    </row>
    <row r="5588" spans="1:4" x14ac:dyDescent="0.2">
      <c r="A5588" s="5">
        <v>5527</v>
      </c>
      <c r="B5588" s="138">
        <f>'Revenues 9-14'!F109</f>
        <v>81185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160277</v>
      </c>
      <c r="D5615" s="2" t="str">
        <f t="shared" si="86"/>
        <v>Error?</v>
      </c>
    </row>
    <row r="5616" spans="1:4" x14ac:dyDescent="0.2">
      <c r="A5616" s="10">
        <v>5555</v>
      </c>
      <c r="D5616" s="2" t="str">
        <f t="shared" si="86"/>
        <v>OK</v>
      </c>
    </row>
    <row r="5617" spans="1:4" x14ac:dyDescent="0.2">
      <c r="A5617" s="5">
        <v>5556</v>
      </c>
      <c r="B5617" s="138">
        <f>'Revenues 9-14'!F152</f>
        <v>252857</v>
      </c>
      <c r="D5617" s="2" t="str">
        <f t="shared" si="86"/>
        <v>Error?</v>
      </c>
    </row>
    <row r="5618" spans="1:4" x14ac:dyDescent="0.2">
      <c r="A5618" s="5">
        <v>5557</v>
      </c>
      <c r="B5618" s="138">
        <f>'Revenues 9-14'!F154</f>
        <v>413134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413134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413134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494319</v>
      </c>
      <c r="C5720" s="2" t="s">
        <v>594</v>
      </c>
      <c r="D5720" s="2" t="str">
        <f t="shared" si="88"/>
        <v>Error?</v>
      </c>
    </row>
    <row r="5721" spans="1:4" x14ac:dyDescent="0.2">
      <c r="A5721" s="5">
        <v>5660</v>
      </c>
      <c r="B5721" s="138">
        <f>'Revenues 9-14'!G5</f>
        <v>117758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123950</v>
      </c>
      <c r="D5723" s="2" t="str">
        <f t="shared" si="88"/>
        <v>Error?</v>
      </c>
    </row>
    <row r="5724" spans="1:4" x14ac:dyDescent="0.2">
      <c r="A5724" s="5">
        <v>5663</v>
      </c>
      <c r="B5724" s="138">
        <f>'Revenues 9-14'!G11</f>
        <v>11943</v>
      </c>
      <c r="D5724" s="2" t="str">
        <f t="shared" si="88"/>
        <v>Error?</v>
      </c>
    </row>
    <row r="5725" spans="1:4" x14ac:dyDescent="0.2">
      <c r="A5725" s="5">
        <v>5664</v>
      </c>
      <c r="B5725" s="138">
        <f>'Revenues 9-14'!G12</f>
        <v>253651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4523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4523</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258174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3054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258174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77004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26089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740.42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50000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2949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50000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2949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2949</v>
      </c>
      <c r="D6216" s="2" t="str">
        <f t="shared" si="96"/>
        <v>Error?</v>
      </c>
      <c r="E6216" s="2" t="s">
        <v>199</v>
      </c>
    </row>
    <row r="6217" spans="1:5" x14ac:dyDescent="0.2">
      <c r="A6217">
        <v>6156</v>
      </c>
      <c r="B6217" s="138">
        <f>'Assets-Liab 5-6'!J4</f>
        <v>2949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42949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42949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42949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40000</v>
      </c>
      <c r="D6229" s="2" t="str">
        <f t="shared" si="96"/>
        <v>Error?</v>
      </c>
      <c r="E6229" s="2" t="s">
        <v>199</v>
      </c>
    </row>
    <row r="6230" spans="1:5" x14ac:dyDescent="0.2">
      <c r="A6230">
        <v>6169</v>
      </c>
      <c r="B6230" s="138">
        <f>'Acct Summary 7-8'!J20</f>
        <v>2949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2949</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2949</v>
      </c>
      <c r="D6266" s="2" t="str">
        <f t="shared" si="96"/>
        <v>Error?</v>
      </c>
      <c r="E6266" s="2" t="s">
        <v>199</v>
      </c>
    </row>
    <row r="6267" spans="1:5" x14ac:dyDescent="0.2">
      <c r="A6267">
        <v>6206</v>
      </c>
      <c r="B6267" s="138">
        <f>'Acct Summary 7-8'!C82</f>
        <v>374176</v>
      </c>
      <c r="D6267" s="2" t="str">
        <f t="shared" si="96"/>
        <v>Error?</v>
      </c>
      <c r="E6267" s="2" t="s">
        <v>199</v>
      </c>
    </row>
    <row r="6268" spans="1:5" x14ac:dyDescent="0.2">
      <c r="A6268">
        <v>6207</v>
      </c>
      <c r="B6268" s="138">
        <f>'Acct Summary 7-8'!D82</f>
        <v>31993</v>
      </c>
      <c r="D6268" s="2" t="str">
        <f t="shared" si="96"/>
        <v>Error?</v>
      </c>
      <c r="E6268" s="2" t="s">
        <v>199</v>
      </c>
    </row>
    <row r="6269" spans="1:5" x14ac:dyDescent="0.2">
      <c r="A6269">
        <v>6208</v>
      </c>
      <c r="B6269" s="138">
        <f>'Acct Summary 7-8'!E82</f>
        <v>-262715</v>
      </c>
      <c r="D6269" s="2" t="str">
        <f t="shared" si="96"/>
        <v>Error?</v>
      </c>
      <c r="E6269" s="2" t="s">
        <v>199</v>
      </c>
    </row>
    <row r="6270" spans="1:5" x14ac:dyDescent="0.2">
      <c r="A6270">
        <v>6209</v>
      </c>
      <c r="B6270" s="138">
        <f>'Acct Summary 7-8'!F82</f>
        <v>-81120</v>
      </c>
      <c r="D6270" s="2" t="str">
        <f t="shared" si="96"/>
        <v>Error?</v>
      </c>
      <c r="E6270" s="2" t="s">
        <v>199</v>
      </c>
    </row>
    <row r="6271" spans="1:5" x14ac:dyDescent="0.2">
      <c r="A6271">
        <v>6210</v>
      </c>
      <c r="B6271" s="138">
        <f>'Acct Summary 7-8'!G82</f>
        <v>-39206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3054</v>
      </c>
      <c r="D6273" s="2" t="str">
        <f t="shared" si="97"/>
        <v>Error?</v>
      </c>
      <c r="E6273" s="2" t="s">
        <v>199</v>
      </c>
    </row>
    <row r="6274" spans="1:5" x14ac:dyDescent="0.2">
      <c r="A6274">
        <v>6213</v>
      </c>
      <c r="B6274" s="138">
        <f>'Acct Summary 7-8'!J82</f>
        <v>2949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0.40447174245323197</v>
      </c>
      <c r="D6276" s="2" t="str">
        <f t="shared" si="97"/>
        <v>Error?</v>
      </c>
      <c r="E6276" s="2" t="s">
        <v>199</v>
      </c>
    </row>
    <row r="6277" spans="1:5" x14ac:dyDescent="0.2">
      <c r="A6277">
        <v>6216</v>
      </c>
      <c r="B6277" s="138">
        <f>'Acct Summary 7-8'!D83</f>
        <v>0.2947767038596556</v>
      </c>
      <c r="D6277" s="2" t="str">
        <f t="shared" si="97"/>
        <v>Error?</v>
      </c>
      <c r="E6277" s="2" t="s">
        <v>199</v>
      </c>
    </row>
    <row r="6278" spans="1:5" x14ac:dyDescent="0.2">
      <c r="A6278">
        <v>6217</v>
      </c>
      <c r="B6278" s="138">
        <f>'Acct Summary 7-8'!E83</f>
        <v>-0.42017660164190584</v>
      </c>
      <c r="D6278" s="2" t="str">
        <f t="shared" si="97"/>
        <v>Error?</v>
      </c>
      <c r="E6278" s="2" t="s">
        <v>199</v>
      </c>
    </row>
    <row r="6279" spans="1:5" x14ac:dyDescent="0.2">
      <c r="A6279">
        <v>6218</v>
      </c>
      <c r="B6279" s="138">
        <f>'Acct Summary 7-8'!F83</f>
        <v>-9.4128240444742009E-2</v>
      </c>
      <c r="D6279" s="2" t="str">
        <f t="shared" si="97"/>
        <v>Error?</v>
      </c>
      <c r="E6279" s="2" t="s">
        <v>199</v>
      </c>
    </row>
    <row r="6280" spans="1:5" x14ac:dyDescent="0.2">
      <c r="A6280">
        <v>6219</v>
      </c>
      <c r="B6280" s="138">
        <f>'Acct Summary 7-8'!G83</f>
        <v>-0.22518077755888552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1.6461748265694989E-2</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42949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42949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63264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42949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6350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6350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6350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6350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42949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40000</v>
      </c>
      <c r="D7224" s="2" t="str">
        <f t="shared" si="111"/>
        <v>Error?</v>
      </c>
    </row>
    <row r="7225" spans="1:4" x14ac:dyDescent="0.2">
      <c r="A7225">
        <v>7164</v>
      </c>
      <c r="B7225" s="138">
        <f>'Expenditures 15-22'!K343</f>
        <v>2949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6350</v>
      </c>
      <c r="D7624" s="2" t="str">
        <f t="shared" si="124"/>
        <v>Error?</v>
      </c>
      <c r="E7624" s="2" t="s">
        <v>19</v>
      </c>
    </row>
    <row r="7625" spans="1:5" x14ac:dyDescent="0.2">
      <c r="A7625">
        <f t="shared" si="123"/>
        <v>7564</v>
      </c>
      <c r="B7625" s="138">
        <f>'Cap Outlay Deprec 26'!I17</f>
        <v>635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276704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22073</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Gavin Sd 37</v>
      </c>
      <c r="B7" s="2401"/>
      <c r="C7" s="2401"/>
      <c r="D7" s="2438"/>
      <c r="E7" s="2439">
        <f>COVER!A13</f>
        <v>34049037002</v>
      </c>
      <c r="F7" s="2440"/>
      <c r="G7" s="2407" t="str">
        <f>COVER!T23</f>
        <v>060-003973</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Evans, Marshall and Pease, P.C.</v>
      </c>
      <c r="H9" s="2414"/>
      <c r="I9" s="2414"/>
      <c r="J9" s="2414"/>
      <c r="K9" s="2414"/>
      <c r="L9" s="2415"/>
    </row>
    <row r="10" spans="1:29" ht="13.5" customHeight="1" x14ac:dyDescent="0.2">
      <c r="A10" s="2397">
        <f>COVER!A38</f>
        <v>0</v>
      </c>
      <c r="B10" s="2398"/>
      <c r="C10" s="2398"/>
      <c r="D10" s="2398"/>
      <c r="E10" s="2398"/>
      <c r="F10" s="2399"/>
      <c r="G10" s="2413" t="str">
        <f>COVER!T17</f>
        <v>1875 Hicks Road</v>
      </c>
      <c r="H10" s="2426"/>
      <c r="I10" s="2426"/>
      <c r="J10" s="2426"/>
      <c r="K10" s="2426"/>
      <c r="L10" s="2427"/>
    </row>
    <row r="11" spans="1:29" ht="13.5" customHeight="1" x14ac:dyDescent="0.2">
      <c r="A11" s="1185" t="s">
        <v>1599</v>
      </c>
      <c r="B11" s="1186"/>
      <c r="C11" s="1187"/>
      <c r="D11" s="1192"/>
      <c r="E11" s="1187"/>
      <c r="F11" s="1191"/>
      <c r="G11" s="2413" t="str">
        <f>COVER!T19</f>
        <v>Rolling Meadows</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f>COVER!T25</f>
        <v>0</v>
      </c>
      <c r="J13" s="2435"/>
      <c r="K13" s="2435"/>
      <c r="L13" s="2436"/>
    </row>
    <row r="14" spans="1:29" ht="13.5" customHeight="1" x14ac:dyDescent="0.2">
      <c r="A14" s="2413" t="str">
        <f>COVER!A19</f>
        <v>25775 W. Highway 134</v>
      </c>
      <c r="B14" s="2426"/>
      <c r="C14" s="2426"/>
      <c r="D14" s="2426"/>
      <c r="E14" s="2426"/>
      <c r="F14" s="2427"/>
      <c r="G14" s="1196" t="s">
        <v>1247</v>
      </c>
      <c r="H14" s="1194"/>
      <c r="I14" s="1194"/>
      <c r="J14" s="1194"/>
      <c r="K14" s="1194"/>
      <c r="L14" s="1195"/>
    </row>
    <row r="15" spans="1:29" ht="13.5" customHeight="1" x14ac:dyDescent="0.2">
      <c r="A15" s="2413" t="str">
        <f>COVER!A21</f>
        <v>Ingleside</v>
      </c>
      <c r="B15" s="2426"/>
      <c r="C15" s="2426"/>
      <c r="D15" s="2426"/>
      <c r="E15" s="2426"/>
      <c r="F15" s="2427"/>
      <c r="G15" s="2423" t="str">
        <f>COVER!T15</f>
        <v>Jeffery M. Rollefson</v>
      </c>
      <c r="H15" s="2424"/>
      <c r="I15" s="2424"/>
      <c r="J15" s="2424"/>
      <c r="K15" s="2424"/>
      <c r="L15" s="2425"/>
    </row>
    <row r="16" spans="1:29" ht="12.2" customHeight="1" x14ac:dyDescent="0.2">
      <c r="A16" s="2403">
        <f>COVER!A25</f>
        <v>60041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847-221-5700</v>
      </c>
      <c r="H18" s="2401"/>
      <c r="I18" s="2401"/>
      <c r="J18" s="2401"/>
      <c r="K18" s="2400" t="str">
        <f>COVER!X21</f>
        <v>847-221-5701</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Gavin Sd 37</v>
      </c>
      <c r="B1" s="2437"/>
      <c r="C1" s="2437"/>
      <c r="D1" s="2437"/>
    </row>
    <row r="2" spans="1:11" s="1215" customFormat="1" ht="12.75" x14ac:dyDescent="0.2">
      <c r="A2" s="2442">
        <f>'Single Audit Cover'!E7</f>
        <v>34049037002</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Gavin Sd 37</v>
      </c>
      <c r="B1" s="2445"/>
      <c r="C1" s="2445"/>
      <c r="D1" s="2445"/>
      <c r="E1" s="2445"/>
    </row>
    <row r="2" spans="1:5" x14ac:dyDescent="0.2">
      <c r="A2" s="2446">
        <f>'Single Audit Cover'!E7</f>
        <v>34049037002</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570567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26089</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-33659</v>
      </c>
    </row>
    <row r="19" spans="1:4" ht="13.5" thickBot="1" x14ac:dyDescent="0.25">
      <c r="A19" s="1265" t="s">
        <v>1297</v>
      </c>
      <c r="D19" s="1266">
        <f>SUM(D10:D17)</f>
        <v>562997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562997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562997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Gavin Sd 37</v>
      </c>
      <c r="B1" s="2450"/>
      <c r="C1" s="2450"/>
      <c r="D1" s="2450"/>
      <c r="E1" s="2450"/>
      <c r="F1" s="2450"/>
    </row>
    <row r="2" spans="1:7" ht="13.5" customHeight="1" x14ac:dyDescent="0.2">
      <c r="A2" s="2451">
        <f>'Single Audit Cover'!E7</f>
        <v>34049037002</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Gavin Sd 37</v>
      </c>
      <c r="C1" s="2462"/>
      <c r="D1" s="2462"/>
      <c r="E1" s="2462"/>
      <c r="F1" s="2462"/>
      <c r="G1" s="2462"/>
      <c r="H1" s="2462"/>
      <c r="I1" s="2462"/>
      <c r="J1" s="2462"/>
      <c r="K1" s="2462"/>
      <c r="L1" s="2462"/>
      <c r="M1" s="2462"/>
    </row>
    <row r="2" spans="2:14" ht="15" x14ac:dyDescent="0.2">
      <c r="B2" s="2451">
        <f>'Single Audit Cover'!E7</f>
        <v>34049037002</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2100</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Gavin Sd 37</v>
      </c>
      <c r="C1" s="2470"/>
      <c r="D1" s="2470"/>
      <c r="E1" s="2470"/>
      <c r="F1" s="2470"/>
      <c r="G1" s="2470"/>
      <c r="H1" s="2470"/>
      <c r="I1" s="2470"/>
      <c r="J1" s="1422"/>
    </row>
    <row r="2" spans="2:10" s="317" customFormat="1" ht="12.75" customHeight="1" x14ac:dyDescent="0.2">
      <c r="B2" s="2471">
        <f>'Single Audit Cover'!E7</f>
        <v>34049037002</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1951</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Gavin Sd 37</v>
      </c>
      <c r="C1" s="2469"/>
      <c r="D1" s="2469"/>
      <c r="E1" s="2469"/>
      <c r="F1" s="2469"/>
      <c r="G1" s="2469"/>
      <c r="H1" s="2469"/>
      <c r="I1" s="2469"/>
      <c r="J1" s="2469"/>
      <c r="K1" s="2469"/>
      <c r="L1" s="1374"/>
      <c r="M1" s="1374"/>
    </row>
    <row r="2" spans="1:13" ht="12" customHeight="1" x14ac:dyDescent="0.2">
      <c r="B2" s="2471">
        <f>'Single Audit Cover'!E7</f>
        <v>34049037002</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Gavin Sd 37</v>
      </c>
      <c r="C1" s="2496"/>
      <c r="D1" s="2496"/>
      <c r="E1" s="2496"/>
      <c r="F1" s="2496"/>
      <c r="G1" s="2496"/>
      <c r="H1" s="2496"/>
      <c r="I1" s="2496"/>
      <c r="J1" s="2496"/>
      <c r="K1" s="2496"/>
      <c r="L1" s="1465"/>
    </row>
    <row r="2" spans="1:12" ht="12.75" customHeight="1" x14ac:dyDescent="0.2">
      <c r="B2" s="2497">
        <f>'Single Audit Cover'!E7</f>
        <v>34049037002</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Gavin Sd 37</v>
      </c>
      <c r="C1" s="2469"/>
      <c r="D1" s="2469"/>
      <c r="E1" s="1491"/>
    </row>
    <row r="2" spans="2:5" s="1282" customFormat="1" ht="12.75" customHeight="1" x14ac:dyDescent="0.2">
      <c r="B2" s="2471">
        <f>'Single Audit Cover'!E7</f>
        <v>34049037002</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165233809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6.8419999999999995E-2</v>
      </c>
      <c r="E10" s="356" t="s">
        <v>1062</v>
      </c>
      <c r="F10" s="355">
        <v>4.5139999999999998E-3</v>
      </c>
      <c r="G10" s="356" t="s">
        <v>1062</v>
      </c>
      <c r="H10" s="355">
        <v>4.1399999999999998E-4</v>
      </c>
      <c r="I10" s="356" t="s">
        <v>1063</v>
      </c>
      <c r="J10" s="1754">
        <f>ROUND(D10+F10+H10,5)</f>
        <v>7.3349999999999999E-2</v>
      </c>
      <c r="K10" s="222"/>
      <c r="L10" s="355">
        <v>1.7E-5</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9216229</v>
      </c>
      <c r="E16" s="356"/>
      <c r="F16" s="1755">
        <f>SUM('Acct Summary 7-8'!C17,'Acct Summary 7-8'!D17,'Acct Summary 7-8'!F17)</f>
        <v>8888126</v>
      </c>
      <c r="G16" s="356"/>
      <c r="H16" s="1755">
        <f>SUM(D16-F16)</f>
        <v>328103</v>
      </c>
      <c r="I16" s="222"/>
      <c r="J16" s="1755">
        <f>SUM('Acct Summary 7-8'!C81,'Acct Summary 7-8'!D81,'Acct Summary 7-8'!F81,'Acct Summary 7-8'!I81)</f>
        <v>2080955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11401132.821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4" sqref="D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Gavin Sd 37</v>
      </c>
      <c r="E7" s="391"/>
      <c r="G7" s="252"/>
      <c r="H7" s="387"/>
      <c r="I7" s="387"/>
      <c r="J7" s="387"/>
      <c r="K7" s="387"/>
      <c r="L7" s="329"/>
      <c r="M7" s="329"/>
      <c r="N7" s="329"/>
      <c r="O7" s="329"/>
      <c r="P7" s="329"/>
    </row>
    <row r="8" spans="1:18" ht="12.75" x14ac:dyDescent="0.2">
      <c r="A8" s="329"/>
      <c r="B8" s="329"/>
      <c r="C8" s="389" t="s">
        <v>1187</v>
      </c>
      <c r="D8" s="392">
        <f>COVER!A13</f>
        <v>34049037002</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2080955</v>
      </c>
      <c r="I12" s="404"/>
      <c r="J12" s="404"/>
      <c r="K12" s="405">
        <f>TRUNC((H12/H13*100000),5)/100000</f>
        <v>0.225792458</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9216229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8888126</v>
      </c>
      <c r="I17" s="404"/>
      <c r="J17" s="416"/>
      <c r="K17" s="405">
        <f>TRUNC((H17/H18*100000),5)/100000</f>
        <v>0.9643994306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9216229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2088203</v>
      </c>
      <c r="I24" s="422"/>
      <c r="J24" s="422"/>
      <c r="K24" s="423">
        <f>TRUNC(((H24/H25*100000)/100000),2)</f>
        <v>84.57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24689.238890000001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10301914.90663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495000</v>
      </c>
      <c r="I32" s="420"/>
      <c r="J32" s="420"/>
      <c r="K32" s="423">
        <f>TRUNC(100-((((H32/H33*100))*100)/100),2)</f>
        <v>95.65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11401132.821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M14" sqref="M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931919</v>
      </c>
      <c r="D4" s="466">
        <v>158872</v>
      </c>
      <c r="E4" s="466">
        <v>625249</v>
      </c>
      <c r="F4" s="466">
        <v>861891</v>
      </c>
      <c r="G4" s="466">
        <v>174169</v>
      </c>
      <c r="H4" s="466"/>
      <c r="I4" s="466">
        <v>135521</v>
      </c>
      <c r="J4" s="467">
        <v>2949</v>
      </c>
      <c r="K4" s="466"/>
      <c r="L4" s="466">
        <v>121523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50000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931919</v>
      </c>
      <c r="D13" s="1759">
        <f t="shared" ref="D13:L13" si="0">SUM(D4:D12)</f>
        <v>158872</v>
      </c>
      <c r="E13" s="1759">
        <f t="shared" si="0"/>
        <v>625249</v>
      </c>
      <c r="F13" s="1759">
        <f t="shared" si="0"/>
        <v>861891</v>
      </c>
      <c r="G13" s="1759">
        <f t="shared" si="0"/>
        <v>174169</v>
      </c>
      <c r="H13" s="1759">
        <f t="shared" si="0"/>
        <v>0</v>
      </c>
      <c r="I13" s="1759">
        <f t="shared" si="0"/>
        <v>185521</v>
      </c>
      <c r="J13" s="1759">
        <f t="shared" si="0"/>
        <v>2949</v>
      </c>
      <c r="K13" s="1759">
        <f t="shared" si="0"/>
        <v>0</v>
      </c>
      <c r="L13" s="1759">
        <f t="shared" si="0"/>
        <v>121523</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158453</v>
      </c>
      <c r="N16" s="484"/>
    </row>
    <row r="17" spans="1:14" s="485" customFormat="1" ht="12.75" customHeight="1" x14ac:dyDescent="0.2">
      <c r="A17" s="482" t="s">
        <v>1470</v>
      </c>
      <c r="B17" s="483">
        <v>230</v>
      </c>
      <c r="C17" s="477"/>
      <c r="D17" s="477"/>
      <c r="E17" s="477"/>
      <c r="F17" s="477"/>
      <c r="G17" s="477"/>
      <c r="H17" s="477"/>
      <c r="I17" s="477"/>
      <c r="J17" s="477"/>
      <c r="K17" s="477"/>
      <c r="L17" s="477"/>
      <c r="M17" s="467">
        <v>10248918</v>
      </c>
      <c r="N17" s="484"/>
    </row>
    <row r="18" spans="1:14" s="485" customFormat="1" ht="12.75" customHeight="1" x14ac:dyDescent="0.2">
      <c r="A18" s="482" t="s">
        <v>1471</v>
      </c>
      <c r="B18" s="483">
        <v>240</v>
      </c>
      <c r="C18" s="477"/>
      <c r="D18" s="477"/>
      <c r="E18" s="477"/>
      <c r="F18" s="477"/>
      <c r="G18" s="477"/>
      <c r="H18" s="477"/>
      <c r="I18" s="477"/>
      <c r="J18" s="477"/>
      <c r="K18" s="477"/>
      <c r="L18" s="477"/>
      <c r="M18" s="467">
        <v>198005</v>
      </c>
      <c r="N18" s="484"/>
    </row>
    <row r="19" spans="1:14" s="485" customFormat="1" ht="12.75" customHeight="1" x14ac:dyDescent="0.2">
      <c r="A19" s="482" t="s">
        <v>1472</v>
      </c>
      <c r="B19" s="483">
        <v>250</v>
      </c>
      <c r="C19" s="477"/>
      <c r="D19" s="477"/>
      <c r="E19" s="477"/>
      <c r="F19" s="477"/>
      <c r="G19" s="477"/>
      <c r="H19" s="477"/>
      <c r="I19" s="477"/>
      <c r="J19" s="477"/>
      <c r="K19" s="477"/>
      <c r="L19" s="477"/>
      <c r="M19" s="467">
        <v>1587638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495000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12193014</v>
      </c>
      <c r="N23" s="1710">
        <f>SUM(N21:N22)</f>
        <v>495000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v>50000</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6821</v>
      </c>
      <c r="D31" s="467">
        <v>339</v>
      </c>
      <c r="E31" s="467"/>
      <c r="F31" s="466">
        <v>88</v>
      </c>
      <c r="G31" s="467">
        <v>60</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121523</v>
      </c>
      <c r="M33" s="468"/>
      <c r="N33" s="469"/>
    </row>
    <row r="34" spans="1:14" ht="13.5" customHeight="1" thickBot="1" x14ac:dyDescent="0.25">
      <c r="A34" s="1760" t="s">
        <v>675</v>
      </c>
      <c r="B34" s="1761"/>
      <c r="C34" s="1762">
        <f>SUM(C25:C33)</f>
        <v>6821</v>
      </c>
      <c r="D34" s="1762">
        <f t="shared" ref="D34:K34" si="1">SUM(D25:D33)</f>
        <v>50339</v>
      </c>
      <c r="E34" s="1762">
        <f t="shared" si="1"/>
        <v>0</v>
      </c>
      <c r="F34" s="1762">
        <f t="shared" si="1"/>
        <v>88</v>
      </c>
      <c r="G34" s="1762">
        <f t="shared" si="1"/>
        <v>60</v>
      </c>
      <c r="H34" s="1762">
        <f t="shared" si="1"/>
        <v>0</v>
      </c>
      <c r="I34" s="1762">
        <f t="shared" si="1"/>
        <v>0</v>
      </c>
      <c r="J34" s="1762">
        <f t="shared" si="1"/>
        <v>0</v>
      </c>
      <c r="K34" s="1762">
        <f t="shared" si="1"/>
        <v>0</v>
      </c>
      <c r="L34" s="1743">
        <f>SUM(L33)</f>
        <v>121523</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495000</v>
      </c>
    </row>
    <row r="37" spans="1:14" ht="13.5" thickBot="1" x14ac:dyDescent="0.25">
      <c r="A37" s="1758" t="s">
        <v>674</v>
      </c>
      <c r="B37" s="1763"/>
      <c r="C37" s="477"/>
      <c r="D37" s="477"/>
      <c r="E37" s="477"/>
      <c r="F37" s="477"/>
      <c r="G37" s="477"/>
      <c r="H37" s="477"/>
      <c r="I37" s="477"/>
      <c r="J37" s="477"/>
      <c r="K37" s="477"/>
      <c r="L37" s="480"/>
      <c r="M37" s="468"/>
      <c r="N37" s="1710">
        <f>SUM(N36:N36)</f>
        <v>495000</v>
      </c>
    </row>
    <row r="38" spans="1:14" s="329" customFormat="1" ht="13.5" customHeight="1" thickTop="1" x14ac:dyDescent="0.2">
      <c r="A38" s="496" t="s">
        <v>440</v>
      </c>
      <c r="B38" s="483">
        <v>714</v>
      </c>
      <c r="C38" s="466"/>
      <c r="D38" s="466">
        <v>108533</v>
      </c>
      <c r="E38" s="466">
        <v>625249</v>
      </c>
      <c r="F38" s="466">
        <v>861803</v>
      </c>
      <c r="G38" s="466">
        <v>174109</v>
      </c>
      <c r="H38" s="466"/>
      <c r="I38" s="466"/>
      <c r="J38" s="467">
        <v>2949</v>
      </c>
      <c r="K38" s="466"/>
      <c r="L38" s="481"/>
      <c r="M38" s="497"/>
      <c r="N38" s="497"/>
    </row>
    <row r="39" spans="1:14" s="329" customFormat="1" ht="13.5" customHeight="1" x14ac:dyDescent="0.2">
      <c r="A39" s="496" t="s">
        <v>360</v>
      </c>
      <c r="B39" s="483">
        <v>730</v>
      </c>
      <c r="C39" s="466">
        <v>925098</v>
      </c>
      <c r="D39" s="466"/>
      <c r="E39" s="466"/>
      <c r="F39" s="466"/>
      <c r="G39" s="466"/>
      <c r="H39" s="466"/>
      <c r="I39" s="466">
        <v>185521</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12193014</v>
      </c>
      <c r="N40" s="497"/>
    </row>
    <row r="41" spans="1:14" ht="13.5" customHeight="1" thickBot="1" x14ac:dyDescent="0.25">
      <c r="A41" s="1758" t="s">
        <v>676</v>
      </c>
      <c r="B41" s="1728"/>
      <c r="C41" s="1710">
        <f>(SUM(C34,C37,C38,C39))</f>
        <v>931919</v>
      </c>
      <c r="D41" s="1710">
        <f t="shared" ref="D41:L41" si="2">SUM(D34,D37,D38:D39)</f>
        <v>158872</v>
      </c>
      <c r="E41" s="1710">
        <f t="shared" si="2"/>
        <v>625249</v>
      </c>
      <c r="F41" s="1710">
        <f t="shared" si="2"/>
        <v>861891</v>
      </c>
      <c r="G41" s="1710">
        <f t="shared" si="2"/>
        <v>174169</v>
      </c>
      <c r="H41" s="1710">
        <f t="shared" si="2"/>
        <v>0</v>
      </c>
      <c r="I41" s="1710">
        <f t="shared" si="2"/>
        <v>185521</v>
      </c>
      <c r="J41" s="1710">
        <f t="shared" si="2"/>
        <v>2949</v>
      </c>
      <c r="K41" s="1710">
        <f t="shared" si="2"/>
        <v>0</v>
      </c>
      <c r="L41" s="1710">
        <f t="shared" si="2"/>
        <v>121523</v>
      </c>
      <c r="M41" s="1710">
        <f>SUM(M40)</f>
        <v>12193014</v>
      </c>
      <c r="N41" s="1710">
        <f>SUM(N37)</f>
        <v>495000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M76" sqref="M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4815705</v>
      </c>
      <c r="D4" s="1764">
        <f>'Revenues 9-14'!D109</f>
        <v>806472</v>
      </c>
      <c r="E4" s="1764">
        <f>'Revenues 9-14'!E109</f>
        <v>787435</v>
      </c>
      <c r="F4" s="1764">
        <f>'Revenues 9-14'!F109</f>
        <v>81185</v>
      </c>
      <c r="G4" s="1764">
        <f>'Revenues 9-14'!G109</f>
        <v>258174</v>
      </c>
      <c r="H4" s="1764">
        <f>'Revenues 9-14'!H109</f>
        <v>0</v>
      </c>
      <c r="I4" s="1764">
        <f>'Revenues 9-14'!I109</f>
        <v>3054</v>
      </c>
      <c r="J4" s="1764">
        <f>'Revenues 9-14'!J109</f>
        <v>42949</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2526112</v>
      </c>
      <c r="D6" s="1765">
        <f>'Revenues 9-14'!D173</f>
        <v>0</v>
      </c>
      <c r="E6" s="1765">
        <f>'Revenues 9-14'!E173</f>
        <v>0</v>
      </c>
      <c r="F6" s="1765">
        <f>'Revenues 9-14'!F173</f>
        <v>413134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570567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7912384</v>
      </c>
      <c r="D8" s="1710">
        <f t="shared" ref="D8:K8" si="0">SUM(D4:D7)</f>
        <v>806472</v>
      </c>
      <c r="E8" s="1710">
        <f t="shared" si="0"/>
        <v>787435</v>
      </c>
      <c r="F8" s="1710">
        <f t="shared" si="0"/>
        <v>494319</v>
      </c>
      <c r="G8" s="1710">
        <f t="shared" si="0"/>
        <v>258174</v>
      </c>
      <c r="H8" s="1710">
        <f t="shared" si="0"/>
        <v>0</v>
      </c>
      <c r="I8" s="1710">
        <f t="shared" si="0"/>
        <v>3054</v>
      </c>
      <c r="J8" s="1710">
        <f t="shared" si="0"/>
        <v>42949</v>
      </c>
      <c r="K8" s="1710">
        <f t="shared" si="0"/>
        <v>0</v>
      </c>
      <c r="L8" s="347"/>
    </row>
    <row r="9" spans="1:13" ht="15.75" thickTop="1" x14ac:dyDescent="0.2">
      <c r="A9" s="514" t="s">
        <v>1752</v>
      </c>
      <c r="B9" s="515">
        <v>3998</v>
      </c>
      <c r="C9" s="481">
        <v>3037428</v>
      </c>
      <c r="D9" s="516"/>
      <c r="E9" s="481"/>
      <c r="F9" s="481"/>
      <c r="G9" s="517"/>
      <c r="H9" s="481"/>
      <c r="I9" s="509" t="s">
        <v>1231</v>
      </c>
      <c r="J9" s="478"/>
      <c r="K9" s="481"/>
      <c r="L9" s="347"/>
    </row>
    <row r="10" spans="1:13" s="519" customFormat="1" ht="13.5" thickBot="1" x14ac:dyDescent="0.25">
      <c r="A10" s="1758" t="s">
        <v>1235</v>
      </c>
      <c r="B10" s="1731"/>
      <c r="C10" s="1710">
        <f>SUM(C8:C9)</f>
        <v>10949812</v>
      </c>
      <c r="D10" s="1710">
        <f t="shared" ref="D10:K10" si="1">SUM(D8:D9)</f>
        <v>806472</v>
      </c>
      <c r="E10" s="1710">
        <f t="shared" si="1"/>
        <v>787435</v>
      </c>
      <c r="F10" s="1710">
        <f t="shared" si="1"/>
        <v>494319</v>
      </c>
      <c r="G10" s="1710">
        <f t="shared" si="1"/>
        <v>258174</v>
      </c>
      <c r="H10" s="1710">
        <f t="shared" si="1"/>
        <v>0</v>
      </c>
      <c r="I10" s="1710">
        <f t="shared" si="1"/>
        <v>3054</v>
      </c>
      <c r="J10" s="1710">
        <f t="shared" si="1"/>
        <v>42949</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4806784</v>
      </c>
      <c r="D12" s="520" t="s">
        <v>1231</v>
      </c>
      <c r="E12" s="468" t="s">
        <v>1231</v>
      </c>
      <c r="F12" s="468" t="s">
        <v>1231</v>
      </c>
      <c r="G12" s="1764">
        <f>'Expenditures 15-22'!K229</f>
        <v>117790</v>
      </c>
      <c r="H12" s="521"/>
      <c r="I12" s="468" t="s">
        <v>1231</v>
      </c>
      <c r="J12" s="468" t="s">
        <v>1231</v>
      </c>
      <c r="K12" s="521" t="s">
        <v>1231</v>
      </c>
      <c r="L12" s="347"/>
    </row>
    <row r="13" spans="1:13" ht="15.75" customHeight="1" x14ac:dyDescent="0.2">
      <c r="A13" s="1598" t="s">
        <v>477</v>
      </c>
      <c r="B13" s="1600">
        <v>2000</v>
      </c>
      <c r="C13" s="1765">
        <f>'Expenditures 15-22'!K74</f>
        <v>2142387</v>
      </c>
      <c r="D13" s="1765">
        <f>'Expenditures 15-22'!K129</f>
        <v>774479</v>
      </c>
      <c r="E13" s="469" t="s">
        <v>1231</v>
      </c>
      <c r="F13" s="1765">
        <f>'Expenditures 15-22'!K184</f>
        <v>575439</v>
      </c>
      <c r="G13" s="1765">
        <f>'Expenditures 15-22'!K279</f>
        <v>179590</v>
      </c>
      <c r="H13" s="1765">
        <f>'Expenditures 15-22'!K303</f>
        <v>0</v>
      </c>
      <c r="I13" s="468" t="s">
        <v>1231</v>
      </c>
      <c r="J13" s="1765">
        <f>'Expenditures 15-22'!K330</f>
        <v>40000</v>
      </c>
      <c r="K13" s="1769">
        <f>'Expenditures 15-22'!K352</f>
        <v>0</v>
      </c>
      <c r="L13" s="347"/>
    </row>
    <row r="14" spans="1:13" ht="15.75" customHeight="1" x14ac:dyDescent="0.2">
      <c r="A14" s="1598" t="s">
        <v>469</v>
      </c>
      <c r="B14" s="1600">
        <v>3000</v>
      </c>
      <c r="C14" s="1765">
        <f>'Expenditures 15-22'!K75</f>
        <v>13015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576022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1062525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7538208</v>
      </c>
      <c r="D17" s="1710">
        <f t="shared" si="2"/>
        <v>774479</v>
      </c>
      <c r="E17" s="1710">
        <f t="shared" si="2"/>
        <v>1062525</v>
      </c>
      <c r="F17" s="1710">
        <f t="shared" si="2"/>
        <v>575439</v>
      </c>
      <c r="G17" s="1710">
        <f t="shared" si="2"/>
        <v>297380</v>
      </c>
      <c r="H17" s="1710">
        <f t="shared" si="2"/>
        <v>0</v>
      </c>
      <c r="I17" s="468"/>
      <c r="J17" s="1710">
        <f>SUM(J12:J16)</f>
        <v>40000</v>
      </c>
      <c r="K17" s="1710">
        <f>SUM(K12:K16)</f>
        <v>0</v>
      </c>
      <c r="L17" s="347"/>
    </row>
    <row r="18" spans="1:12" ht="15" customHeight="1" thickTop="1" x14ac:dyDescent="0.2">
      <c r="A18" s="1766" t="s">
        <v>1753</v>
      </c>
      <c r="B18" s="1767">
        <v>4180</v>
      </c>
      <c r="C18" s="1764">
        <f t="shared" ref="C18:H18" si="3">C9</f>
        <v>3037428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10575636</v>
      </c>
      <c r="D19" s="1710">
        <f t="shared" si="4"/>
        <v>774479</v>
      </c>
      <c r="E19" s="1710">
        <f t="shared" si="4"/>
        <v>1062525</v>
      </c>
      <c r="F19" s="1710">
        <f t="shared" si="4"/>
        <v>575439</v>
      </c>
      <c r="G19" s="1710">
        <f t="shared" si="4"/>
        <v>297380</v>
      </c>
      <c r="H19" s="1710">
        <f t="shared" si="4"/>
        <v>0</v>
      </c>
      <c r="I19" s="468"/>
      <c r="J19" s="1710">
        <f>SUM(J17:J18)</f>
        <v>40000</v>
      </c>
      <c r="K19" s="1710">
        <f>SUM(K17:K18)</f>
        <v>0</v>
      </c>
      <c r="L19" s="347"/>
    </row>
    <row r="20" spans="1:12" ht="16.5" thickTop="1" thickBot="1" x14ac:dyDescent="0.25">
      <c r="A20" s="2142" t="s">
        <v>1754</v>
      </c>
      <c r="B20" s="2143"/>
      <c r="C20" s="1768">
        <f>C8-C17</f>
        <v>374176</v>
      </c>
      <c r="D20" s="1768">
        <f t="shared" ref="D20:K20" si="5">D8-D17</f>
        <v>31993</v>
      </c>
      <c r="E20" s="1768">
        <f t="shared" si="5"/>
        <v>-275090</v>
      </c>
      <c r="F20" s="1768">
        <f t="shared" si="5"/>
        <v>-81120</v>
      </c>
      <c r="G20" s="1768">
        <f t="shared" si="5"/>
        <v>-39206</v>
      </c>
      <c r="H20" s="1768">
        <f t="shared" si="5"/>
        <v>0</v>
      </c>
      <c r="I20" s="1768">
        <f t="shared" si="5"/>
        <v>3054</v>
      </c>
      <c r="J20" s="1768">
        <f t="shared" si="5"/>
        <v>2949</v>
      </c>
      <c r="K20" s="1768">
        <f t="shared" si="5"/>
        <v>0</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v>265000</v>
      </c>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-252625</v>
      </c>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12375</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12375</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374176</v>
      </c>
      <c r="D78" s="1724">
        <f t="shared" si="9"/>
        <v>31993</v>
      </c>
      <c r="E78" s="1724">
        <f t="shared" si="9"/>
        <v>-262715</v>
      </c>
      <c r="F78" s="1724">
        <f t="shared" si="9"/>
        <v>-81120</v>
      </c>
      <c r="G78" s="1724">
        <f t="shared" si="9"/>
        <v>-39206</v>
      </c>
      <c r="H78" s="1724">
        <f t="shared" si="9"/>
        <v>0</v>
      </c>
      <c r="I78" s="1724">
        <f t="shared" si="9"/>
        <v>3054</v>
      </c>
      <c r="J78" s="1724">
        <f t="shared" si="9"/>
        <v>2949</v>
      </c>
      <c r="K78" s="1724">
        <f t="shared" si="9"/>
        <v>0</v>
      </c>
      <c r="L78" s="533"/>
    </row>
    <row r="79" spans="1:12" ht="13.5" thickTop="1" x14ac:dyDescent="0.2">
      <c r="A79" s="1516" t="s">
        <v>2071</v>
      </c>
      <c r="B79" s="534"/>
      <c r="C79" s="478">
        <v>550922</v>
      </c>
      <c r="D79" s="535">
        <v>76540</v>
      </c>
      <c r="E79" s="535">
        <v>887964</v>
      </c>
      <c r="F79" s="535">
        <v>942923</v>
      </c>
      <c r="G79" s="535">
        <v>213315</v>
      </c>
      <c r="H79" s="535"/>
      <c r="I79" s="535">
        <v>182467</v>
      </c>
      <c r="J79" s="535">
        <v>0</v>
      </c>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925098</v>
      </c>
      <c r="D81" s="1710">
        <f>SUM(D78:D80)</f>
        <v>108533</v>
      </c>
      <c r="E81" s="1710">
        <f t="shared" ref="E81:K81" si="10">SUM(E78:E80)</f>
        <v>625249</v>
      </c>
      <c r="F81" s="1710">
        <f t="shared" si="10"/>
        <v>861803</v>
      </c>
      <c r="G81" s="1710">
        <f t="shared" si="10"/>
        <v>174109</v>
      </c>
      <c r="H81" s="1710">
        <f t="shared" si="10"/>
        <v>0</v>
      </c>
      <c r="I81" s="1710">
        <f t="shared" si="10"/>
        <v>185521</v>
      </c>
      <c r="J81" s="1710">
        <f t="shared" si="10"/>
        <v>2949</v>
      </c>
      <c r="K81" s="1710">
        <f t="shared" si="10"/>
        <v>0</v>
      </c>
      <c r="L81" s="347"/>
    </row>
    <row r="82" spans="1:12" ht="0.75" customHeight="1" thickTop="1" thickBot="1" x14ac:dyDescent="0.25">
      <c r="A82" s="536" t="s">
        <v>361</v>
      </c>
      <c r="B82" s="537"/>
      <c r="C82" s="538">
        <f>(C81-C79)</f>
        <v>374176</v>
      </c>
      <c r="D82" s="538">
        <f t="shared" ref="D82:K82" si="11">(D81-D79)</f>
        <v>31993</v>
      </c>
      <c r="E82" s="538">
        <f t="shared" si="11"/>
        <v>-262715</v>
      </c>
      <c r="F82" s="538">
        <f t="shared" si="11"/>
        <v>-81120</v>
      </c>
      <c r="G82" s="538">
        <f t="shared" si="11"/>
        <v>-39206</v>
      </c>
      <c r="H82" s="538">
        <f t="shared" si="11"/>
        <v>0</v>
      </c>
      <c r="I82" s="538">
        <f t="shared" si="11"/>
        <v>3054</v>
      </c>
      <c r="J82" s="538">
        <f t="shared" si="11"/>
        <v>2949</v>
      </c>
      <c r="K82" s="538">
        <f t="shared" si="11"/>
        <v>0</v>
      </c>
    </row>
    <row r="83" spans="1:12" ht="14.25" hidden="1" thickTop="1" thickBot="1" x14ac:dyDescent="0.25">
      <c r="A83" s="539" t="s">
        <v>362</v>
      </c>
      <c r="B83" s="464"/>
      <c r="C83" s="540">
        <f>C82/C81</f>
        <v>0.40447174245323197</v>
      </c>
      <c r="D83" s="540">
        <f t="shared" ref="D83:K83" si="12">D82/D81</f>
        <v>0.2947767038596556</v>
      </c>
      <c r="E83" s="540">
        <f t="shared" si="12"/>
        <v>-0.42017660164190584</v>
      </c>
      <c r="F83" s="540">
        <f t="shared" si="12"/>
        <v>-9.4128240444742009E-2</v>
      </c>
      <c r="G83" s="540">
        <f t="shared" si="12"/>
        <v>-0.22518077755888552</v>
      </c>
      <c r="H83" s="540" t="e">
        <f t="shared" si="12"/>
        <v>#DIV/0!</v>
      </c>
      <c r="I83" s="540">
        <f t="shared" si="12"/>
        <v>1.6461748265694989E-2</v>
      </c>
      <c r="J83" s="540">
        <f t="shared" si="12"/>
        <v>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4479055</v>
      </c>
      <c r="D5" s="481">
        <v>799186</v>
      </c>
      <c r="E5" s="466">
        <v>787435</v>
      </c>
      <c r="F5" s="548">
        <v>79034</v>
      </c>
      <c r="G5" s="466">
        <v>117758</v>
      </c>
      <c r="H5" s="466"/>
      <c r="I5" s="466">
        <v>3054</v>
      </c>
      <c r="J5" s="467">
        <v>42949</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22073</v>
      </c>
      <c r="D7" s="466"/>
      <c r="E7" s="468"/>
      <c r="F7" s="467"/>
      <c r="G7" s="467"/>
      <c r="H7" s="467"/>
      <c r="I7" s="468"/>
      <c r="J7" s="468"/>
      <c r="K7" s="468"/>
    </row>
    <row r="8" spans="1:12" x14ac:dyDescent="0.2">
      <c r="A8" s="463" t="s">
        <v>433</v>
      </c>
      <c r="B8" s="470">
        <v>1150</v>
      </c>
      <c r="C8" s="475"/>
      <c r="D8" s="475"/>
      <c r="E8" s="477"/>
      <c r="F8" s="477"/>
      <c r="G8" s="481">
        <v>123950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11943</v>
      </c>
      <c r="H11" s="466"/>
      <c r="I11" s="466"/>
      <c r="J11" s="467"/>
      <c r="K11" s="466"/>
      <c r="L11" s="552"/>
    </row>
    <row r="12" spans="1:12" ht="12.75" customHeight="1" thickBot="1" x14ac:dyDescent="0.25">
      <c r="A12" s="1727" t="s">
        <v>29</v>
      </c>
      <c r="B12" s="1728"/>
      <c r="C12" s="1729">
        <f t="shared" ref="C12:K12" si="0">SUM(C5:C11)</f>
        <v>4501128</v>
      </c>
      <c r="D12" s="1729">
        <f t="shared" si="0"/>
        <v>799186</v>
      </c>
      <c r="E12" s="1729">
        <f t="shared" si="0"/>
        <v>787435</v>
      </c>
      <c r="F12" s="1729">
        <f t="shared" si="0"/>
        <v>79034</v>
      </c>
      <c r="G12" s="1729">
        <f t="shared" si="0"/>
        <v>253651</v>
      </c>
      <c r="H12" s="1729">
        <f t="shared" si="0"/>
        <v>0</v>
      </c>
      <c r="I12" s="1729">
        <f t="shared" si="0"/>
        <v>3054</v>
      </c>
      <c r="J12" s="1729">
        <f t="shared" si="0"/>
        <v>42949</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26105</v>
      </c>
      <c r="D16" s="466"/>
      <c r="E16" s="466"/>
      <c r="F16" s="466"/>
      <c r="G16" s="466">
        <v>4523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26105</v>
      </c>
      <c r="D18" s="1732">
        <f t="shared" ref="D18:K18" si="1">SUM(D14:D17)</f>
        <v>0</v>
      </c>
      <c r="E18" s="1732">
        <f t="shared" si="1"/>
        <v>0</v>
      </c>
      <c r="F18" s="1732">
        <f t="shared" si="1"/>
        <v>0</v>
      </c>
      <c r="G18" s="1732">
        <f t="shared" si="1"/>
        <v>4523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13050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13050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23291</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23291</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77004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4916</v>
      </c>
      <c r="D74" s="468"/>
      <c r="E74" s="468"/>
      <c r="F74" s="468"/>
      <c r="G74" s="468"/>
      <c r="H74" s="468"/>
      <c r="I74" s="468"/>
      <c r="J74" s="468"/>
      <c r="K74" s="468"/>
    </row>
    <row r="75" spans="1:11" ht="12.75" customHeight="1" thickBot="1" x14ac:dyDescent="0.25">
      <c r="A75" s="1730" t="s">
        <v>569</v>
      </c>
      <c r="B75" s="1731"/>
      <c r="C75" s="1710">
        <f>SUM(C69:C74)</f>
        <v>81920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2971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8797</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11768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76473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76473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650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9055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63264</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9001</v>
      </c>
      <c r="D107" s="466">
        <v>7286</v>
      </c>
      <c r="E107" s="466"/>
      <c r="F107" s="466">
        <v>2151</v>
      </c>
      <c r="G107" s="466"/>
      <c r="H107" s="466"/>
      <c r="I107" s="466"/>
      <c r="J107" s="467"/>
      <c r="K107" s="466"/>
    </row>
    <row r="108" spans="1:12" ht="12.75" customHeight="1" thickBot="1" x14ac:dyDescent="0.25">
      <c r="A108" s="1730" t="s">
        <v>508</v>
      </c>
      <c r="B108" s="1734"/>
      <c r="C108" s="1729">
        <f>SUM(C95:C107)</f>
        <v>81970</v>
      </c>
      <c r="D108" s="1729">
        <f t="shared" ref="D108:K108" si="3">SUM(D95:D107)</f>
        <v>7286</v>
      </c>
      <c r="E108" s="1729">
        <f t="shared" si="3"/>
        <v>0</v>
      </c>
      <c r="F108" s="1729">
        <f t="shared" si="3"/>
        <v>2151</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4815705</v>
      </c>
      <c r="D109" s="1737">
        <f t="shared" si="4"/>
        <v>806472</v>
      </c>
      <c r="E109" s="1737">
        <f t="shared" si="4"/>
        <v>787435</v>
      </c>
      <c r="F109" s="1737">
        <f t="shared" si="4"/>
        <v>81185</v>
      </c>
      <c r="G109" s="1737">
        <f t="shared" si="4"/>
        <v>258174</v>
      </c>
      <c r="H109" s="1737">
        <f t="shared" si="4"/>
        <v>0</v>
      </c>
      <c r="I109" s="1737">
        <f t="shared" si="4"/>
        <v>3054</v>
      </c>
      <c r="J109" s="1737">
        <f t="shared" si="4"/>
        <v>42949</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2095081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2095081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35083</v>
      </c>
      <c r="D124" s="561"/>
      <c r="E124" s="468"/>
      <c r="F124" s="548"/>
      <c r="G124" s="468"/>
      <c r="H124" s="468"/>
      <c r="I124" s="468"/>
      <c r="J124" s="468"/>
      <c r="K124" s="468"/>
    </row>
    <row r="125" spans="1:11" ht="12.75" customHeight="1" x14ac:dyDescent="0.2">
      <c r="A125" s="463" t="s">
        <v>1521</v>
      </c>
      <c r="B125" s="562">
        <v>3105</v>
      </c>
      <c r="C125" s="466">
        <v>55181</v>
      </c>
      <c r="D125" s="561"/>
      <c r="E125" s="468"/>
      <c r="F125" s="466"/>
      <c r="G125" s="468"/>
      <c r="H125" s="468"/>
      <c r="I125" s="468"/>
      <c r="J125" s="468"/>
      <c r="K125" s="468"/>
    </row>
    <row r="126" spans="1:11" ht="12.75" customHeight="1" x14ac:dyDescent="0.2">
      <c r="A126" s="463" t="s">
        <v>922</v>
      </c>
      <c r="B126" s="562">
        <v>3110</v>
      </c>
      <c r="C126" s="551">
        <v>95403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185667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3262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160277</v>
      </c>
      <c r="G151" s="467"/>
      <c r="H151" s="468"/>
      <c r="I151" s="468"/>
      <c r="J151" s="468"/>
      <c r="K151" s="468"/>
    </row>
    <row r="152" spans="1:11" ht="12.75" customHeight="1" x14ac:dyDescent="0.2">
      <c r="A152" s="463" t="s">
        <v>1117</v>
      </c>
      <c r="B152" s="562">
        <v>3510</v>
      </c>
      <c r="C152" s="551"/>
      <c r="D152" s="466"/>
      <c r="E152" s="561"/>
      <c r="F152" s="466">
        <v>252857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413134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234189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f>1414+6499</f>
        <v>7913</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431031</v>
      </c>
      <c r="D172" s="1744">
        <f t="shared" si="6"/>
        <v>0</v>
      </c>
      <c r="E172" s="1744">
        <f t="shared" si="6"/>
        <v>0</v>
      </c>
      <c r="F172" s="1744">
        <f t="shared" si="6"/>
        <v>413134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2526112</v>
      </c>
      <c r="D173" s="1737">
        <f>SUM(D121,D172)</f>
        <v>0</v>
      </c>
      <c r="E173" s="1737">
        <f>SUM(E121,E172)</f>
        <v>0</v>
      </c>
      <c r="F173" s="1737">
        <f t="shared" ref="F173:K173" si="7">SUM(F121,F172)</f>
        <v>413134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211797</v>
      </c>
      <c r="D194" s="468"/>
      <c r="E194" s="561"/>
      <c r="F194" s="468"/>
      <c r="G194" s="585"/>
      <c r="H194" s="468"/>
      <c r="I194" s="468"/>
      <c r="J194" s="468"/>
      <c r="K194" s="468"/>
    </row>
    <row r="195" spans="1:11" ht="12.75" customHeight="1" x14ac:dyDescent="0.2">
      <c r="A195" s="463" t="s">
        <v>1107</v>
      </c>
      <c r="B195" s="470">
        <v>4215</v>
      </c>
      <c r="C195" s="551">
        <v>1977</v>
      </c>
      <c r="D195" s="468"/>
      <c r="E195" s="561"/>
      <c r="F195" s="468"/>
      <c r="G195" s="585"/>
      <c r="H195" s="468"/>
      <c r="I195" s="468"/>
      <c r="J195" s="468"/>
      <c r="K195" s="468"/>
    </row>
    <row r="196" spans="1:11" ht="12.75" customHeight="1" x14ac:dyDescent="0.2">
      <c r="A196" s="463" t="s">
        <v>1119</v>
      </c>
      <c r="B196" s="470">
        <v>4220</v>
      </c>
      <c r="C196" s="551">
        <v>51757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26089</v>
      </c>
      <c r="D200" s="468"/>
      <c r="E200" s="561"/>
      <c r="F200" s="468"/>
      <c r="G200" s="585"/>
      <c r="H200" s="468"/>
      <c r="I200" s="468"/>
      <c r="J200" s="468"/>
      <c r="K200" s="468"/>
    </row>
    <row r="201" spans="1:11" ht="12.75" customHeight="1" thickBot="1" x14ac:dyDescent="0.25">
      <c r="A201" s="1730" t="s">
        <v>569</v>
      </c>
      <c r="B201" s="1731"/>
      <c r="C201" s="1710">
        <f>SUM(C193:C200)</f>
        <v>291620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86948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86948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3550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3550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7457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107936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115393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39397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33659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570567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570567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7912384</v>
      </c>
      <c r="D275" s="1737">
        <f t="shared" si="12"/>
        <v>806472</v>
      </c>
      <c r="E275" s="1737">
        <f t="shared" si="12"/>
        <v>787435</v>
      </c>
      <c r="F275" s="1737">
        <f t="shared" si="12"/>
        <v>494319</v>
      </c>
      <c r="G275" s="1737">
        <f t="shared" si="12"/>
        <v>258174</v>
      </c>
      <c r="H275" s="1737">
        <f t="shared" si="12"/>
        <v>0</v>
      </c>
      <c r="I275" s="1737">
        <f t="shared" si="12"/>
        <v>3054</v>
      </c>
      <c r="J275" s="1737">
        <f t="shared" si="12"/>
        <v>42949</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20" zoomScaleNormal="120" workbookViewId="0">
      <pane ySplit="2" topLeftCell="A48" activePane="bottomLeft" state="frozen"/>
      <selection activeCell="A47" sqref="A47"/>
      <selection pane="bottomLeft" activeCell="E63" sqref="E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2657303</v>
      </c>
      <c r="D5" s="466">
        <v>458105</v>
      </c>
      <c r="E5" s="466">
        <v>30572</v>
      </c>
      <c r="F5" s="466">
        <v>137372</v>
      </c>
      <c r="G5" s="466"/>
      <c r="H5" s="466"/>
      <c r="I5" s="467"/>
      <c r="J5" s="467"/>
      <c r="K5" s="1693">
        <f>SUM(C5:J5)</f>
        <v>3283352</v>
      </c>
      <c r="L5" s="466">
        <v>3352900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1002477</v>
      </c>
      <c r="D8" s="466">
        <v>154091</v>
      </c>
      <c r="E8" s="466">
        <v>32053</v>
      </c>
      <c r="F8" s="466">
        <v>14747</v>
      </c>
      <c r="G8" s="466">
        <v>26263</v>
      </c>
      <c r="H8" s="466"/>
      <c r="I8" s="467"/>
      <c r="J8" s="467"/>
      <c r="K8" s="1693">
        <f t="shared" si="0"/>
        <v>1229631</v>
      </c>
      <c r="L8" s="466">
        <v>1235330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146386</v>
      </c>
      <c r="D10" s="466">
        <v>35681</v>
      </c>
      <c r="E10" s="466">
        <v>175</v>
      </c>
      <c r="F10" s="466">
        <v>519</v>
      </c>
      <c r="G10" s="466"/>
      <c r="H10" s="466"/>
      <c r="I10" s="467"/>
      <c r="J10" s="467"/>
      <c r="K10" s="1693">
        <f t="shared" si="0"/>
        <v>182761</v>
      </c>
      <c r="L10" s="466">
        <v>210200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37400</v>
      </c>
      <c r="D14" s="466">
        <v>438</v>
      </c>
      <c r="E14" s="466">
        <v>6294</v>
      </c>
      <c r="F14" s="466">
        <v>6770</v>
      </c>
      <c r="G14" s="466"/>
      <c r="H14" s="466"/>
      <c r="I14" s="467"/>
      <c r="J14" s="467"/>
      <c r="K14" s="1693">
        <f t="shared" si="0"/>
        <v>50902</v>
      </c>
      <c r="L14" s="466">
        <v>49955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50076</v>
      </c>
      <c r="D18" s="466">
        <v>9999</v>
      </c>
      <c r="E18" s="466"/>
      <c r="F18" s="466">
        <v>63</v>
      </c>
      <c r="G18" s="466"/>
      <c r="H18" s="466"/>
      <c r="I18" s="467"/>
      <c r="J18" s="467"/>
      <c r="K18" s="1693">
        <f t="shared" si="0"/>
        <v>60138</v>
      </c>
      <c r="L18" s="466">
        <v>64870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3893642</v>
      </c>
      <c r="D33" s="1692">
        <f t="shared" ref="D33:L33" si="1">SUM(D5:D32)</f>
        <v>658314</v>
      </c>
      <c r="E33" s="1692">
        <f t="shared" si="1"/>
        <v>69094</v>
      </c>
      <c r="F33" s="1692">
        <f t="shared" si="1"/>
        <v>159471</v>
      </c>
      <c r="G33" s="1692">
        <f t="shared" si="1"/>
        <v>26263</v>
      </c>
      <c r="H33" s="1692">
        <f t="shared" si="1"/>
        <v>0</v>
      </c>
      <c r="I33" s="1692">
        <f t="shared" si="1"/>
        <v>0</v>
      </c>
      <c r="J33" s="1692">
        <f t="shared" si="1"/>
        <v>0</v>
      </c>
      <c r="K33" s="1692">
        <f t="shared" si="1"/>
        <v>4806784</v>
      </c>
      <c r="L33" s="1692">
        <f t="shared" si="1"/>
        <v>4913255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103059</v>
      </c>
      <c r="D36" s="481">
        <v>19885</v>
      </c>
      <c r="E36" s="481"/>
      <c r="F36" s="481">
        <v>43</v>
      </c>
      <c r="G36" s="481"/>
      <c r="H36" s="481"/>
      <c r="I36" s="467"/>
      <c r="J36" s="467"/>
      <c r="K36" s="1693">
        <f t="shared" ref="K36:K41" si="2">SUM(C36:J36)</f>
        <v>122987</v>
      </c>
      <c r="L36" s="466">
        <v>120660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35800</v>
      </c>
      <c r="D38" s="466">
        <v>77</v>
      </c>
      <c r="E38" s="466">
        <v>800</v>
      </c>
      <c r="F38" s="466">
        <v>3468</v>
      </c>
      <c r="G38" s="466"/>
      <c r="H38" s="466"/>
      <c r="I38" s="467"/>
      <c r="J38" s="467"/>
      <c r="K38" s="1693">
        <f t="shared" si="2"/>
        <v>40145</v>
      </c>
      <c r="L38" s="466">
        <v>48100</v>
      </c>
    </row>
    <row r="39" spans="1:14" x14ac:dyDescent="0.2">
      <c r="A39" s="1526" t="s">
        <v>208</v>
      </c>
      <c r="B39" s="615">
        <v>2140</v>
      </c>
      <c r="C39" s="466">
        <v>48001</v>
      </c>
      <c r="D39" s="466">
        <v>10010</v>
      </c>
      <c r="E39" s="466"/>
      <c r="F39" s="466">
        <v>2675</v>
      </c>
      <c r="G39" s="466"/>
      <c r="H39" s="466"/>
      <c r="I39" s="467"/>
      <c r="J39" s="467"/>
      <c r="K39" s="1693">
        <f t="shared" si="2"/>
        <v>60686</v>
      </c>
      <c r="L39" s="466">
        <v>58575</v>
      </c>
    </row>
    <row r="40" spans="1:14" x14ac:dyDescent="0.2">
      <c r="A40" s="1526" t="s">
        <v>209</v>
      </c>
      <c r="B40" s="615">
        <v>2150</v>
      </c>
      <c r="C40" s="466">
        <v>80978</v>
      </c>
      <c r="D40" s="466">
        <v>1008</v>
      </c>
      <c r="E40" s="466">
        <v>22962</v>
      </c>
      <c r="F40" s="466"/>
      <c r="G40" s="466"/>
      <c r="H40" s="466"/>
      <c r="I40" s="467"/>
      <c r="J40" s="467"/>
      <c r="K40" s="1693">
        <f t="shared" si="2"/>
        <v>104948</v>
      </c>
      <c r="L40" s="466">
        <v>93450</v>
      </c>
    </row>
    <row r="41" spans="1:14" x14ac:dyDescent="0.2">
      <c r="A41" s="1526" t="s">
        <v>1768</v>
      </c>
      <c r="B41" s="615">
        <v>2190</v>
      </c>
      <c r="C41" s="466">
        <v>53678</v>
      </c>
      <c r="D41" s="466">
        <v>228</v>
      </c>
      <c r="E41" s="466"/>
      <c r="F41" s="466"/>
      <c r="G41" s="466"/>
      <c r="H41" s="466"/>
      <c r="I41" s="467"/>
      <c r="J41" s="467"/>
      <c r="K41" s="1693">
        <f t="shared" si="2"/>
        <v>53906</v>
      </c>
      <c r="L41" s="466">
        <v>58800</v>
      </c>
    </row>
    <row r="42" spans="1:14" ht="12.75" customHeight="1" thickBot="1" x14ac:dyDescent="0.25">
      <c r="A42" s="1690" t="s">
        <v>581</v>
      </c>
      <c r="B42" s="1691" t="s">
        <v>740</v>
      </c>
      <c r="C42" s="1692">
        <f>SUM(C36:C41)</f>
        <v>321516</v>
      </c>
      <c r="D42" s="1692">
        <f t="shared" ref="D42:L42" si="3">SUM(D36:D41)</f>
        <v>31208</v>
      </c>
      <c r="E42" s="1692">
        <f t="shared" si="3"/>
        <v>23762</v>
      </c>
      <c r="F42" s="1692">
        <f t="shared" si="3"/>
        <v>6186</v>
      </c>
      <c r="G42" s="1692">
        <f t="shared" si="3"/>
        <v>0</v>
      </c>
      <c r="H42" s="1692">
        <f t="shared" si="3"/>
        <v>0</v>
      </c>
      <c r="I42" s="1692">
        <f t="shared" si="3"/>
        <v>0</v>
      </c>
      <c r="J42" s="1692">
        <f t="shared" si="3"/>
        <v>0</v>
      </c>
      <c r="K42" s="1692">
        <f t="shared" si="3"/>
        <v>382672</v>
      </c>
      <c r="L42" s="1692">
        <f t="shared" si="3"/>
        <v>379585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21549</v>
      </c>
      <c r="F44" s="481"/>
      <c r="G44" s="481"/>
      <c r="H44" s="481">
        <v>3288</v>
      </c>
      <c r="I44" s="467"/>
      <c r="J44" s="467"/>
      <c r="K44" s="1694">
        <f>SUM(C44:J44)</f>
        <v>24837</v>
      </c>
      <c r="L44" s="481">
        <v>19500</v>
      </c>
    </row>
    <row r="45" spans="1:14" x14ac:dyDescent="0.2">
      <c r="A45" s="1526" t="s">
        <v>869</v>
      </c>
      <c r="B45" s="615">
        <v>2220</v>
      </c>
      <c r="C45" s="466">
        <v>30291</v>
      </c>
      <c r="D45" s="466">
        <v>46</v>
      </c>
      <c r="E45" s="466"/>
      <c r="F45" s="466">
        <v>8313</v>
      </c>
      <c r="G45" s="466"/>
      <c r="H45" s="466"/>
      <c r="I45" s="467"/>
      <c r="J45" s="467"/>
      <c r="K45" s="1694">
        <f>SUM(C45:J45)</f>
        <v>38650</v>
      </c>
      <c r="L45" s="466">
        <v>34150</v>
      </c>
    </row>
    <row r="46" spans="1:14" x14ac:dyDescent="0.2">
      <c r="A46" s="1526" t="s">
        <v>870</v>
      </c>
      <c r="B46" s="615">
        <v>2230</v>
      </c>
      <c r="C46" s="466"/>
      <c r="D46" s="466"/>
      <c r="E46" s="466">
        <v>3838</v>
      </c>
      <c r="F46" s="466">
        <v>20</v>
      </c>
      <c r="G46" s="466"/>
      <c r="H46" s="466"/>
      <c r="I46" s="467"/>
      <c r="J46" s="467"/>
      <c r="K46" s="1694">
        <f>SUM(C46:J46)</f>
        <v>3858</v>
      </c>
      <c r="L46" s="466">
        <v>0</v>
      </c>
    </row>
    <row r="47" spans="1:14" ht="12.75" customHeight="1" thickBot="1" x14ac:dyDescent="0.25">
      <c r="A47" s="1690" t="s">
        <v>582</v>
      </c>
      <c r="B47" s="1691" t="s">
        <v>32</v>
      </c>
      <c r="C47" s="1692">
        <f>SUM(C44:C46)</f>
        <v>30291</v>
      </c>
      <c r="D47" s="1692">
        <f t="shared" ref="D47:K47" si="4">SUM(D44:D46)</f>
        <v>46</v>
      </c>
      <c r="E47" s="1692">
        <f t="shared" si="4"/>
        <v>25387</v>
      </c>
      <c r="F47" s="1692">
        <f t="shared" si="4"/>
        <v>8333</v>
      </c>
      <c r="G47" s="1692">
        <f t="shared" si="4"/>
        <v>0</v>
      </c>
      <c r="H47" s="1692">
        <f t="shared" si="4"/>
        <v>3288</v>
      </c>
      <c r="I47" s="1692">
        <f t="shared" si="4"/>
        <v>0</v>
      </c>
      <c r="J47" s="1692">
        <f t="shared" si="4"/>
        <v>0</v>
      </c>
      <c r="K47" s="1692">
        <f t="shared" si="4"/>
        <v>67345</v>
      </c>
      <c r="L47" s="1692">
        <f>SUM(L44:L46)</f>
        <v>53650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82113</v>
      </c>
      <c r="F49" s="481">
        <v>3070</v>
      </c>
      <c r="G49" s="481"/>
      <c r="H49" s="481"/>
      <c r="I49" s="467"/>
      <c r="J49" s="467"/>
      <c r="K49" s="1694">
        <f>SUM(C49:J49)</f>
        <v>85183</v>
      </c>
      <c r="L49" s="481">
        <v>76500</v>
      </c>
    </row>
    <row r="50" spans="1:14" x14ac:dyDescent="0.2">
      <c r="A50" s="1526" t="s">
        <v>872</v>
      </c>
      <c r="B50" s="615">
        <v>2320</v>
      </c>
      <c r="C50" s="466">
        <v>223773</v>
      </c>
      <c r="D50" s="466">
        <v>65865</v>
      </c>
      <c r="E50" s="466">
        <v>13798</v>
      </c>
      <c r="F50" s="466">
        <v>3431</v>
      </c>
      <c r="G50" s="466"/>
      <c r="H50" s="466">
        <v>1417</v>
      </c>
      <c r="I50" s="467"/>
      <c r="J50" s="467"/>
      <c r="K50" s="1694">
        <f>SUM(C50:J50)</f>
        <v>308284</v>
      </c>
      <c r="L50" s="466">
        <v>279200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223773</v>
      </c>
      <c r="D53" s="1692">
        <f t="shared" ref="D53:L53" si="5">SUM(D49:D52)</f>
        <v>65865</v>
      </c>
      <c r="E53" s="1692">
        <f t="shared" si="5"/>
        <v>95911</v>
      </c>
      <c r="F53" s="1692">
        <f t="shared" si="5"/>
        <v>6501</v>
      </c>
      <c r="G53" s="1692">
        <f t="shared" si="5"/>
        <v>0</v>
      </c>
      <c r="H53" s="1692">
        <f t="shared" si="5"/>
        <v>1417</v>
      </c>
      <c r="I53" s="1692">
        <f t="shared" si="5"/>
        <v>0</v>
      </c>
      <c r="J53" s="1692">
        <f t="shared" si="5"/>
        <v>0</v>
      </c>
      <c r="K53" s="1692">
        <f t="shared" si="5"/>
        <v>393467</v>
      </c>
      <c r="L53" s="1692">
        <f t="shared" si="5"/>
        <v>355700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339795</v>
      </c>
      <c r="D55" s="481">
        <v>83032</v>
      </c>
      <c r="E55" s="481">
        <v>1815</v>
      </c>
      <c r="F55" s="481">
        <v>1096</v>
      </c>
      <c r="G55" s="481"/>
      <c r="H55" s="481"/>
      <c r="I55" s="467"/>
      <c r="J55" s="467"/>
      <c r="K55" s="1694">
        <f>SUM(C55:J55)</f>
        <v>425738</v>
      </c>
      <c r="L55" s="481">
        <v>425500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339795</v>
      </c>
      <c r="D57" s="1696">
        <f t="shared" ref="D57:K57" si="6">SUM(D55:D56)</f>
        <v>83032</v>
      </c>
      <c r="E57" s="1696">
        <f t="shared" si="6"/>
        <v>1815</v>
      </c>
      <c r="F57" s="1696">
        <f t="shared" si="6"/>
        <v>1096</v>
      </c>
      <c r="G57" s="1696">
        <f t="shared" si="6"/>
        <v>0</v>
      </c>
      <c r="H57" s="1696">
        <f t="shared" si="6"/>
        <v>0</v>
      </c>
      <c r="I57" s="1696">
        <f t="shared" si="6"/>
        <v>0</v>
      </c>
      <c r="J57" s="1696">
        <f t="shared" si="6"/>
        <v>0</v>
      </c>
      <c r="K57" s="1696">
        <f t="shared" si="6"/>
        <v>425738</v>
      </c>
      <c r="L57" s="1692">
        <f>SUM(L55:L56)</f>
        <v>425500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105334</v>
      </c>
      <c r="D59" s="481">
        <v>49707</v>
      </c>
      <c r="E59" s="481"/>
      <c r="F59" s="481"/>
      <c r="G59" s="481"/>
      <c r="H59" s="481"/>
      <c r="I59" s="467"/>
      <c r="J59" s="467"/>
      <c r="K59" s="1694">
        <f t="shared" ref="K59:K64" si="7">SUM(C59:J59)</f>
        <v>155041</v>
      </c>
      <c r="L59" s="481">
        <v>147334</v>
      </c>
      <c r="M59" s="610"/>
      <c r="N59" s="610"/>
    </row>
    <row r="60" spans="1:14" s="343" customFormat="1" x14ac:dyDescent="0.2">
      <c r="A60" s="1526" t="s">
        <v>483</v>
      </c>
      <c r="B60" s="615">
        <v>2520</v>
      </c>
      <c r="C60" s="466">
        <v>29770</v>
      </c>
      <c r="D60" s="466">
        <v>47</v>
      </c>
      <c r="E60" s="466">
        <v>35280</v>
      </c>
      <c r="F60" s="466">
        <v>2600</v>
      </c>
      <c r="G60" s="466"/>
      <c r="H60" s="466"/>
      <c r="I60" s="467"/>
      <c r="J60" s="467"/>
      <c r="K60" s="1694">
        <f t="shared" si="7"/>
        <v>67697</v>
      </c>
      <c r="L60" s="466">
        <v>61050</v>
      </c>
      <c r="M60" s="610"/>
      <c r="N60" s="610"/>
    </row>
    <row r="61" spans="1:14" s="343" customFormat="1" x14ac:dyDescent="0.2">
      <c r="A61" s="1526" t="s">
        <v>206</v>
      </c>
      <c r="B61" s="615">
        <v>2540</v>
      </c>
      <c r="C61" s="466">
        <v>3482</v>
      </c>
      <c r="D61" s="466"/>
      <c r="E61" s="466"/>
      <c r="F61" s="466"/>
      <c r="G61" s="466"/>
      <c r="H61" s="466"/>
      <c r="I61" s="467"/>
      <c r="J61" s="467"/>
      <c r="K61" s="1694">
        <f t="shared" si="7"/>
        <v>3482</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14832</v>
      </c>
      <c r="D63" s="466">
        <v>46</v>
      </c>
      <c r="E63" s="466">
        <v>278120</v>
      </c>
      <c r="F63" s="466">
        <v>27128</v>
      </c>
      <c r="G63" s="466">
        <v>2900</v>
      </c>
      <c r="H63" s="466"/>
      <c r="I63" s="467"/>
      <c r="J63" s="467"/>
      <c r="K63" s="1694">
        <f t="shared" si="7"/>
        <v>323026</v>
      </c>
      <c r="L63" s="466">
        <v>280400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153418</v>
      </c>
      <c r="D65" s="1692">
        <f t="shared" ref="D65:L65" si="8">SUM(D59:D64)</f>
        <v>49800</v>
      </c>
      <c r="E65" s="1692">
        <f t="shared" si="8"/>
        <v>313400</v>
      </c>
      <c r="F65" s="1692">
        <f t="shared" si="8"/>
        <v>29728</v>
      </c>
      <c r="G65" s="1692">
        <f t="shared" si="8"/>
        <v>2900</v>
      </c>
      <c r="H65" s="1692">
        <f t="shared" si="8"/>
        <v>0</v>
      </c>
      <c r="I65" s="1692">
        <f t="shared" si="8"/>
        <v>0</v>
      </c>
      <c r="J65" s="1692">
        <f t="shared" si="8"/>
        <v>0</v>
      </c>
      <c r="K65" s="1692">
        <f t="shared" si="8"/>
        <v>549246</v>
      </c>
      <c r="L65" s="1692">
        <f t="shared" si="8"/>
        <v>488784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v>115902</v>
      </c>
      <c r="D69" s="466">
        <v>16993</v>
      </c>
      <c r="E69" s="466">
        <v>24209</v>
      </c>
      <c r="F69" s="466">
        <v>82818</v>
      </c>
      <c r="G69" s="466">
        <v>2799</v>
      </c>
      <c r="H69" s="466"/>
      <c r="I69" s="467">
        <v>6350</v>
      </c>
      <c r="J69" s="467"/>
      <c r="K69" s="1694">
        <f>SUM(C69:J69)</f>
        <v>249071</v>
      </c>
      <c r="L69" s="466">
        <v>240000</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73486</v>
      </c>
      <c r="F71" s="466">
        <v>1362</v>
      </c>
      <c r="G71" s="466"/>
      <c r="H71" s="466"/>
      <c r="I71" s="467"/>
      <c r="J71" s="467"/>
      <c r="K71" s="1694">
        <f>SUM(C71:J71)</f>
        <v>74848</v>
      </c>
      <c r="L71" s="466">
        <v>66500</v>
      </c>
      <c r="M71" s="610"/>
      <c r="N71" s="610"/>
    </row>
    <row r="72" spans="1:14" s="343" customFormat="1" ht="12.75" customHeight="1" thickBot="1" x14ac:dyDescent="0.25">
      <c r="A72" s="1690" t="s">
        <v>37</v>
      </c>
      <c r="B72" s="1697" t="s">
        <v>36</v>
      </c>
      <c r="C72" s="1692">
        <f>SUM(C67:C71)</f>
        <v>115902</v>
      </c>
      <c r="D72" s="1692">
        <f t="shared" ref="D72:K72" si="9">SUM(D67:D71)</f>
        <v>16993</v>
      </c>
      <c r="E72" s="1692">
        <f t="shared" si="9"/>
        <v>97695</v>
      </c>
      <c r="F72" s="1692">
        <f t="shared" si="9"/>
        <v>84180</v>
      </c>
      <c r="G72" s="1692">
        <f t="shared" si="9"/>
        <v>2799</v>
      </c>
      <c r="H72" s="1692">
        <f t="shared" si="9"/>
        <v>0</v>
      </c>
      <c r="I72" s="1692">
        <f t="shared" si="9"/>
        <v>6350</v>
      </c>
      <c r="J72" s="1692">
        <f t="shared" si="9"/>
        <v>0</v>
      </c>
      <c r="K72" s="1692">
        <f t="shared" si="9"/>
        <v>323919</v>
      </c>
      <c r="L72" s="1692">
        <f>SUM(L67:L71)</f>
        <v>306500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1184695</v>
      </c>
      <c r="D74" s="1699">
        <f t="shared" ref="D74:K74" si="10">SUM(D42,D47,D53,D57,D65,D72,D73)</f>
        <v>246944</v>
      </c>
      <c r="E74" s="1699">
        <f t="shared" si="10"/>
        <v>557970</v>
      </c>
      <c r="F74" s="1699">
        <f t="shared" si="10"/>
        <v>136024</v>
      </c>
      <c r="G74" s="1699">
        <f t="shared" si="10"/>
        <v>5699</v>
      </c>
      <c r="H74" s="1699">
        <f t="shared" si="10"/>
        <v>4705</v>
      </c>
      <c r="I74" s="1699">
        <f t="shared" si="10"/>
        <v>6350</v>
      </c>
      <c r="J74" s="1699">
        <f t="shared" si="10"/>
        <v>0</v>
      </c>
      <c r="K74" s="1699">
        <f t="shared" si="10"/>
        <v>2142387</v>
      </c>
      <c r="L74" s="1699">
        <f>SUM(L42,L47,L53,L57,L65,L72,L73)</f>
        <v>2009719</v>
      </c>
    </row>
    <row r="75" spans="1:14" s="259" customFormat="1" ht="15.75" customHeight="1" thickTop="1" thickBot="1" x14ac:dyDescent="0.25">
      <c r="A75" s="1632" t="s">
        <v>49</v>
      </c>
      <c r="B75" s="1633" t="s">
        <v>596</v>
      </c>
      <c r="C75" s="573">
        <v>465</v>
      </c>
      <c r="D75" s="573">
        <v>7</v>
      </c>
      <c r="E75" s="573">
        <v>10502</v>
      </c>
      <c r="F75" s="573">
        <v>2041</v>
      </c>
      <c r="G75" s="573"/>
      <c r="H75" s="573"/>
      <c r="I75" s="531"/>
      <c r="J75" s="531"/>
      <c r="K75" s="1692">
        <f>SUM(C75:J75)</f>
        <v>13015</v>
      </c>
      <c r="L75" s="576">
        <v>18400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557801</v>
      </c>
      <c r="F79" s="617"/>
      <c r="G79" s="617"/>
      <c r="H79" s="466"/>
      <c r="I79" s="477"/>
      <c r="J79" s="477"/>
      <c r="K79" s="1693">
        <f t="shared" si="11"/>
        <v>557801</v>
      </c>
      <c r="L79" s="466">
        <v>620000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1318</v>
      </c>
      <c r="F83" s="617"/>
      <c r="G83" s="617"/>
      <c r="H83" s="466">
        <v>16903</v>
      </c>
      <c r="I83" s="477"/>
      <c r="J83" s="477"/>
      <c r="K83" s="1693">
        <f t="shared" si="11"/>
        <v>18221</v>
      </c>
      <c r="L83" s="466">
        <v>0</v>
      </c>
    </row>
    <row r="84" spans="1:12" ht="13.5" thickBot="1" x14ac:dyDescent="0.25">
      <c r="A84" s="1690" t="s">
        <v>1565</v>
      </c>
      <c r="B84" s="1700">
        <v>4100</v>
      </c>
      <c r="C84" s="617"/>
      <c r="D84" s="617"/>
      <c r="E84" s="1692">
        <f>SUM(E78:E83)</f>
        <v>559119</v>
      </c>
      <c r="F84" s="617"/>
      <c r="G84" s="617"/>
      <c r="H84" s="1692">
        <f>SUM(H78:H83)</f>
        <v>16903</v>
      </c>
      <c r="I84" s="477"/>
      <c r="J84" s="477"/>
      <c r="K84" s="1692">
        <f>SUM(K78:K83)</f>
        <v>576022</v>
      </c>
      <c r="L84" s="1692">
        <f>SUM(L78:L83)</f>
        <v>620000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559119</v>
      </c>
      <c r="F102" s="617"/>
      <c r="G102" s="617"/>
      <c r="H102" s="1699">
        <f>SUM(H84,H92,H100,H101)</f>
        <v>16903</v>
      </c>
      <c r="I102" s="477"/>
      <c r="J102" s="477"/>
      <c r="K102" s="1699">
        <f>SUM(K84,K92,K100,K101)</f>
        <v>576022</v>
      </c>
      <c r="L102" s="1699">
        <f>SUM(L84,L92,L100,L101)</f>
        <v>620000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5078802</v>
      </c>
      <c r="D114" s="1692">
        <f t="shared" ref="D114:K114" si="13">SUM(D33,D74,D75,D102,D112,D113)</f>
        <v>905265</v>
      </c>
      <c r="E114" s="1692">
        <f t="shared" si="13"/>
        <v>1196685</v>
      </c>
      <c r="F114" s="1692">
        <f t="shared" si="13"/>
        <v>297536</v>
      </c>
      <c r="G114" s="1692">
        <f t="shared" si="13"/>
        <v>31962</v>
      </c>
      <c r="H114" s="1692">
        <f>SUM(H33,H74,H75,H102,H112,H113)</f>
        <v>21608</v>
      </c>
      <c r="I114" s="1692">
        <f t="shared" si="13"/>
        <v>6350</v>
      </c>
      <c r="J114" s="1692">
        <f t="shared" si="13"/>
        <v>0</v>
      </c>
      <c r="K114" s="1692">
        <f t="shared" si="13"/>
        <v>7538208</v>
      </c>
      <c r="L114" s="1692">
        <f>SUM(L33,L74,L75,L102,L112,L113)</f>
        <v>7561374</v>
      </c>
    </row>
    <row r="115" spans="1:14" ht="13.5" thickTop="1" x14ac:dyDescent="0.2">
      <c r="A115" s="2172" t="s">
        <v>1053</v>
      </c>
      <c r="B115" s="2173"/>
      <c r="C115" s="619"/>
      <c r="D115" s="619"/>
      <c r="E115" s="619"/>
      <c r="F115" s="619"/>
      <c r="G115" s="619"/>
      <c r="H115" s="619"/>
      <c r="I115" s="619"/>
      <c r="J115" s="619"/>
      <c r="K115" s="1706">
        <f>'Revenues 9-14'!C275-'Expenditures 15-22'!K114</f>
        <v>374176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242518</v>
      </c>
      <c r="D124" s="466">
        <v>63607</v>
      </c>
      <c r="E124" s="466">
        <v>220249</v>
      </c>
      <c r="F124" s="466">
        <v>197926</v>
      </c>
      <c r="G124" s="466">
        <v>50179</v>
      </c>
      <c r="H124" s="466"/>
      <c r="I124" s="467"/>
      <c r="J124" s="467"/>
      <c r="K124" s="1692">
        <f>SUM(C124:J124)</f>
        <v>774479</v>
      </c>
      <c r="L124" s="466">
        <v>809000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242518</v>
      </c>
      <c r="D127" s="1692">
        <f t="shared" ref="D127:L127" si="14">SUM(D122:D126)</f>
        <v>63607</v>
      </c>
      <c r="E127" s="1692">
        <f t="shared" si="14"/>
        <v>220249</v>
      </c>
      <c r="F127" s="1692">
        <f t="shared" si="14"/>
        <v>197926</v>
      </c>
      <c r="G127" s="1692">
        <f t="shared" si="14"/>
        <v>50179</v>
      </c>
      <c r="H127" s="1692">
        <f t="shared" si="14"/>
        <v>0</v>
      </c>
      <c r="I127" s="1692">
        <f t="shared" si="14"/>
        <v>0</v>
      </c>
      <c r="J127" s="1692">
        <f t="shared" si="14"/>
        <v>0</v>
      </c>
      <c r="K127" s="1692">
        <f t="shared" si="14"/>
        <v>774479</v>
      </c>
      <c r="L127" s="1692">
        <f t="shared" si="14"/>
        <v>809000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242518</v>
      </c>
      <c r="D129" s="1699">
        <f t="shared" ref="D129:L129" si="15">SUM(D120,D127,D128)</f>
        <v>63607</v>
      </c>
      <c r="E129" s="1699">
        <f t="shared" si="15"/>
        <v>220249</v>
      </c>
      <c r="F129" s="1699">
        <f t="shared" si="15"/>
        <v>197926</v>
      </c>
      <c r="G129" s="1699">
        <f t="shared" si="15"/>
        <v>50179</v>
      </c>
      <c r="H129" s="1699">
        <f t="shared" si="15"/>
        <v>0</v>
      </c>
      <c r="I129" s="1699">
        <f t="shared" si="15"/>
        <v>0</v>
      </c>
      <c r="J129" s="1699">
        <f t="shared" si="15"/>
        <v>0</v>
      </c>
      <c r="K129" s="1699">
        <f t="shared" si="15"/>
        <v>774479</v>
      </c>
      <c r="L129" s="1699">
        <f t="shared" si="15"/>
        <v>809000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69"/>
      <c r="C151" s="1692">
        <f>SUM(C129,C130,C139,C149,C150)</f>
        <v>242518</v>
      </c>
      <c r="D151" s="1692">
        <f t="shared" ref="D151:K151" si="16">SUM(D129,D130,D139,D149,D150)</f>
        <v>63607</v>
      </c>
      <c r="E151" s="1692">
        <f t="shared" si="16"/>
        <v>220249</v>
      </c>
      <c r="F151" s="1692">
        <f t="shared" si="16"/>
        <v>197926</v>
      </c>
      <c r="G151" s="1692">
        <f t="shared" si="16"/>
        <v>50179</v>
      </c>
      <c r="H151" s="1692">
        <f t="shared" si="16"/>
        <v>0</v>
      </c>
      <c r="I151" s="1692">
        <f t="shared" si="16"/>
        <v>0</v>
      </c>
      <c r="J151" s="1692">
        <f t="shared" si="16"/>
        <v>0</v>
      </c>
      <c r="K151" s="1692">
        <f t="shared" si="16"/>
        <v>774479</v>
      </c>
      <c r="L151" s="1692">
        <f>SUM(L129,L130,L139,L149,L150)</f>
        <v>809000</v>
      </c>
    </row>
    <row r="152" spans="1:14" ht="12.75" customHeight="1" thickTop="1" x14ac:dyDescent="0.2">
      <c r="A152" s="2192" t="s">
        <v>1240</v>
      </c>
      <c r="B152" s="2193"/>
      <c r="C152" s="619"/>
      <c r="D152" s="619"/>
      <c r="E152" s="619"/>
      <c r="F152" s="619"/>
      <c r="G152" s="619"/>
      <c r="H152" s="619"/>
      <c r="I152" s="619"/>
      <c r="J152" s="617"/>
      <c r="K152" s="1706">
        <f>'Revenues 9-14'!D275-'Expenditures 15-22'!K151</f>
        <v>31993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22450</v>
      </c>
      <c r="I169" s="617"/>
      <c r="J169" s="617"/>
      <c r="K169" s="1693">
        <f>SUM(C169:H169)</f>
        <v>22450</v>
      </c>
      <c r="L169" s="657">
        <v>61900</v>
      </c>
    </row>
    <row r="170" spans="1:14" ht="33.75" customHeight="1" x14ac:dyDescent="0.2">
      <c r="A170" s="670" t="s">
        <v>1769</v>
      </c>
      <c r="B170" s="672" t="s">
        <v>31</v>
      </c>
      <c r="C170" s="617"/>
      <c r="D170" s="617"/>
      <c r="E170" s="617"/>
      <c r="F170" s="617"/>
      <c r="G170" s="617"/>
      <c r="H170" s="569">
        <v>1025000</v>
      </c>
      <c r="I170" s="617"/>
      <c r="J170" s="617"/>
      <c r="K170" s="1693">
        <f>SUM(C170:J170)</f>
        <v>1025000</v>
      </c>
      <c r="L170" s="569">
        <v>1025000</v>
      </c>
    </row>
    <row r="171" spans="1:14" ht="15.75" customHeight="1" x14ac:dyDescent="0.2">
      <c r="A171" s="622" t="s">
        <v>790</v>
      </c>
      <c r="B171" s="673" t="s">
        <v>86</v>
      </c>
      <c r="C171" s="617"/>
      <c r="D171" s="617"/>
      <c r="E171" s="466"/>
      <c r="F171" s="617"/>
      <c r="G171" s="617"/>
      <c r="H171" s="569">
        <v>15075</v>
      </c>
      <c r="I171" s="477"/>
      <c r="J171" s="617"/>
      <c r="K171" s="1693">
        <f>SUM(C171:J171)</f>
        <v>15075</v>
      </c>
      <c r="L171" s="569">
        <v>0</v>
      </c>
    </row>
    <row r="172" spans="1:14" ht="12.75" customHeight="1" thickBot="1" x14ac:dyDescent="0.25">
      <c r="A172" s="1690" t="s">
        <v>659</v>
      </c>
      <c r="B172" s="1691" t="s">
        <v>513</v>
      </c>
      <c r="C172" s="617"/>
      <c r="D172" s="617"/>
      <c r="E172" s="1699">
        <f>SUM(E168,E169,E170,E171)</f>
        <v>0</v>
      </c>
      <c r="F172" s="617"/>
      <c r="G172" s="617"/>
      <c r="H172" s="1699">
        <f>SUM(H168,H169,H170,H171)</f>
        <v>1062525</v>
      </c>
      <c r="I172" s="639"/>
      <c r="J172" s="617"/>
      <c r="K172" s="1699">
        <f>SUM(K168,K169,K170,K171)</f>
        <v>1062525</v>
      </c>
      <c r="L172" s="1699">
        <f>SUM(L168,L169,L170,L171)</f>
        <v>1086900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1062525</v>
      </c>
      <c r="I174" s="639"/>
      <c r="J174" s="617"/>
      <c r="K174" s="1699">
        <f>SUM(K160,K172,K173)</f>
        <v>1062525</v>
      </c>
      <c r="L174" s="1699">
        <f>SUM(L160,L172,L173)</f>
        <v>1086900</v>
      </c>
    </row>
    <row r="175" spans="1:14" ht="13.5" thickTop="1" x14ac:dyDescent="0.2">
      <c r="A175" s="2172" t="s">
        <v>1053</v>
      </c>
      <c r="B175" s="2173"/>
      <c r="C175" s="617"/>
      <c r="D175" s="617"/>
      <c r="E175" s="617"/>
      <c r="F175" s="617"/>
      <c r="G175" s="617"/>
      <c r="H175" s="619"/>
      <c r="I175" s="617"/>
      <c r="J175" s="617"/>
      <c r="K175" s="1706">
        <f>'Revenues 9-14'!E275-'Expenditures 15-22'!K174</f>
        <v>-275090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201690</v>
      </c>
      <c r="D182" s="466">
        <v>10504</v>
      </c>
      <c r="E182" s="466">
        <v>327132</v>
      </c>
      <c r="F182" s="466">
        <v>36113</v>
      </c>
      <c r="G182" s="466"/>
      <c r="H182" s="466"/>
      <c r="I182" s="467"/>
      <c r="J182" s="467"/>
      <c r="K182" s="1693">
        <f>SUM(C182:J182)</f>
        <v>575439</v>
      </c>
      <c r="L182" s="466">
        <v>609500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201690</v>
      </c>
      <c r="D184" s="1699">
        <f t="shared" ref="D184:J184" si="17">SUM(D180,D182,D183)</f>
        <v>10504</v>
      </c>
      <c r="E184" s="1699">
        <f t="shared" si="17"/>
        <v>327132</v>
      </c>
      <c r="F184" s="1699">
        <f t="shared" si="17"/>
        <v>36113</v>
      </c>
      <c r="G184" s="1699">
        <f t="shared" si="17"/>
        <v>0</v>
      </c>
      <c r="H184" s="1699">
        <f t="shared" si="17"/>
        <v>0</v>
      </c>
      <c r="I184" s="1699">
        <f t="shared" si="17"/>
        <v>0</v>
      </c>
      <c r="J184" s="1699">
        <f t="shared" si="17"/>
        <v>0</v>
      </c>
      <c r="K184" s="1699">
        <f>SUM(K180,K182,K183)</f>
        <v>575439</v>
      </c>
      <c r="L184" s="1699">
        <f>SUM(L180, L182:L183)</f>
        <v>609500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201690</v>
      </c>
      <c r="D210" s="1692">
        <f>SUM(D184,D185)</f>
        <v>10504</v>
      </c>
      <c r="E210" s="1692">
        <f>SUM(E184,E185,E196)</f>
        <v>327132</v>
      </c>
      <c r="F210" s="1692">
        <f>SUM(F184,F185)</f>
        <v>36113</v>
      </c>
      <c r="G210" s="1692">
        <f>SUM(G184,G185)</f>
        <v>0</v>
      </c>
      <c r="H210" s="1692">
        <f>SUM(H184,H185,H196,H208,H209)</f>
        <v>0</v>
      </c>
      <c r="I210" s="1692">
        <f>SUM(I184,I185)</f>
        <v>0</v>
      </c>
      <c r="J210" s="1692">
        <f>SUM(J184,J185)</f>
        <v>0</v>
      </c>
      <c r="K210" s="1693">
        <f>SUM(K184,K185,K196,K208,K209)</f>
        <v>575439</v>
      </c>
      <c r="L210" s="1692">
        <f>SUM(L184,L185,L196,L208,L209)</f>
        <v>609500</v>
      </c>
    </row>
    <row r="211" spans="1:14" ht="13.5" thickTop="1" x14ac:dyDescent="0.2">
      <c r="A211" s="2172" t="s">
        <v>1053</v>
      </c>
      <c r="B211" s="2173"/>
      <c r="C211" s="619"/>
      <c r="D211" s="619"/>
      <c r="E211" s="619"/>
      <c r="F211" s="619"/>
      <c r="G211" s="619"/>
      <c r="H211" s="619"/>
      <c r="I211" s="617"/>
      <c r="J211" s="617"/>
      <c r="K211" s="1706">
        <f>'Revenues 9-14'!F275-'Expenditures 15-22'!K210</f>
        <v>-81120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40892</v>
      </c>
      <c r="E215" s="617"/>
      <c r="F215" s="617"/>
      <c r="G215" s="617"/>
      <c r="H215" s="617"/>
      <c r="I215" s="617"/>
      <c r="J215" s="617"/>
      <c r="K215" s="1693">
        <f>D215</f>
        <v>40892</v>
      </c>
      <c r="L215" s="466">
        <v>35350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63351</v>
      </c>
      <c r="E217" s="617"/>
      <c r="F217" s="617"/>
      <c r="G217" s="617"/>
      <c r="H217" s="617"/>
      <c r="I217" s="617"/>
      <c r="J217" s="617"/>
      <c r="K217" s="1693">
        <f t="shared" si="19"/>
        <v>63351</v>
      </c>
      <c r="L217" s="466">
        <v>68025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8506</v>
      </c>
      <c r="E219" s="617"/>
      <c r="F219" s="617"/>
      <c r="G219" s="617"/>
      <c r="H219" s="617"/>
      <c r="I219" s="617"/>
      <c r="J219" s="617"/>
      <c r="K219" s="1693">
        <f t="shared" si="19"/>
        <v>8506</v>
      </c>
      <c r="L219" s="466">
        <v>9800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1435</v>
      </c>
      <c r="E223" s="617"/>
      <c r="F223" s="617"/>
      <c r="G223" s="617"/>
      <c r="H223" s="617"/>
      <c r="I223" s="617"/>
      <c r="J223" s="617"/>
      <c r="K223" s="1693">
        <f t="shared" si="19"/>
        <v>1435</v>
      </c>
      <c r="L223" s="466">
        <v>1800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3606</v>
      </c>
      <c r="E227" s="617"/>
      <c r="F227" s="617"/>
      <c r="G227" s="617"/>
      <c r="H227" s="617"/>
      <c r="I227" s="617"/>
      <c r="J227" s="617"/>
      <c r="K227" s="1693">
        <f t="shared" si="19"/>
        <v>3606</v>
      </c>
      <c r="L227" s="466">
        <v>3330</v>
      </c>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117790</v>
      </c>
      <c r="E229" s="617"/>
      <c r="F229" s="617"/>
      <c r="G229" s="617"/>
      <c r="H229" s="617"/>
      <c r="I229" s="617"/>
      <c r="J229" s="617"/>
      <c r="K229" s="1692">
        <f>SUM(K215:K228)</f>
        <v>117790</v>
      </c>
      <c r="L229" s="1692">
        <f>SUM(L215:L228)</f>
        <v>118305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1473</v>
      </c>
      <c r="E232" s="617"/>
      <c r="F232" s="617"/>
      <c r="G232" s="617"/>
      <c r="H232" s="617"/>
      <c r="I232" s="617"/>
      <c r="J232" s="617"/>
      <c r="K232" s="1693">
        <f t="shared" ref="K232:K237" si="20">D232</f>
        <v>1473</v>
      </c>
      <c r="L232" s="466">
        <v>1425</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6967</v>
      </c>
      <c r="E234" s="617"/>
      <c r="F234" s="617"/>
      <c r="G234" s="617"/>
      <c r="H234" s="617"/>
      <c r="I234" s="617"/>
      <c r="J234" s="617"/>
      <c r="K234" s="1693">
        <f t="shared" si="20"/>
        <v>6967</v>
      </c>
      <c r="L234" s="466">
        <v>8300</v>
      </c>
    </row>
    <row r="235" spans="1:12" x14ac:dyDescent="0.2">
      <c r="A235" s="1526" t="s">
        <v>208</v>
      </c>
      <c r="B235" s="615">
        <v>2140</v>
      </c>
      <c r="C235" s="617"/>
      <c r="D235" s="466">
        <v>696</v>
      </c>
      <c r="E235" s="617"/>
      <c r="F235" s="617"/>
      <c r="G235" s="617"/>
      <c r="H235" s="617"/>
      <c r="I235" s="617"/>
      <c r="J235" s="617"/>
      <c r="K235" s="1693">
        <f t="shared" si="20"/>
        <v>696</v>
      </c>
      <c r="L235" s="466">
        <v>685</v>
      </c>
    </row>
    <row r="236" spans="1:12" x14ac:dyDescent="0.2">
      <c r="A236" s="1526" t="s">
        <v>209</v>
      </c>
      <c r="B236" s="615">
        <v>2150</v>
      </c>
      <c r="C236" s="617"/>
      <c r="D236" s="466">
        <v>2322</v>
      </c>
      <c r="E236" s="617"/>
      <c r="F236" s="617"/>
      <c r="G236" s="617"/>
      <c r="H236" s="617"/>
      <c r="I236" s="617"/>
      <c r="J236" s="617"/>
      <c r="K236" s="1693">
        <f t="shared" si="20"/>
        <v>2322</v>
      </c>
      <c r="L236" s="466">
        <v>1100</v>
      </c>
    </row>
    <row r="237" spans="1:12" x14ac:dyDescent="0.2">
      <c r="A237" s="1526" t="s">
        <v>167</v>
      </c>
      <c r="B237" s="615">
        <v>2190</v>
      </c>
      <c r="C237" s="617"/>
      <c r="D237" s="466">
        <v>7210</v>
      </c>
      <c r="E237" s="617"/>
      <c r="F237" s="617"/>
      <c r="G237" s="617"/>
      <c r="H237" s="617"/>
      <c r="I237" s="617"/>
      <c r="J237" s="617"/>
      <c r="K237" s="1693">
        <f t="shared" si="20"/>
        <v>7210</v>
      </c>
      <c r="L237" s="466">
        <v>6350</v>
      </c>
    </row>
    <row r="238" spans="1:12" ht="12.75" customHeight="1" thickBot="1" x14ac:dyDescent="0.25">
      <c r="A238" s="1690" t="s">
        <v>581</v>
      </c>
      <c r="B238" s="1697" t="s">
        <v>740</v>
      </c>
      <c r="C238" s="617"/>
      <c r="D238" s="1692">
        <f>SUM(D232:D237)</f>
        <v>18668</v>
      </c>
      <c r="E238" s="617"/>
      <c r="F238" s="617"/>
      <c r="G238" s="617"/>
      <c r="H238" s="617"/>
      <c r="I238" s="617"/>
      <c r="J238" s="617"/>
      <c r="K238" s="1692">
        <f>SUM(K232:K237)</f>
        <v>18668</v>
      </c>
      <c r="L238" s="1692">
        <f>SUM(L232:L237)</f>
        <v>17860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6018</v>
      </c>
      <c r="E241" s="617"/>
      <c r="F241" s="617"/>
      <c r="G241" s="617"/>
      <c r="H241" s="617"/>
      <c r="I241" s="617"/>
      <c r="J241" s="617"/>
      <c r="K241" s="1694">
        <f>D241</f>
        <v>6018</v>
      </c>
      <c r="L241" s="466">
        <v>6000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6018</v>
      </c>
      <c r="E243" s="617"/>
      <c r="F243" s="617"/>
      <c r="G243" s="617"/>
      <c r="H243" s="617"/>
      <c r="I243" s="617"/>
      <c r="J243" s="617"/>
      <c r="K243" s="1692">
        <f>SUM(K240:K242)</f>
        <v>6018</v>
      </c>
      <c r="L243" s="1692">
        <f>SUM(L240:L242)</f>
        <v>6000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13661</v>
      </c>
      <c r="E246" s="617"/>
      <c r="F246" s="617"/>
      <c r="G246" s="617"/>
      <c r="H246" s="617"/>
      <c r="I246" s="617"/>
      <c r="J246" s="617"/>
      <c r="K246" s="1694">
        <f t="shared" ref="K246:K256" si="21">D246</f>
        <v>13661</v>
      </c>
      <c r="L246" s="466">
        <v>12700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13661</v>
      </c>
      <c r="E257" s="617"/>
      <c r="F257" s="617"/>
      <c r="G257" s="617"/>
      <c r="H257" s="617"/>
      <c r="I257" s="617"/>
      <c r="J257" s="617"/>
      <c r="K257" s="1692">
        <f>SUM(K245:K256)</f>
        <v>13661</v>
      </c>
      <c r="L257" s="1692">
        <f>SUM(L245:L256)</f>
        <v>12700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23270</v>
      </c>
      <c r="E259" s="617"/>
      <c r="F259" s="617"/>
      <c r="G259" s="617"/>
      <c r="H259" s="617"/>
      <c r="I259" s="617"/>
      <c r="J259" s="617"/>
      <c r="K259" s="1694">
        <f>D259</f>
        <v>23270</v>
      </c>
      <c r="L259" s="481">
        <v>23250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23270</v>
      </c>
      <c r="E261" s="617"/>
      <c r="F261" s="617"/>
      <c r="G261" s="617"/>
      <c r="H261" s="617"/>
      <c r="I261" s="617"/>
      <c r="J261" s="617"/>
      <c r="K261" s="1692">
        <f>SUM(K259:K260)</f>
        <v>23270</v>
      </c>
      <c r="L261" s="1692">
        <f>SUM(L259:L260)</f>
        <v>23250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1502</v>
      </c>
      <c r="E263" s="617"/>
      <c r="F263" s="617"/>
      <c r="G263" s="617"/>
      <c r="H263" s="617"/>
      <c r="I263" s="617"/>
      <c r="J263" s="617"/>
      <c r="K263" s="1694">
        <f>D263</f>
        <v>1502</v>
      </c>
      <c r="L263" s="481">
        <v>1500</v>
      </c>
    </row>
    <row r="264" spans="1:14" x14ac:dyDescent="0.2">
      <c r="A264" s="1526" t="s">
        <v>483</v>
      </c>
      <c r="B264" s="686">
        <v>2520</v>
      </c>
      <c r="C264" s="617"/>
      <c r="D264" s="466">
        <v>5915</v>
      </c>
      <c r="E264" s="617"/>
      <c r="F264" s="617"/>
      <c r="G264" s="617"/>
      <c r="H264" s="617"/>
      <c r="I264" s="617"/>
      <c r="J264" s="617"/>
      <c r="K264" s="1694">
        <f t="shared" ref="K264:K269" si="22">D264</f>
        <v>5915</v>
      </c>
      <c r="L264" s="466">
        <v>5500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47290</v>
      </c>
      <c r="E266" s="617"/>
      <c r="F266" s="617"/>
      <c r="G266" s="617"/>
      <c r="H266" s="617"/>
      <c r="I266" s="617"/>
      <c r="J266" s="617"/>
      <c r="K266" s="1694">
        <f t="shared" si="22"/>
        <v>47290</v>
      </c>
      <c r="L266" s="466">
        <v>48150</v>
      </c>
    </row>
    <row r="267" spans="1:14" x14ac:dyDescent="0.2">
      <c r="A267" s="1526" t="s">
        <v>1010</v>
      </c>
      <c r="B267" s="615">
        <v>2550</v>
      </c>
      <c r="C267" s="617"/>
      <c r="D267" s="466">
        <v>38586</v>
      </c>
      <c r="E267" s="617"/>
      <c r="F267" s="617"/>
      <c r="G267" s="617"/>
      <c r="H267" s="617"/>
      <c r="I267" s="617"/>
      <c r="J267" s="617"/>
      <c r="K267" s="1694">
        <f t="shared" si="22"/>
        <v>38586</v>
      </c>
      <c r="L267" s="466">
        <v>35300</v>
      </c>
    </row>
    <row r="268" spans="1:14" x14ac:dyDescent="0.2">
      <c r="A268" s="1526" t="s">
        <v>102</v>
      </c>
      <c r="B268" s="615">
        <v>2560</v>
      </c>
      <c r="C268" s="617"/>
      <c r="D268" s="466">
        <v>2948</v>
      </c>
      <c r="E268" s="617"/>
      <c r="F268" s="617"/>
      <c r="G268" s="617"/>
      <c r="H268" s="617"/>
      <c r="I268" s="617"/>
      <c r="J268" s="617"/>
      <c r="K268" s="1694">
        <f t="shared" si="22"/>
        <v>2948</v>
      </c>
      <c r="L268" s="466">
        <v>3100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96241</v>
      </c>
      <c r="E270" s="617"/>
      <c r="F270" s="617"/>
      <c r="G270" s="617"/>
      <c r="H270" s="617"/>
      <c r="I270" s="617"/>
      <c r="J270" s="617"/>
      <c r="K270" s="1692">
        <f>SUM(K263:K269)</f>
        <v>96241</v>
      </c>
      <c r="L270" s="1692">
        <f>SUM(L263:L269)</f>
        <v>93550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v>21732</v>
      </c>
      <c r="E274" s="617"/>
      <c r="F274" s="617"/>
      <c r="G274" s="617"/>
      <c r="H274" s="617"/>
      <c r="I274" s="617"/>
      <c r="J274" s="617"/>
      <c r="K274" s="1694">
        <f>D274</f>
        <v>21732</v>
      </c>
      <c r="L274" s="466">
        <v>23400</v>
      </c>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21732</v>
      </c>
      <c r="E277" s="617"/>
      <c r="F277" s="617"/>
      <c r="G277" s="617"/>
      <c r="H277" s="617"/>
      <c r="I277" s="617"/>
      <c r="J277" s="617"/>
      <c r="K277" s="1692">
        <f>SUM(K272:K276)</f>
        <v>21732</v>
      </c>
      <c r="L277" s="1692">
        <f>SUM(L272:L276)</f>
        <v>23400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179590</v>
      </c>
      <c r="E279" s="617"/>
      <c r="F279" s="617"/>
      <c r="G279" s="617"/>
      <c r="H279" s="617"/>
      <c r="I279" s="617"/>
      <c r="J279" s="617"/>
      <c r="K279" s="1699">
        <f>SUM(K238,K243,K257,K261,K270,K277,K278)</f>
        <v>179590</v>
      </c>
      <c r="L279" s="1699">
        <f>SUM(L238,L243,L257,L261,L270,L277,L278)</f>
        <v>176760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297380</v>
      </c>
      <c r="E295" s="617"/>
      <c r="F295" s="617"/>
      <c r="G295" s="617"/>
      <c r="H295" s="1692">
        <f>H293</f>
        <v>0</v>
      </c>
      <c r="I295" s="617"/>
      <c r="J295" s="617"/>
      <c r="K295" s="1692">
        <f>SUM(K229,K279,K280,K285,K293,K294)</f>
        <v>297380</v>
      </c>
      <c r="L295" s="1692">
        <f>SUM(L229,L279,L280,L285,L293,L294)</f>
        <v>295065</v>
      </c>
    </row>
    <row r="296" spans="1:14" ht="13.5" thickTop="1" x14ac:dyDescent="0.2">
      <c r="A296" s="2172" t="s">
        <v>1053</v>
      </c>
      <c r="B296" s="2173"/>
      <c r="C296" s="617"/>
      <c r="D296" s="619"/>
      <c r="E296" s="617"/>
      <c r="F296" s="617"/>
      <c r="G296" s="617"/>
      <c r="H296" s="688"/>
      <c r="I296" s="617"/>
      <c r="J296" s="617"/>
      <c r="K296" s="1706">
        <f>'Revenues 9-14'!G275-'Expenditures 15-22'!K295</f>
        <v>-39206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40000</v>
      </c>
      <c r="F320" s="467"/>
      <c r="G320" s="467"/>
      <c r="H320" s="467"/>
      <c r="I320" s="467"/>
      <c r="J320" s="467"/>
      <c r="K320" s="1693">
        <f t="shared" ref="K320:K327" si="24">SUM(C320:J320)</f>
        <v>40000</v>
      </c>
      <c r="L320" s="467">
        <v>40000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40000</v>
      </c>
      <c r="F330" s="1692">
        <f t="shared" si="25"/>
        <v>0</v>
      </c>
      <c r="G330" s="1692">
        <f t="shared" si="25"/>
        <v>0</v>
      </c>
      <c r="H330" s="1692">
        <f t="shared" si="25"/>
        <v>0</v>
      </c>
      <c r="I330" s="1692">
        <f t="shared" si="25"/>
        <v>0</v>
      </c>
      <c r="J330" s="1692">
        <f t="shared" si="25"/>
        <v>0</v>
      </c>
      <c r="K330" s="1692">
        <f>SUM(K319:K329)</f>
        <v>40000</v>
      </c>
      <c r="L330" s="1692">
        <f>SUM(L319:L329)</f>
        <v>40000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40000</v>
      </c>
      <c r="F342" s="1692">
        <f>SUM(F330)</f>
        <v>0</v>
      </c>
      <c r="G342" s="1692">
        <f>SUM(G330)</f>
        <v>0</v>
      </c>
      <c r="H342" s="1692">
        <f>SUM(H330,H334,H340)</f>
        <v>0</v>
      </c>
      <c r="I342" s="1692">
        <f>SUM(I330)</f>
        <v>0</v>
      </c>
      <c r="J342" s="1692">
        <f>SUM(J330)</f>
        <v>0</v>
      </c>
      <c r="K342" s="1692">
        <f>SUM(K330,K334,K340)</f>
        <v>40000</v>
      </c>
      <c r="L342" s="1699">
        <f>SUM(L330,L340,L341)</f>
        <v>40000</v>
      </c>
    </row>
    <row r="343" spans="1:14" ht="12.75" customHeight="1" thickTop="1" x14ac:dyDescent="0.2">
      <c r="A343" s="2185" t="s">
        <v>1053</v>
      </c>
      <c r="B343" s="2186"/>
      <c r="C343" s="617"/>
      <c r="D343" s="617"/>
      <c r="E343" s="617"/>
      <c r="F343" s="617"/>
      <c r="G343" s="617"/>
      <c r="H343" s="617"/>
      <c r="I343" s="617"/>
      <c r="J343" s="617"/>
      <c r="K343" s="1706">
        <f>'Revenues 9-14'!J275-'Expenditures 15-22'!K342</f>
        <v>2949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2" t="s">
        <v>1053</v>
      </c>
      <c r="B368" s="217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dcmitype/"/>
    <ds:schemaRef ds:uri="http://www.w3.org/XML/1998/namespace"/>
    <ds:schemaRef ds:uri="http://schemas.microsoft.com/office/2006/metadata/properties"/>
    <ds:schemaRef ds:uri="6ce3111e-7420-4802-b50a-75d4e9a0b980"/>
    <ds:schemaRef ds:uri="d21dc803-237d-4c68-8692-8d731fd29118"/>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2018-09-14T21:31:57Z</cp:lastPrinted>
  <dcterms:created xsi:type="dcterms:W3CDTF">2003-10-29T19:06:34Z</dcterms:created>
  <dcterms:modified xsi:type="dcterms:W3CDTF">2018-12-06T19:59:08Z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