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D13" i="7"/>
  <c r="B3726" i="106" s="1"/>
  <c r="D3726" i="106" s="1"/>
  <c r="F131" i="34"/>
  <c r="F128" i="34"/>
  <c r="F111" i="34"/>
  <c r="B5847" i="106"/>
  <c r="D5847" i="106" s="1"/>
  <c r="B5752" i="106"/>
  <c r="D5752" i="106" s="1"/>
  <c r="B5599" i="106"/>
  <c r="D5599" i="106" s="1"/>
  <c r="K274" i="5"/>
  <c r="H109" i="5"/>
  <c r="B6025" i="106" s="1"/>
  <c r="D6025" i="106" s="1"/>
  <c r="D7" i="7"/>
  <c r="B1763" i="106" s="1"/>
  <c r="D1763" i="106" s="1"/>
  <c r="B1746" i="106"/>
  <c r="D1746" i="106" s="1"/>
  <c r="D12" i="7"/>
  <c r="B1769" i="106" s="1"/>
  <c r="D1769" i="106" s="1"/>
  <c r="G173" i="5" l="1"/>
  <c r="B5778" i="106" s="1"/>
  <c r="D5778" i="106" s="1"/>
  <c r="B5770" i="106"/>
  <c r="D5770" i="106" s="1"/>
  <c r="D15" i="7"/>
  <c r="B1772" i="106" s="1"/>
  <c r="D1772" i="106" s="1"/>
  <c r="D17" i="7"/>
  <c r="B4104" i="106" s="1"/>
  <c r="D4104" i="106" s="1"/>
  <c r="H4" i="4"/>
  <c r="B2655" i="106" s="1"/>
  <c r="D2655" i="106" s="1"/>
  <c r="F106" i="34"/>
  <c r="H173" i="5"/>
  <c r="F127" i="34"/>
  <c r="F130" i="34"/>
  <c r="F136" i="34"/>
  <c r="D9" i="7"/>
  <c r="B1767" i="106" s="1"/>
  <c r="D1767" i="106" s="1"/>
  <c r="I274" i="5"/>
  <c r="K173" i="5"/>
  <c r="K6" i="4" s="1"/>
  <c r="B3570" i="106" s="1"/>
  <c r="D3570" i="106" s="1"/>
  <c r="F172" i="5"/>
  <c r="B5644" i="106" s="1"/>
  <c r="D5644" i="106" s="1"/>
  <c r="L367" i="29"/>
  <c r="B7235" i="106"/>
  <c r="D7235" i="106" s="1"/>
  <c r="J77" i="4"/>
  <c r="B6262" i="106" s="1"/>
  <c r="D6262" i="106" s="1"/>
  <c r="B7041" i="106"/>
  <c r="D7041" i="106" s="1"/>
  <c r="B6191" i="106"/>
  <c r="D6191" i="106" s="1"/>
  <c r="J41" i="3"/>
  <c r="K28" i="118"/>
  <c r="O27" i="118" s="1"/>
  <c r="O29" i="118" s="1"/>
  <c r="K350" i="29"/>
  <c r="H367" i="29"/>
  <c r="K76" i="4"/>
  <c r="B3586" i="106" s="1"/>
  <c r="D3586" i="106" s="1"/>
  <c r="H76" i="4"/>
  <c r="B3298" i="106" s="1"/>
  <c r="D3298" i="106" s="1"/>
  <c r="K285" i="29"/>
  <c r="F73" i="34" s="1"/>
  <c r="K24" i="12"/>
  <c r="B3649" i="106"/>
  <c r="D3649" i="106" s="1"/>
  <c r="G367" i="29"/>
  <c r="B3621" i="106"/>
  <c r="D3621" i="106" s="1"/>
  <c r="C367" i="29"/>
  <c r="F19" i="7"/>
  <c r="B1807" i="106" s="1"/>
  <c r="D1807" i="106" s="1"/>
  <c r="L5" i="11"/>
  <c r="B2056" i="106" s="1"/>
  <c r="D2056" i="106" s="1"/>
  <c r="B6995" i="106"/>
  <c r="D6995" i="106" s="1"/>
  <c r="F38" i="34"/>
  <c r="I129" i="29"/>
  <c r="B7037" i="106" s="1"/>
  <c r="D7037" i="106" s="1"/>
  <c r="C129" i="29"/>
  <c r="B1225" i="106" s="1"/>
  <c r="D1225" i="106" s="1"/>
  <c r="B1329" i="106"/>
  <c r="D1329" i="106" s="1"/>
  <c r="F61" i="34"/>
  <c r="K184" i="29"/>
  <c r="F13" i="4" s="1"/>
  <c r="B2596" i="106" s="1"/>
  <c r="D2596" i="106" s="1"/>
  <c r="G15" i="4"/>
  <c r="B6032" i="106" s="1"/>
  <c r="D6032" i="106" s="1"/>
  <c r="B3723" i="106"/>
  <c r="D3723" i="106" s="1"/>
  <c r="B1410" i="106"/>
  <c r="D1410" i="106" s="1"/>
  <c r="D11" i="7"/>
  <c r="B1768" i="106" s="1"/>
  <c r="D1768" i="106" s="1"/>
  <c r="G109" i="5"/>
  <c r="B6024" i="106" s="1"/>
  <c r="D6024" i="106" s="1"/>
  <c r="E109" i="5"/>
  <c r="E4" i="4" s="1"/>
  <c r="B2630" i="106" s="1"/>
  <c r="D2630" i="106" s="1"/>
  <c r="D109" i="5"/>
  <c r="D5" i="7"/>
  <c r="B1761" i="106" s="1"/>
  <c r="D1761" i="106" s="1"/>
  <c r="C172" i="5"/>
  <c r="B5214" i="106" s="1"/>
  <c r="D5214" i="106" s="1"/>
  <c r="C109" i="5"/>
  <c r="B5121" i="106" s="1"/>
  <c r="D5121" i="106" s="1"/>
  <c r="B5096" i="106"/>
  <c r="D5096" i="106" s="1"/>
  <c r="D4" i="7"/>
  <c r="B1760" i="106" s="1"/>
  <c r="D1760" i="106" s="1"/>
  <c r="D54" i="36"/>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3670" i="106" l="1"/>
  <c r="D3670" i="106" s="1"/>
  <c r="K352" i="29"/>
  <c r="F275" i="5"/>
  <c r="B7733" i="106"/>
  <c r="D7733" i="106" s="1"/>
  <c r="K26" i="12"/>
  <c r="B7743" i="106" s="1"/>
  <c r="D7743" i="106" s="1"/>
  <c r="B5906" i="106"/>
  <c r="D5906" i="106" s="1"/>
  <c r="H6" i="4"/>
  <c r="D19" i="7"/>
  <c r="B1775" i="106" s="1"/>
  <c r="D1775" i="106" s="1"/>
  <c r="L114" i="29"/>
  <c r="L16" i="11"/>
  <c r="B2061" i="106" s="1"/>
  <c r="D2061" i="106" s="1"/>
  <c r="C114" i="29"/>
  <c r="B757" i="106" s="1"/>
  <c r="D757" i="106" s="1"/>
  <c r="I151" i="29"/>
  <c r="F59" i="34" s="1"/>
  <c r="C151" i="29"/>
  <c r="B1226" i="106" s="1"/>
  <c r="D1226" i="106" s="1"/>
  <c r="B1381" i="106"/>
  <c r="D1381" i="106" s="1"/>
  <c r="K342" i="29"/>
  <c r="F13" i="34" s="1"/>
  <c r="G4" i="4"/>
  <c r="B2603" i="106" s="1"/>
  <c r="D2603" i="106" s="1"/>
  <c r="B5356" i="106"/>
  <c r="D5356" i="106" s="1"/>
  <c r="D4" i="4"/>
  <c r="B2564" i="106" s="1"/>
  <c r="D2564" i="106" s="1"/>
  <c r="C173" i="5"/>
  <c r="B5223" i="106" s="1"/>
  <c r="D5223" i="106" s="1"/>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K367" i="29"/>
  <c r="B1145" i="106"/>
  <c r="D1145" i="106" s="1"/>
  <c r="B7051" i="106"/>
  <c r="D7051" i="106" s="1"/>
  <c r="G41" i="108"/>
  <c r="G44" i="108" s="1"/>
  <c r="G45" i="108" s="1"/>
  <c r="E41" i="108"/>
  <c r="E44" i="108" s="1"/>
  <c r="E45" i="108" s="1"/>
  <c r="B7224" i="106"/>
  <c r="D7224" i="106" s="1"/>
  <c r="F8" i="4"/>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<sst xmlns="http://schemas.openxmlformats.org/spreadsheetml/2006/main" count="5064" uniqueCount="2117">
  <si>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</si>
  <si>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</si>
  <si>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</si>
  <si>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</si>
  <si>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</si>
  <si>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</si>
  <si>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</si>
  <si>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</si>
  <si>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</si>
  <si>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</si>
  <si>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</si>
  <si>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</si>
  <si>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</si>
  <si>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</si>
  <si>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</si>
  <si>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</si>
  <si>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</si>
  <si>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</si>
  <si>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</si>
  <si>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</si>
  <si>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</si>
  <si>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</si>
  <si>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</si>
  <si>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</si>
  <si>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</si>
  <si>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</si>
  <si>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</si>
  <si>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</si>
  <si>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</si>
  <si>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</si>
  <si>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</si>
  <si>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</si>
  <si>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</si>
  <si>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</si>
  <si>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</si>
  <si>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</si>
  <si>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</si>
  <si>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</si>
  <si>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</si>
  <si>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</si>
  <si>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</si>
  <si>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</si>
  <si>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</si>
  <si>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</si>
  <si>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</si>
  <si>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</si>
  <si>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</si>
  <si>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</si>
  <si>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</si>
  <si>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</si>
  <si>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</si>
  <si>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</si>
  <si>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</si>
  <si>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</si>
  <si>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</si>
  <si>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</si>
  <si>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</si>
  <si>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</si>
  <si>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</si>
  <si>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</si>
  <si>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</si>
  <si>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</si>
  <si>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</si>
  <si>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</si>
  <si>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</si>
  <si>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</si>
  <si>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</si>
  <si>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</si>
  <si>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</si>
  <si>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</si>
  <si>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</si>
  <si>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</si>
  <si>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</si>
  <si>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</si>
  <si>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</si>
  <si>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</si>
  <si>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</si>
  <si>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</si>
  <si>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</si>
  <si>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</si>
  <si>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</si>
  <si>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</si>
  <si>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</si>
  <si>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</si>
  <si>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</si>
  <si>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</si>
  <si>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</si>
  <si>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</si>
  <si>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</si>
  <si>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</si>
  <si>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</si>
  <si>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</si>
  <si>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</si>
  <si>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</si>
  <si>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</si>
  <si>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</si>
  <si>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</si>
  <si>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</si>
  <si>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</si>
  <si>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</si>
  <si>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</si>
  <si>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</si>
  <si>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</si>
  <si>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</si>
  <si>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</si>
  <si>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</si>
  <si>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</si>
  <si>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</si>
  <si>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</si>
  <si>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</si>
  <si>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</si>
  <si>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</si>
  <si>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</si>
  <si>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</si>
  <si>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</si>
  <si>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</si>
  <si>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</si>
  <si>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</si>
  <si>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</si>
  <si>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</si>
  <si>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</si>
  <si>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</si>
  <si>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</si>
  <si>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</si>
  <si>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</si>
  <si>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</si>
  <si>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</si>
  <si>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</si>
  <si>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</si>
  <si>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</si>
  <si>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</si>
  <si>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</si>
  <si>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</si>
  <si>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</si>
  <si>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</si>
  <si>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</si>
  <si>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</si>
  <si>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</si>
  <si>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</si>
  <si>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</si>
  <si>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</si>
  <si>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</si>
  <si>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</si>
  <si>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</si>
  <si>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</si>
  <si>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</si>
  <si>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</si>
  <si>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</si>
  <si>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</si>
  <si>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</si>
  <si>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</si>
  <si>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</si>
  <si>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</si>
  <si>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</si>
  <si>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</si>
  <si>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</si>
  <si>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</si>
  <si>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</si>
  <si>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</si>
  <si>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</si>
  <si>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</si>
  <si>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</si>
  <si>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</si>
  <si>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</si>
  <si>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</si>
  <si>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</si>
  <si>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</si>
  <si>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</si>
  <si>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</si>
  <si>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</si>
  <si>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</si>
  <si>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</si>
  <si>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</si>
  <si>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</si>
  <si>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</si>
  <si>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</si>
  <si>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</si>
  <si>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</si>
  <si>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</si>
  <si>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</si>
  <si>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</si>
  <si>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</si>
  <si>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</si>
  <si>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</si>
  <si>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</si>
  <si>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</si>
  <si>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</si>
  <si>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</si>
  <si>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</si>
  <si>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</si>
  <si>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</si>
  <si>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</si>
  <si>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</si>
  <si>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</si>
  <si>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</si>
  <si>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</si>
  <si>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</si>
  <si>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</si>
  <si>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</si>
  <si>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</si>
  <si>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</si>
  <si>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</si>
  <si>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</si>
  <si>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</si>
  <si>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</si>
  <si>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</si>
  <si>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</si>
  <si>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</si>
  <si>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</si>
  <si>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</si>
  <si>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</si>
  <si>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</si>
  <si>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</si>
  <si>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</si>
  <si>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</si>
  <si>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</si>
  <si>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</si>
  <si>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</si>
  <si>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</si>
  <si>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</si>
  <si>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</si>
  <si>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</si>
  <si>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</si>
  <si>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</si>
  <si>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</si>
  <si>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</si>
  <si>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</si>
  <si>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</si>
  <si>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</si>
  <si>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</si>
  <si>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</si>
  <si>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</si>
  <si>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</si>
  <si>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</si>
  <si>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</si>
  <si>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</si>
  <si>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</si>
  <si>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</si>
  <si>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</si>
  <si>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</si>
  <si>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</si>
  <si>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</si>
  <si>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</si>
  <si>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</si>
  <si>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</si>
  <si>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</si>
  <si>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</si>
  <si>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</si>
  <si>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</si>
  <si>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</si>
  <si>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</si>
  <si>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</si>
  <si>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</si>
  <si>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</si>
  <si>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</si>
  <si>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</si>
  <si>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</si>
  <si>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</si>
  <si>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</si>
  <si>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</si>
  <si>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</si>
  <si>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</si>
  <si>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</si>
  <si>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</si>
  <si>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</si>
  <si>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</si>
  <si>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</si>
  <si>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</si>
  <si>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</si>
  <si>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</si>
  <si>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</si>
  <si>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</si>
  <si>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</si>
  <si>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</si>
  <si>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</si>
  <si>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</si>
  <si>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</si>
  <si>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</si>
  <si>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</si>
  <si>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</si>
  <si>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</si>
  <si>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</si>
  <si>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</si>
  <si>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</si>
  <si>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</si>
  <si>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</si>
  <si>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</si>
  <si>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</si>
  <si>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</si>
  <si>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</si>
  <si>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</si>
  <si>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</si>
  <si>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</si>
  <si>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</si>
  <si>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</si>
  <si>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</si>
  <si>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</si>
  <si>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</si>
  <si>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</si>
  <si>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</si>
  <si>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</si>
  <si>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</si>
  <si>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</si>
  <si>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</si>
  <si>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</si>
  <si>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</si>
  <si>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</si>
  <si>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</si>
  <si>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</si>
  <si>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</si>
  <si>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</si>
  <si>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</si>
  <si>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</si>
  <si>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</si>
  <si>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</si>
  <si>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</si>
  <si>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</si>
  <si>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</si>
  <si>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</si>
  <si>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</si>
  <si>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</si>
  <si>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</si>
  <si>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</si>
  <si>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</si>
  <si>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</si>
  <si>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</si>
  <si>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</si>
  <si>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</si>
  <si>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</si>
  <si>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</si>
  <si>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</si>
  <si>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</si>
  <si>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</si>
  <si>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</si>
  <si>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</si>
  <si>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</si>
  <si>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</si>
  <si>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</si>
  <si>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</si>
  <si>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</si>
  <si>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</si>
  <si>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</si>
  <si>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</si>
  <si>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</si>
  <si>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</si>
  <si>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</si>
  <si>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</si>
  <si>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</si>
  <si>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</si>
  <si>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</si>
  <si>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</si>
  <si>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</si>
  <si>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</si>
  <si>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</si>
  <si>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</si>
  <si>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</si>
  <si>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</si>
  <si>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</si>
  <si>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</si>
  <si>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</si>
  <si>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</si>
  <si>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</si>
  <si>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</si>
  <si>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</si>
  <si>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</si>
  <si>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</si>
  <si>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</si>
  <si>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</si>
  <si>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</si>
  <si>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</si>
  <si>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</si>
  <si>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</si>
  <si>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</si>
  <si>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</si>
  <si>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</si>
  <si>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</si>
  <si>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</si>
  <si>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</si>
  <si>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</si>
  <si>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</si>
  <si>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</si>
  <si>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</si>
  <si>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</si>
  <si>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</si>
  <si>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</si>
  <si>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</si>
  <si>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</si>
  <si>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</si>
  <si>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</si>
  <si>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</si>
  <si>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</si>
  <si>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</si>
  <si>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</si>
  <si>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</si>
  <si>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</si>
  <si>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</si>
  <si>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</si>
  <si>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</si>
  <si>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</si>
  <si>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</si>
  <si>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</si>
  <si>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</si>
  <si>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</si>
  <si>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</si>
  <si>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</si>
  <si>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</si>
  <si>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</si>
  <si>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</si>
  <si>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</si>
  <si>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</si>
  <si>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</si>
  <si>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</si>
  <si>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</si>
  <si>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</si>
  <si>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</si>
  <si>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</si>
  <si>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</si>
  <si>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</si>
  <si>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</si>
  <si>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</si>
  <si>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</si>
  <si>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</si>
  <si>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</si>
  <si>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</si>
  <si>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</si>
  <si>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</si>
  <si>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</si>
  <si>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</si>
  <si>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</si>
  <si>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</si>
  <si>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</si>
  <si>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</si>
  <si>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</si>
  <si>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</si>
  <si>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</si>
  <si>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</si>
  <si>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</si>
  <si>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</si>
  <si>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</si>
  <si>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</si>
  <si>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</si>
  <si>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</si>
  <si>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</si>
  <si>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</si>
  <si>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</si>
  <si>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</si>
  <si>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</si>
  <si>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</si>
  <si>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</si>
  <si>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</si>
  <si>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</si>
  <si>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</si>
  <si>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</si>
  <si>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</si>
  <si>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</si>
  <si>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</si>
  <si>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</si>
  <si>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</si>
  <si>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</si>
  <si>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</si>
  <si>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</si>
  <si>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</si>
  <si>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</si>
  <si>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</si>
  <si>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</si>
  <si>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</si>
  <si>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</si>
  <si>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</si>
  <si>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</si>
  <si>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</si>
  <si>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</si>
  <si>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</si>
  <si>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</si>
  <si>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</si>
  <si>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</si>
  <si>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</si>
  <si>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</si>
  <si>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</si>
  <si>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</si>
  <si>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</si>
  <si>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</si>
  <si>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</si>
  <si>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</si>
  <si>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</si>
  <si>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</si>
  <si>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</si>
  <si>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</si>
  <si>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</si>
  <si>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</si>
  <si>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</si>
  <si>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</si>
  <si>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</si>
  <si>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</si>
  <si>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</si>
  <si>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</si>
  <si>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</si>
  <si>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</si>
  <si>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</si>
  <si>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</si>
  <si>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</si>
  <si>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</si>
  <si>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</si>
  <si>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</si>
  <si>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</si>
  <si>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</si>
  <si>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</si>
  <si>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</si>
  <si>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</si>
  <si>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</si>
  <si>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</si>
  <si>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</si>
  <si>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</si>
  <si>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</si>
  <si>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</si>
  <si>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</si>
  <si>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</si>
  <si>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</si>
  <si>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</si>
  <si>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</si>
  <si>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</si>
  <si>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</si>
  <si>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</si>
  <si>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</si>
  <si>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</si>
  <si>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</si>
  <si>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</si>
  <si>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</si>
  <si>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</si>
  <si>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</si>
  <si>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</si>
  <si>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</si>
  <si>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</si>
  <si>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</si>
  <si>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</si>
  <si>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</si>
  <si>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</si>
  <si>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</si>
  <si>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</si>
  <si>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</si>
  <si>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</si>
  <si>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</si>
  <si>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</si>
  <si>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</si>
  <si>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</si>
  <si>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</si>
  <si>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</si>
  <si>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</si>
  <si>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</si>
  <si>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</si>
  <si>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</si>
  <si>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</si>
  <si>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</si>
  <si>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</si>
  <si>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</si>
  <si>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</si>
  <si>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</si>
  <si>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</si>
  <si>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</si>
  <si>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</si>
  <si>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</si>
  <si>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</si>
  <si>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</si>
  <si>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</si>
  <si>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</si>
  <si>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</si>
  <si>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</si>
  <si>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</si>
  <si>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</si>
  <si>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</si>
  <si>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</si>
  <si>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</si>
  <si>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</si>
  <si>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</si>
  <si>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</si>
  <si>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</si>
  <si>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</si>
  <si>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</si>
  <si>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</si>
  <si>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</si>
  <si>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</si>
  <si>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</si>
  <si>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</si>
  <si>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</si>
  <si>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</si>
  <si>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</si>
  <si>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</si>
  <si>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</si>
  <si>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</si>
  <si>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</si>
  <si>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</si>
  <si>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</si>
  <si>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</si>
  <si>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</si>
  <si>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</si>
  <si>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</si>
  <si>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</si>
  <si>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</si>
  <si>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</si>
  <si>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</si>
  <si>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</si>
  <si>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</si>
  <si>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</si>
  <si>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</si>
  <si>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</si>
  <si>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</si>
  <si>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</si>
  <si>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</si>
  <si>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</si>
  <si>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</si>
  <si>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</si>
  <si>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</si>
  <si>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</si>
  <si>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</si>
  <si>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</si>
  <si>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</si>
  <si>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</si>
  <si>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</si>
  <si>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</si>
  <si>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</si>
  <si>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</si>
  <si>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</si>
  <si>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</si>
  <si>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</si>
  <si>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</si>
  <si>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</si>
  <si>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</si>
  <si>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</si>
  <si>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</si>
  <si>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</si>
  <si>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</si>
  <si>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</si>
  <si>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</si>
  <si>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</si>
  <si>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</si>
  <si>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</si>
  <si>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</si>
  <si>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</si>
  <si>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</si>
  <si>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</si>
  <si>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</si>
  <si>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</si>
  <si>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</si>
  <si>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</si>
  <si>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</si>
  <si>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</si>
  <si>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</si>
  <si>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</si>
  <si>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</si>
  <si>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</si>
  <si>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</si>
  <si>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</si>
  <si>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</si>
  <si>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</si>
  <si>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</si>
  <si>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</si>
  <si>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</si>
  <si>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</si>
  <si>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</si>
  <si>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</si>
  <si>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</si>
  <si>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</si>
  <si>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</si>
  <si>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</si>
  <si>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</si>
  <si>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</si>
  <si>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</si>
  <si>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</si>
  <si>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</si>
  <si>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</si>
  <si>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</si>
  <si>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</si>
  <si>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</si>
  <si>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</si>
  <si>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</si>
  <si>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</si>
  <si>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</si>
  <si>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</si>
  <si>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</si>
  <si>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</si>
  <si>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</si>
  <si>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</si>
  <si>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</si>
  <si>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</si>
  <si>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</si>
  <si>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</si>
  <si>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</si>
  <si>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</si>
  <si>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</si>
  <si>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</si>
  <si>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</si>
  <si>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</si>
  <si>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</si>
  <si>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</si>
  <si>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</si>
  <si>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</si>
  <si>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</si>
  <si>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</si>
  <si>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</si>
  <si>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</si>
  <si>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</si>
  <si>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</si>
  <si>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</si>
  <si>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</si>
  <si>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</si>
  <si>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</si>
  <si>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</si>
  <si>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</si>
  <si>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</si>
  <si>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</si>
  <si>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</si>
  <si>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</si>
  <si>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</si>
  <si>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</si>
  <si>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</si>
  <si>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</si>
  <si>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</si>
  <si>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</si>
  <si>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</si>
  <si>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</si>
  <si>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</si>
  <si>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</si>
  <si>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</si>
  <si>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</si>
  <si>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</si>
  <si>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</si>
  <si>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</si>
  <si>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</si>
  <si>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</si>
  <si>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</si>
  <si>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</si>
  <si>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</si>
  <si>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</si>
  <si>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</si>
  <si>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</si>
  <si>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</si>
  <si>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</si>
  <si>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</si>
  <si>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</si>
  <si>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</si>
  <si>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</si>
  <si>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</si>
  <si>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</si>
  <si>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</si>
  <si>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</si>
  <si>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</si>
  <si>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</si>
  <si>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</si>
  <si>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</si>
  <si>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</si>
  <si>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</si>
  <si>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</si>
  <si>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</si>
  <si>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</si>
  <si>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</si>
  <si>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</si>
  <si>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</si>
  <si>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</si>
  <si>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</si>
  <si>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</si>
  <si>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</si>
  <si>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</si>
  <si>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</si>
  <si>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</si>
  <si>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</si>
  <si>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</si>
  <si>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</si>
  <si>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</si>
  <si>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</si>
  <si>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</si>
  <si>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</si>
  <si>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</si>
  <si>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</si>
  <si>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</si>
  <si>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</si>
  <si>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</si>
  <si>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</si>
  <si>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</si>
  <si>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</si>
  <si>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</si>
  <si>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</si>
  <si>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</si>
  <si>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</si>
  <si>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</si>
  <si>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</si>
  <si>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</si>
  <si>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</si>
  <si>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</si>
  <si>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</si>
  <si>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</si>
  <si>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</si>
  <si>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</si>
  <si>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</si>
  <si>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</si>
  <si>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</si>
  <si>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</si>
  <si>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</si>
  <si>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</si>
  <si>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</si>
  <si>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</si>
  <si>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</si>
  <si>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</si>
  <si>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</si>
  <si>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</si>
  <si>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</si>
  <si>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</si>
  <si>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</si>
  <si>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</si>
  <si>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</si>
  <si>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</si>
  <si>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</si>
  <si>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</si>
  <si>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</si>
  <si>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</si>
  <si>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</si>
  <si>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</si>
  <si>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</si>
  <si>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</si>
  <si>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</si>
  <si>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</si>
  <si>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</si>
  <si>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</si>
  <si>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</si>
  <si>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</si>
  <si>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</si>
  <si>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</si>
  <si>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</si>
  <si>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</si>
  <si>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</si>
  <si>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</si>
  <si>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</si>
  <si>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</si>
  <si>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</si>
  <si>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</si>
  <si>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</si>
  <si>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</si>
  <si>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</si>
  <si>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</si>
  <si>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</si>
  <si>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</si>
  <si>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</si>
  <si>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</si>
  <si>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</si>
  <si>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</si>
  <si>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</si>
  <si>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</si>
  <si>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</si>
  <si>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</si>
  <si>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</si>
  <si>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</si>
  <si>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</si>
  <si>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</si>
  <si>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</si>
  <si>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</si>
  <si>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</si>
  <si>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</si>
  <si>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</si>
  <si>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</si>
  <si>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</si>
  <si>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</si>
  <si>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</si>
  <si>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</si>
  <si>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</si>
  <si>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</si>
  <si>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</si>
  <si>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</si>
  <si>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</si>
  <si>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</si>
  <si>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</si>
  <si>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</si>
  <si>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</si>
  <si>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</si>
  <si>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</si>
  <si>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</si>
  <si>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</si>
  <si>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</si>
  <si>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</si>
  <si>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</si>
  <si>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</si>
  <si>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</si>
  <si>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</si>
  <si>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</si>
  <si>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</si>
  <si>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</si>
  <si>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</si>
  <si>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</si>
  <si>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</si>
  <si>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</si>
  <si>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</si>
  <si>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</si>
  <si>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</si>
  <si>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</si>
  <si>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</si>
  <si>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</si>
  <si>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</si>
  <si>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</si>
  <si>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</si>
  <si>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</si>
  <si>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</si>
  <si>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</si>
  <si>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</si>
  <si>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</si>
  <si>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</si>
  <si>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</si>
  <si>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</si>
  <si>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</si>
  <si>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</si>
  <si>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</si>
  <si>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</si>
  <si>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</si>
  <si>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</si>
  <si>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</si>
  <si>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</si>
  <si>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</si>
  <si>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</si>
  <si>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</si>
  <si>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</si>
  <si>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</si>
  <si>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</si>
  <si>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</si>
  <si>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</si>
  <si>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</si>
  <si>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</si>
  <si>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</si>
  <si>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</si>
  <si>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</si>
  <si>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</si>
  <si>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</si>
  <si>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</si>
  <si>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</si>
  <si>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</si>
  <si>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</si>
  <si>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</si>
  <si>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</si>
  <si>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</si>
  <si>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</si>
  <si>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</si>
  <si>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</si>
  <si>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</si>
  <si>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</si>
  <si>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</si>
  <si>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</si>
  <si>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</si>
  <si>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</si>
  <si>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</si>
  <si>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</si>
  <si>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</si>
  <si>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</si>
  <si>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</si>
  <si>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</si>
  <si>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</si>
  <si>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</si>
  <si>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</si>
  <si>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</si>
  <si>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</si>
  <si>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</si>
  <si>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</si>
  <si>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</si>
  <si>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</si>
  <si>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</si>
  <si>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</si>
  <si>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</si>
  <si>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</si>
  <si>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</si>
  <si>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</si>
  <si>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</si>
  <si>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</si>
  <si>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</si>
  <si>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</si>
  <si>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</si>
  <si>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</si>
  <si>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</si>
  <si>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</si>
  <si>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</si>
  <si>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</si>
  <si>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</si>
  <si>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</si>
  <si>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</si>
  <si>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</si>
  <si>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</si>
  <si>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</si>
  <si>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</si>
  <si>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</si>
  <si>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</si>
  <si>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</si>
  <si>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</si>
  <si>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</si>
  <si>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</si>
  <si>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</si>
  <si>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</si>
  <si>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</si>
  <si>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</si>
  <si>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</si>
  <si>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</si>
  <si>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</si>
  <si>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</si>
  <si>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</si>
  <si>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</si>
  <si>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</si>
  <si>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</si>
  <si>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</si>
  <si>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</si>
  <si>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</si>
  <si>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</si>
  <si>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</si>
  <si>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</si>
  <si>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</si>
  <si>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</si>
  <si>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</si>
  <si>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</si>
  <si>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</si>
  <si>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</si>
  <si>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</si>
  <si>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</si>
  <si>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</si>
  <si>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</si>
  <si>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</si>
  <si>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</si>
  <si>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</si>
  <si>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</si>
  <si>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</si>
  <si>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</si>
  <si>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</si>
  <si>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</si>
  <si>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</si>
  <si>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</si>
  <si>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</si>
  <si>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</si>
  <si>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</si>
  <si>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</si>
  <si>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</si>
  <si>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</si>
  <si>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</si>
  <si>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</si>
  <si>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</si>
  <si>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</si>
  <si>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</si>
  <si>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</si>
  <si>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</si>
  <si>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</si>
  <si>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</si>
  <si>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</si>
  <si>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</si>
  <si>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</si>
  <si>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</si>
  <si>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</si>
  <si>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</si>
  <si>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</si>
  <si>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</si>
  <si>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</si>
  <si>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</si>
  <si>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</si>
  <si>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</si>
  <si>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</si>
  <si>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</si>
  <si>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</si>
  <si>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</si>
  <si>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</si>
  <si>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</si>
  <si>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</si>
  <si>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</si>
  <si>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</si>
  <si>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</si>
  <si>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</si>
  <si>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</si>
  <si>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</si>
  <si>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</si>
  <si>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</si>
  <si>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</si>
  <si>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</si>
  <si>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</si>
  <si>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</si>
  <si>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</si>
  <si>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</si>
  <si>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</si>
  <si>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</si>
  <si>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</si>
  <si>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</si>
  <si>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</si>
  <si>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</si>
  <si>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</si>
  <si>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</si>
  <si>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</si>
  <si>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</si>
  <si>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</si>
  <si>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</si>
  <si>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</si>
  <si>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</si>
  <si>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</si>
  <si>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</si>
  <si>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</si>
  <si>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</si>
  <si>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</si>
  <si>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</si>
  <si>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</si>
  <si>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</si>
  <si>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</si>
  <si>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</si>
  <si>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</si>
  <si>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</si>
  <si>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</si>
  <si>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</si>
  <si>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</si>
  <si>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</si>
  <si>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</si>
  <si>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</si>
  <si>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</si>
  <si>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</si>
  <si>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</si>
  <si>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</si>
  <si>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</si>
  <si>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</si>
  <si>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</si>
  <si>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</si>
  <si>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</si>
  <si>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</si>
  <si>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</si>
  <si>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</si>
  <si>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</si>
  <si>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</si>
  <si>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</si>
  <si>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</si>
  <si>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</si>
  <si>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</si>
  <si>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</si>
  <si>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</si>
  <si>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</si>
  <si>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</si>
  <si>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</si>
  <si>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</si>
  <si>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</si>
  <si>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</si>
  <si>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</si>
  <si>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</si>
  <si>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</si>
  <si>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</si>
  <si>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</si>
  <si>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</si>
  <si>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</si>
  <si>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</si>
  <si>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</si>
  <si>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</si>
  <si>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</si>
  <si>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</si>
  <si>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</si>
  <si>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</si>
  <si>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</si>
  <si>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</si>
  <si>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</si>
  <si>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</si>
  <si>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</si>
  <si>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</si>
  <si>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</si>
  <si>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</si>
  <si>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</si>
  <si>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</si>
  <si>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</si>
  <si>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</si>
  <si>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</si>
  <si>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</si>
  <si>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</si>
  <si>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</si>
  <si>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</si>
  <si>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</si>
  <si>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</si>
  <si>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</si>
  <si>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</si>
  <si>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</si>
  <si>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</si>
  <si>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</si>
  <si>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</si>
  <si>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</si>
  <si>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</si>
  <si>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</si>
  <si>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</si>
  <si>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</si>
  <si>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</si>
  <si>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</si>
  <si>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</si>
  <si>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</si>
  <si>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</si>
  <si>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</si>
  <si>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</si>
  <si>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</si>
  <si>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</si>
  <si>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</si>
  <si>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</si>
  <si>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</si>
  <si>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</si>
  <si>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</si>
  <si>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</si>
  <si>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</si>
  <si>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</si>
  <si>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</si>
  <si>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</si>
  <si>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</si>
  <si>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</si>
  <si>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</si>
  <si>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</si>
  <si>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</si>
  <si>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</si>
  <si>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</si>
  <si>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</si>
  <si>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</si>
  <si>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</si>
  <si>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</si>
  <si>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</si>
  <si>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</si>
  <si>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</si>
  <si>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</si>
  <si>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</si>
  <si>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</si>
  <si>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</si>
  <si>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</si>
  <si>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</si>
  <si>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</si>
  <si>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</si>
  <si>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</si>
  <si>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</si>
  <si>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</si>
  <si>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</si>
  <si>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</si>
  <si>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</si>
  <si>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</si>
  <si>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</si>
  <si>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</si>
  <si>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</si>
  <si>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</si>
  <si>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</si>
  <si>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</si>
  <si>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</si>
  <si>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</si>
  <si>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</si>
  <si>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</si>
  <si>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</si>
  <si>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</si>
  <si>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</si>
  <si>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</si>
  <si>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</si>
  <si>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</si>
  <si>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</si>
  <si>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</si>
  <si>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</si>
  <si>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</si>
  <si>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</si>
  <si>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</si>
  <si>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</si>
  <si>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</si>
  <si>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</si>
  <si>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</si>
  <si>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</si>
  <si>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</si>
  <si>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</si>
  <si>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</si>
  <si>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</si>
  <si>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</si>
  <si>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</si>
  <si>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</si>
  <si>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</si>
  <si>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</si>
  <si>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</si>
  <si>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</si>
  <si>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</si>
  <si>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</si>
  <si>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</si>
  <si>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</si>
  <si>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</si>
  <si>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</si>
  <si>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</si>
  <si>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</si>
  <si>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</si>
  <si>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</si>
  <si>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</si>
  <si>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</si>
  <si>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</si>
  <si>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</si>
  <si>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</si>
  <si>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</si>
  <si>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</si>
  <si>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</si>
  <si>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</si>
  <si>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</si>
  <si>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</si>
  <si>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</si>
  <si>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</si>
  <si>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</si>
  <si>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</si>
  <si>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</si>
  <si>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</si>
  <si>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</si>
  <si>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</si>
  <si>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</si>
  <si>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</si>
  <si>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</si>
  <si>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</si>
  <si>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</si>
  <si>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</si>
  <si>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</si>
  <si>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</si>
  <si>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</si>
  <si>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</si>
  <si>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</si>
  <si>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</si>
  <si>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</si>
  <si>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</si>
  <si>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</si>
  <si>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</si>
  <si>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</si>
  <si>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</si>
  <si>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</si>
  <si>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</si>
  <si>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</si>
  <si>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</si>
  <si>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</si>
  <si>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</si>
  <si>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</si>
  <si>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</si>
  <si>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</si>
  <si>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</si>
  <si>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</si>
  <si>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</si>
  <si>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</si>
  <si>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</si>
  <si>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</si>
  <si>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</si>
  <si>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</si>
  <si>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</si>
  <si>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</si>
  <si>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</si>
  <si>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</si>
  <si>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</si>
  <si>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</si>
  <si>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</si>
  <si>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</si>
  <si>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</si>
  <si>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</si>
  <si>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</si>
  <si>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</si>
  <si>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</si>
  <si>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</si>
  <si>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</si>
  <si>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</si>
  <si>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</si>
  <si>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</si>
  <si>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</si>
  <si>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</si>
  <si>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</si>
  <si>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</si>
  <si>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</si>
  <si>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</si>
  <si>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</si>
  <si>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</si>
  <si>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</si>
  <si>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</si>
  <si>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</si>
  <si>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</si>
  <si>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</si>
  <si>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</si>
  <si>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</si>
  <si>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</si>
  <si>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</si>
  <si>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</si>
  <si>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</si>
  <si>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</si>
  <si>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</si>
  <si>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</si>
  <si>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</si>
  <si>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</si>
  <si>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</si>
  <si>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</si>
  <si>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</si>
  <si>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</si>
  <si>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</si>
  <si>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</si>
  <si>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</si>
  <si>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</si>
  <si>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</si>
  <si>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</si>
  <si>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</si>
  <si>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</si>
  <si>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</si>
  <si>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</si>
  <si>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</si>
  <si>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</si>
  <si>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</si>
  <si>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</si>
  <si>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</si>
  <si>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</si>
  <si>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</si>
  <si>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</si>
  <si>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</si>
  <si>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</si>
  <si>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</si>
  <si>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</si>
  <si>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</si>
  <si>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</si>
  <si>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</si>
  <si>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</si>
  <si>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</si>
  <si>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</si>
  <si>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</si>
  <si>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</si>
  <si>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</si>
  <si>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</si>
  <si>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</si>
  <si>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</si>
  <si>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</si>
  <si>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</si>
  <si>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</si>
  <si>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</si>
  <si>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</si>
  <si>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</si>
  <si>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</si>
  <si>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</si>
  <si>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</si>
  <si>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</si>
  <si>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</si>
  <si>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</si>
  <si>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</si>
  <si>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</si>
  <si>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</si>
  <si>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</si>
  <si>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</si>
  <si>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</si>
  <si>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</si>
  <si>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</si>
  <si>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</si>
  <si>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</si>
  <si>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</si>
  <si>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</si>
  <si>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</si>
  <si>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</si>
  <si>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</si>
  <si>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</si>
  <si>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</si>
  <si>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</si>
  <si>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</si>
  <si>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</si>
  <si>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</si>
  <si>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</si>
  <si>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</si>
  <si>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</si>
  <si>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</si>
  <si>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</si>
  <si>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</si>
  <si>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</si>
  <si>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</si>
  <si>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</si>
  <si>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</si>
  <si>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</si>
  <si>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</si>
  <si>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</si>
  <si>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</si>
  <si>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</si>
  <si>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</si>
  <si>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</si>
  <si>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</si>
  <si>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</si>
  <si>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</si>
  <si>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</si>
  <si>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</si>
  <si>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</si>
  <si>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</si>
  <si>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</si>
  <si>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</si>
  <si>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</si>
  <si>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</si>
  <si>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</si>
  <si>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</si>
  <si>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</si>
  <si>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</si>
  <si>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</si>
  <si>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</si>
  <si>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</si>
  <si>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</si>
  <si>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</si>
  <si>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</si>
  <si>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</si>
  <si>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</si>
  <si>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</si>
  <si>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</si>
  <si>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</si>
  <si>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</si>
  <si>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</si>
  <si>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</si>
  <si>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</si>
  <si>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</si>
  <si>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</si>
  <si>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</si>
  <si>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</si>
  <si>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</si>
  <si>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</si>
  <si>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</si>
  <si>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</si>
  <si>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</si>
  <si>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</si>
  <si>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</si>
  <si>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</si>
  <si>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</si>
  <si>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</si>
  <si>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</si>
  <si>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</si>
  <si>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</si>
  <si>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</si>
  <si>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</si>
  <si>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</si>
  <si>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</si>
  <si>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</si>
  <si>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</si>
  <si>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</si>
  <si>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</si>
  <si>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</si>
  <si>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</si>
  <si>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</si>
  <si>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</si>
  <si>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</si>
  <si>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</si>
  <si>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</si>
  <si>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</si>
  <si>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</si>
  <si>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</si>
  <si>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</si>
  <si>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</si>
  <si>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</si>
  <si>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</si>
  <si>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</si>
  <si>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</si>
  <si>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</si>
  <si>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</si>
  <si>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</si>
  <si>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</si>
  <si>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</si>
  <si>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</si>
  <si>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</si>
  <si>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</si>
  <si>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</si>
  <si>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</si>
  <si>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</si>
  <si>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</si>
  <si>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</si>
  <si>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</si>
  <si>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</si>
  <si>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</si>
  <si>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</si>
  <si>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</si>
  <si>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</si>
  <si>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</si>
  <si>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</si>
  <si>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</si>
  <si>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</si>
  <si>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</si>
  <si>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</si>
  <si>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</si>
  <si>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</si>
  <si>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</si>
  <si>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</si>
  <si>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</si>
  <si>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</si>
  <si>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</si>
  <si>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</si>
  <si>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</si>
  <si>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</si>
  <si>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</si>
  <si>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</si>
  <si>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</si>
  <si>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</si>
  <si>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</si>
  <si>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</si>
  <si>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</si>
  <si>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</si>
  <si>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</si>
  <si>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</si>
  <si>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</si>
  <si>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</si>
  <si>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</si>
  <si>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</si>
  <si>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</si>
  <si>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</si>
  <si>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</si>
  <si>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</si>
  <si>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</si>
  <si>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</si>
  <si>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</si>
  <si>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</si>
  <si>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</si>
  <si>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</si>
  <si>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</si>
  <si>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</si>
  <si>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</si>
  <si>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</si>
  <si>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</si>
  <si>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</si>
  <si>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</si>
  <si>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</si>
  <si>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</si>
  <si>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</si>
  <si>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</si>
  <si>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</si>
  <si>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</si>
  <si>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</si>
  <si>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</si>
  <si>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</si>
  <si>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</si>
  <si>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</si>
  <si>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</si>
  <si>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</si>
  <si>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</si>
  <si>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</si>
  <si>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</si>
  <si>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</si>
  <si>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</si>
  <si>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</si>
  <si>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</si>
  <si>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</si>
  <si>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</si>
  <si>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</si>
  <si>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</si>
  <si>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</si>
  <si>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</si>
  <si>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</si>
  <si>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</si>
  <si>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</si>
  <si>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</si>
  <si>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</si>
  <si>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</si>
  <si>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</si>
  <si>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</si>
  <si>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</si>
  <si>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</si>
  <si>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</si>
  <si>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</si>
  <si>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</si>
  <si>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</si>
  <si>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</si>
  <si>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</si>
  <si>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</si>
  <si>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</si>
  <si>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</si>
  <si>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</si>
  <si>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</si>
  <si>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</si>
  <si>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</si>
  <si>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</si>
  <si>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</si>
  <si>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</si>
  <si>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</si>
  <si>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</si>
  <si>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</si>
  <si>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</si>
  <si>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</si>
  <si>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</si>
  <si>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</si>
  <si>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</si>
  <si>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</si>
  <si>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</si>
  <si>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</si>
  <si>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</si>
  <si>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</si>
  <si>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</si>
  <si>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</si>
  <si>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</si>
  <si>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</si>
  <si>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</si>
  <si>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</si>
  <si>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</si>
  <si>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</si>
  <si>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</si>
  <si>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</si>
  <si>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</si>
  <si>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</si>
  <si>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</si>
  <si>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</si>
  <si>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</si>
  <si>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</si>
  <si>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</si>
  <si>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</si>
  <si>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</si>
  <si>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</si>
  <si>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</si>
  <si>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</si>
  <si>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</si>
  <si>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</si>
  <si>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</si>
  <si>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</si>
  <si>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</si>
  <si>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</si>
  <si>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</si>
  <si>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</si>
  <si>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</si>
  <si>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</si>
  <si>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</si>
  <si>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</si>
  <si>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</si>
  <si>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</si>
  <si>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</si>
  <si>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</si>
  <si>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</si>
  <si>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</si>
  <si>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</si>
  <si>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</si>
  <si>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</si>
  <si>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</si>
  <si>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</si>
  <si>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</si>
  <si>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</si>
  <si>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</si>
  <si>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</si>
  <si>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</si>
  <si>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</si>
  <si>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</si>
  <si>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</si>
  <si>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</si>
  <si>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</si>
  <si>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</si>
  <si>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</si>
  <si>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</si>
  <si>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</si>
  <si>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</si>
  <si>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</si>
  <si>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</si>
  <si>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</si>
  <si>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</si>
  <si>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</si>
  <si>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</si>
  <si>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</si>
  <si>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</si>
  <si>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</si>
  <si>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</si>
  <si>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</si>
  <si>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</si>
  <si>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</si>
  <si>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</si>
  <si>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</si>
  <si>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</si>
  <si>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</si>
  <si>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</si>
  <si>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</si>
  <si>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</si>
  <si>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</si>
  <si>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</si>
  <si>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</si>
  <si>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</si>
  <si>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</si>
  <si>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</si>
  <si>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</si>
  <si>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</si>
  <si>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</si>
  <si>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</si>
  <si>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</si>
  <si>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</si>
  <si>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</si>
  <si>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</si>
  <si>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</si>
  <si>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</si>
  <si>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</si>
  <si>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</si>
  <si>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</si>
  <si>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</si>
  <si>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</si>
  <si>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</si>
  <si>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</si>
  <si>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</si>
  <si>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</si>
  <si>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</si>
  <si>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</si>
  <si>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</si>
  <si>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</si>
  <si>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</si>
  <si>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</si>
  <si>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</si>
  <si>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</si>
  <si>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</si>
  <si>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</si>
  <si>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</si>
  <si>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</si>
  <si>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</si>
  <si>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</si>
  <si>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</si>
  <si>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</si>
  <si>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</si>
  <si>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</si>
  <si>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</si>
  <si>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</si>
  <si>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</si>
  <si>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</si>
  <si>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</si>
  <si>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</si>
  <si>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</si>
  <si>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</si>
  <si>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</si>
  <si>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</si>
  <si>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</si>
  <si>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</si>
  <si>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</si>
  <si>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</si>
  <si>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</si>
  <si>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</si>
  <si>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</si>
  <si>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</si>
  <si>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</si>
  <si>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</si>
  <si>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</si>
  <si>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</si>
  <si>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</si>
  <si>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</si>
  <si>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</si>
  <si>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</si>
  <si>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</si>
  <si>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</si>
  <si>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</si>
  <si>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</si>
  <si>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</si>
  <si>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</si>
  <si>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</si>
  <si>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</si>
  <si>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</si>
  <si>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</si>
  <si>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</si>
  <si>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</si>
  <si>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</si>
  <si>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</si>
  <si>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</si>
  <si>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</si>
  <si>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</si>
  <si>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</si>
  <si>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</si>
  <si>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</si>
  <si>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</si>
  <si>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</si>
  <si>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</si>
  <si>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</si>
  <si>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</si>
  <si>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</si>
  <si>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</si>
  <si>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</si>
  <si>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</si>
  <si>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</si>
  <si>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</si>
  <si>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</si>
  <si>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</si>
  <si>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</si>
  <si>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</si>
  <si>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</si>
  <si>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</si>
  <si>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</si>
  <si>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</si>
  <si>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</si>
  <si>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</si>
  <si>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</si>
  <si>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</si>
  <si>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</si>
  <si>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</si>
  <si>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</si>
  <si>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</si>
  <si>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</si>
  <si>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</si>
  <si>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</si>
  <si>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</si>
  <si>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</si>
  <si>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</si>
  <si>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</si>
  <si>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</si>
  <si>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</si>
  <si>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</si>
  <si>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</si>
  <si>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</si>
  <si>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</si>
  <si>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</si>
  <si>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</si>
  <si>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</si>
  <si>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</si>
  <si>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</si>
  <si>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</si>
  <si>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</si>
  <si>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</si>
  <si>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</si>
  <si>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</si>
  <si>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</si>
  <si>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</si>
  <si>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</si>
  <si>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</si>
  <si>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</si>
  <si>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</si>
  <si>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</si>
  <si>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</si>
  <si>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</si>
  <si>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</si>
  <si>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</si>
  <si>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</si>
  <si>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</si>
  <si>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</si>
  <si>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</si>
  <si>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</si>
  <si>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</si>
  <si>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</si>
  <si>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</si>
  <si>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</si>
  <si>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</si>
  <si>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</si>
  <si>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</si>
  <si>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</si>
  <si>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</si>
  <si>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</si>
  <si>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</si>
  <si>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</si>
  <si>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</si>
  <si>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</si>
  <si>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</si>
  <si>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</si>
  <si>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</si>
  <si>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</si>
  <si>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</si>
  <si>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</si>
  <si>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</si>
  <si>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</si>
  <si>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</si>
  <si>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</si>
  <si>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</si>
  <si>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</si>
  <si>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</si>
  <si>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</si>
  <si>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</si>
  <si>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</si>
  <si>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</si>
  <si>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</si>
  <si>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</si>
  <si>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</si>
  <si>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</si>
  <si>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</si>
  <si>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</si>
  <si>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</si>
  <si>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</si>
  <si>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</si>
  <si>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</si>
  <si>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</si>
  <si>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</si>
  <si>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</si>
  <si>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</si>
  <si>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</si>
  <si>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</si>
  <si>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</si>
  <si>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</si>
  <si>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</si>
  <si>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</si>
  <si>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</si>
  <si>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</si>
  <si>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</si>
  <si>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</si>
  <si>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</si>
  <si>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</si>
  <si>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</si>
  <si>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</si>
  <si>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</si>
  <si>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</si>
  <si>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</si>
  <si>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</si>
  <si>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</si>
  <si>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</si>
  <si>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</si>
  <si>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</si>
  <si>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</si>
  <si>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</si>
  <si>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</si>
  <si>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</si>
  <si>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</si>
  <si>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</si>
  <si>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</si>
  <si>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</si>
  <si>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</si>
  <si>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</si>
  <si>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</si>
  <si>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</si>
  <si>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</si>
  <si>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</si>
  <si>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</si>
  <si>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</si>
  <si>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</si>
  <si>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</si>
  <si>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</si>
  <si>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</si>
  <si>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</si>
  <si>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</si>
  <si>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</si>
  <si>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</si>
  <si>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</si>
  <si>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</si>
  <si>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</si>
  <si>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</si>
  <si>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</si>
  <si>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</si>
  <si>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</si>
  <si>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</si>
  <si>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</si>
  <si>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</si>
  <si>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</si>
  <si>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</si>
  <si>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</si>
  <si>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</si>
  <si>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</si>
  <si>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</si>
  <si>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</si>
  <si>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</si>
  <si>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</si>
  <si>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</si>
  <si>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</si>
  <si>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</si>
  <si>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</si>
  <si>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</si>
  <si>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</si>
  <si>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</si>
  <si>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</si>
  <si>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</si>
  <si>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</si>
  <si>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</si>
  <si>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</si>
  <si>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</si>
  <si>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</si>
  <si>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</si>
  <si>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</si>
  <si>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</si>
  <si>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</si>
  <si>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</si>
  <si>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</si>
  <si>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</si>
  <si>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</si>
  <si>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</si>
  <si>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</si>
  <si>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</si>
  <si>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</si>
  <si>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</si>
  <si>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</si>
  <si>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</si>
  <si>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</si>
  <si>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</si>
  <si>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</si>
  <si>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</si>
  <si>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</si>
  <si>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</si>
  <si>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</si>
  <si>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</si>
  <si>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</si>
  <si>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</si>
  <si>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</si>
  <si>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</si>
  <si>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</si>
  <si>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</si>
  <si>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</si>
  <si>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</si>
  <si>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</si>
  <si>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</si>
  <si>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</si>
  <si>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</si>
  <si>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</si>
  <si>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</si>
  <si>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</si>
  <si>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</si>
  <si>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</si>
  <si>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</si>
  <si>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</si>
  <si>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</si>
  <si>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</si>
  <si>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</si>
  <si>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</si>
  <si>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</si>
  <si>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</si>
  <si>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</si>
  <si>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</si>
  <si>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</si>
  <si>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</si>
  <si>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</si>
  <si>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</si>
  <si>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</si>
  <si>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</si>
  <si>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</si>
  <si>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</si>
  <si>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</si>
  <si>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</si>
  <si>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</si>
  <si>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</si>
  <si>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</si>
  <si>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 xml:space="preserve">24226 W. BEACH GROVE RD. </t>
  </si>
  <si>
    <t>ANTIOCH</t>
  </si>
  <si>
    <t>LLAWLER@EMMONS33.ORG</t>
  </si>
  <si>
    <t>EVANS, MARSHALL &amp; PEASE, P.C.</t>
  </si>
  <si>
    <t>JEFFERY M. ROLLEFSON</t>
  </si>
  <si>
    <t>1875 HICKS ROAD</t>
  </si>
  <si>
    <t>ROLLING  MEADOWS</t>
  </si>
  <si>
    <t>IL</t>
  </si>
  <si>
    <t>847-221-5700</t>
  </si>
  <si>
    <t>847-221-5701</t>
  </si>
  <si>
    <t>060-003973</t>
  </si>
  <si>
    <t>THE DISTRICT PREPARES ITS FINANCIAL STATEMENTS TO COMPLY WITH REGULATORY PROVISIONS PRESCRIBED BY THE ILLINOIS STATE BOARD OF EDUCATION (ISBE) , WHICH IS A COMPREHENSIVE BASIS OF ACCOUNTING OTHER THAN GENERALLY ACCEPTED ACCOUNTING PRINCIPLES (GAAP).</t>
  </si>
  <si>
    <t>SERIES 2004B BONDS</t>
  </si>
  <si>
    <t>SERIES 2015 BOND</t>
  </si>
  <si>
    <t>HEALTH INS - LAKE REGION SCHOOLS BENEFIT CORP</t>
  </si>
  <si>
    <t>MEMBER OF IUPC COOP</t>
  </si>
  <si>
    <t>SELF WORKERS COMPENSATION INSURNACE</t>
  </si>
  <si>
    <t>OTHER FEEDER SCHOOL TO ANITOCH AND LAKE HS.S</t>
  </si>
  <si>
    <t>SEDOL - SPECIAL EDUCATION DISTRICT OF LAKE COUNTY</t>
  </si>
  <si>
    <t>SUPPLY WORKS - STATE CONTRASTED SUPPLY COOP</t>
  </si>
  <si>
    <t>STUDENT PROGRAM SERVICES WITH HS DISTRICT</t>
  </si>
  <si>
    <t>DURHAM SCHOOL SERVICES</t>
  </si>
  <si>
    <t>Evans, Marshall &amp; Pease, P.C</t>
  </si>
  <si>
    <t>DURHAM TRANSPORTATION</t>
  </si>
  <si>
    <t>40-2550-300</t>
  </si>
  <si>
    <t>TOP LINE TRANSPORTATION</t>
  </si>
  <si>
    <t>TRANSPORTATION FUND - SUPPORT SERVICES - BUSINESS -PURCHASED SERVICES</t>
  </si>
  <si>
    <t>TRANSPORTATION FUND - SUPPORT SERVICES - BUSINESS - PURCHASED SERVICES</t>
  </si>
  <si>
    <t>EDUCATIONAL FUND - SUPPORT SERVICES - GENERAL ADMINISTRATION - PURCHASED SERVICES</t>
  </si>
  <si>
    <t>HODGES, LOIZZI ET. AL.</t>
  </si>
  <si>
    <t>10-2300-300</t>
  </si>
  <si>
    <t>EDUCATIONAL FUND - SUPPORT SERVICES - PUPILS - PURCHASED SERVICES</t>
  </si>
  <si>
    <t>ALLISON MURRAY</t>
  </si>
  <si>
    <t>10-2100-300</t>
  </si>
  <si>
    <t>EDUCATIONAL FUND - INSTRUCTION - PURCHASED SERVICES</t>
  </si>
  <si>
    <t>10-1000-300</t>
  </si>
  <si>
    <t>SINGLE PATH</t>
  </si>
  <si>
    <t>Emmons SD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</si>
</sst>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822614</xdr:colOff>
          <xdr:row>2</xdr:row>
          <xdr:rowOff>103910</xdr:rowOff>
        </xdr:from>
        <xdr:to>
          <xdr:col>1</xdr:col>
          <xdr:colOff>1733550</xdr:colOff>
          <xdr:row>6</xdr:row>
          <xdr:rowOff>142010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2017569</xdr:colOff>
          <xdr:row>2</xdr:row>
          <xdr:rowOff>129887</xdr:rowOff>
        </xdr:from>
        <xdr:to>
          <xdr:col>1</xdr:col>
          <xdr:colOff>2928506</xdr:colOff>
          <xdr:row>7</xdr:row>
          <xdr:rowOff>3464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34049033002</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2116</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60008</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2080</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2088</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2081</v>
      </c>
      <c r="B23" s="2023"/>
      <c r="C23" s="2023"/>
      <c r="D23" s="2023"/>
      <c r="E23" s="2023"/>
      <c r="F23" s="2023"/>
      <c r="G23" s="2023"/>
      <c r="H23" s="2024"/>
      <c r="T23" s="1962" t="s">
        <v>2089</v>
      </c>
      <c r="U23" s="1963"/>
      <c r="V23" s="1963"/>
      <c r="W23" s="1963"/>
      <c r="X23" s="1978">
        <v>43466</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60002</v>
      </c>
      <c r="B25" s="2000"/>
      <c r="C25" s="2000"/>
      <c r="D25" s="2000"/>
      <c r="E25" s="2000"/>
      <c r="F25" s="2000"/>
      <c r="G25" s="2000"/>
      <c r="H25" s="2001"/>
      <c r="I25" s="113"/>
      <c r="J25" s="2066"/>
      <c r="K25" s="2066"/>
      <c r="L25" s="2066"/>
      <c r="M25" s="2066"/>
      <c r="N25" s="2066"/>
      <c r="O25" s="2066"/>
      <c r="P25" s="2066"/>
      <c r="Q25" s="2066"/>
      <c r="R25" s="2066"/>
      <c r="S25" s="2067"/>
      <c r="T25" s="1959"/>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8" sqref="A38:H3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3169979</v>
      </c>
      <c r="C4" s="1546">
        <v>1465287</v>
      </c>
      <c r="D4" s="1774">
        <f>B4-C4</f>
        <v>1704692</v>
      </c>
      <c r="E4" s="1546">
        <v>3130725</v>
      </c>
      <c r="F4" s="1774">
        <f>E4-C4</f>
        <v>1665438</v>
      </c>
    </row>
    <row r="5" spans="1:6" ht="13.7" customHeight="1" x14ac:dyDescent="0.2">
      <c r="A5" s="716" t="s">
        <v>925</v>
      </c>
      <c r="B5" s="1772">
        <f>'Revenues 9-14'!D5</f>
        <v>570942</v>
      </c>
      <c r="C5" s="585">
        <v>263297</v>
      </c>
      <c r="D5" s="1775">
        <f t="shared" ref="D5:D18" si="0">B5-C5</f>
        <v>307645</v>
      </c>
      <c r="E5" s="585">
        <v>565000</v>
      </c>
      <c r="F5" s="1775">
        <f>E5-C5</f>
        <v>301703</v>
      </c>
    </row>
    <row r="6" spans="1:6" ht="13.7" customHeight="1" x14ac:dyDescent="0.2">
      <c r="A6" s="716" t="s">
        <v>431</v>
      </c>
      <c r="B6" s="1772">
        <f>'Revenues 9-14'!E5</f>
        <v>489033</v>
      </c>
      <c r="C6" s="585">
        <v>222468</v>
      </c>
      <c r="D6" s="1775">
        <f t="shared" si="0"/>
        <v>266565</v>
      </c>
      <c r="E6" s="585">
        <v>485881</v>
      </c>
      <c r="F6" s="1775">
        <f t="shared" ref="F6:F18" si="1">E6-C6</f>
        <v>263413</v>
      </c>
    </row>
    <row r="7" spans="1:6" ht="13.7" customHeight="1" x14ac:dyDescent="0.2">
      <c r="A7" s="716" t="s">
        <v>157</v>
      </c>
      <c r="B7" s="1772">
        <f>'Revenues 9-14'!F5</f>
        <v>149393</v>
      </c>
      <c r="C7" s="585">
        <v>69894</v>
      </c>
      <c r="D7" s="1775">
        <f t="shared" si="0"/>
        <v>79499</v>
      </c>
      <c r="E7" s="585">
        <v>146000</v>
      </c>
      <c r="F7" s="1775">
        <f t="shared" si="1"/>
        <v>76106</v>
      </c>
    </row>
    <row r="8" spans="1:6" ht="13.7" customHeight="1" x14ac:dyDescent="0.2">
      <c r="A8" s="716" t="s">
        <v>1241</v>
      </c>
      <c r="B8" s="1772">
        <f>'Revenues 9-14'!G5</f>
        <v>36622</v>
      </c>
      <c r="C8" s="585">
        <v>14841</v>
      </c>
      <c r="D8" s="1775">
        <f t="shared" si="0"/>
        <v>21781</v>
      </c>
      <c r="E8" s="585">
        <v>40000</v>
      </c>
      <c r="F8" s="1775">
        <f t="shared" si="1"/>
        <v>25159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50410</v>
      </c>
      <c r="C11" s="585">
        <v>23457</v>
      </c>
      <c r="D11" s="1775">
        <f t="shared" si="0"/>
        <v>26953</v>
      </c>
      <c r="E11" s="585">
        <v>49500</v>
      </c>
      <c r="F11" s="1775">
        <f t="shared" si="1"/>
        <v>26043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21439</v>
      </c>
      <c r="C14" s="585">
        <v>10006</v>
      </c>
      <c r="D14" s="1775">
        <f t="shared" si="0"/>
        <v>11433</v>
      </c>
      <c r="E14" s="585">
        <v>21000</v>
      </c>
      <c r="F14" s="1775">
        <f t="shared" si="1"/>
        <v>10994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56493</v>
      </c>
      <c r="C16" s="585">
        <v>28724</v>
      </c>
      <c r="D16" s="1775">
        <f t="shared" si="0"/>
        <v>27769</v>
      </c>
      <c r="E16" s="585">
        <v>51000</v>
      </c>
      <c r="F16" s="1775">
        <f t="shared" si="1"/>
        <v>22276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8080</v>
      </c>
      <c r="C18" s="585">
        <v>3861</v>
      </c>
      <c r="D18" s="1775">
        <f t="shared" si="0"/>
        <v>4219</v>
      </c>
      <c r="E18" s="585">
        <v>7691</v>
      </c>
      <c r="F18" s="1775">
        <f t="shared" si="1"/>
        <v>3830</v>
      </c>
    </row>
    <row r="19" spans="1:6" ht="13.7" customHeight="1" thickBot="1" x14ac:dyDescent="0.25">
      <c r="A19" s="1776" t="s">
        <v>1223</v>
      </c>
      <c r="B19" s="1773">
        <f>SUM(B4:B18)</f>
        <v>4552391</v>
      </c>
      <c r="C19" s="1773">
        <f>SUM(C4:C18)</f>
        <v>2101835</v>
      </c>
      <c r="D19" s="1773">
        <f>SUM(D4:D18)</f>
        <v>2450556</v>
      </c>
      <c r="E19" s="1773">
        <f>SUM(E4:E18)</f>
        <v>4496797</v>
      </c>
      <c r="F19" s="1773">
        <f>SUM(F4:F18)</f>
        <v>2394962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38" sqref="A38:H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2091</v>
      </c>
      <c r="B31" s="734">
        <v>38216</v>
      </c>
      <c r="C31" s="735">
        <v>6999935</v>
      </c>
      <c r="D31" s="736">
        <v>6</v>
      </c>
      <c r="E31" s="735">
        <v>2376734</v>
      </c>
      <c r="F31" s="735"/>
      <c r="G31" s="735"/>
      <c r="H31" s="735">
        <v>107424</v>
      </c>
      <c r="I31" s="1778">
        <f>((E31+F31)-H31)+G31</f>
        <v>2269310</v>
      </c>
      <c r="J31" s="735">
        <v>2204692</v>
      </c>
      <c r="K31" s="737"/>
    </row>
    <row r="32" spans="1:11" ht="12" customHeight="1" x14ac:dyDescent="0.2">
      <c r="A32" s="733" t="s">
        <v>2092</v>
      </c>
      <c r="B32" s="734">
        <v>42292</v>
      </c>
      <c r="C32" s="735">
        <v>420000</v>
      </c>
      <c r="D32" s="736">
        <v>3</v>
      </c>
      <c r="E32" s="735">
        <v>4200000</v>
      </c>
      <c r="F32" s="735"/>
      <c r="G32" s="735"/>
      <c r="H32" s="735"/>
      <c r="I32" s="1778">
        <f>((E32+F32)-H32)+G32</f>
        <v>4200000</v>
      </c>
      <c r="J32" s="735">
        <v>4094429</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7419935</v>
      </c>
      <c r="D49" s="746"/>
      <c r="E49" s="1778">
        <f t="shared" ref="E49:J49" si="2">SUM(E31:E48)</f>
        <v>6576734</v>
      </c>
      <c r="F49" s="1778">
        <f t="shared" si="2"/>
        <v>0</v>
      </c>
      <c r="G49" s="1778">
        <f t="shared" si="2"/>
        <v>0</v>
      </c>
      <c r="H49" s="1778">
        <f t="shared" si="2"/>
        <v>107424</v>
      </c>
      <c r="I49" s="1778">
        <f t="shared" si="2"/>
        <v>6469310</v>
      </c>
      <c r="J49" s="1778">
        <f t="shared" si="2"/>
        <v>6299121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A38" sqref="A38: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21439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21439</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21439</v>
      </c>
      <c r="I22" s="765"/>
      <c r="J22" s="798"/>
      <c r="K22" s="766"/>
    </row>
    <row r="23" spans="1:11" ht="13.5" thickBot="1" x14ac:dyDescent="0.25">
      <c r="A23" s="2253" t="s">
        <v>962</v>
      </c>
      <c r="B23" s="2252"/>
      <c r="C23" s="2252"/>
      <c r="D23" s="2252"/>
      <c r="E23" s="2252"/>
      <c r="F23" s="1783"/>
      <c r="G23" s="1780">
        <f>SUM(G14:G16,G21,G22)</f>
        <v>0</v>
      </c>
      <c r="H23" s="1780">
        <f>SUM(H14:H16,H21,H22)</f>
        <v>21439</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8" sqref="A38:H3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20000</v>
      </c>
      <c r="D5" s="842"/>
      <c r="E5" s="842"/>
      <c r="F5" s="1782">
        <f>(C5+D5)-E5</f>
        <v>20000</v>
      </c>
      <c r="G5" s="838"/>
      <c r="H5" s="843"/>
      <c r="I5" s="843"/>
      <c r="J5" s="843"/>
      <c r="K5" s="794"/>
      <c r="L5" s="1791">
        <f>F5-K5</f>
        <v>20000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11018560</v>
      </c>
      <c r="D8" s="845">
        <v>48993</v>
      </c>
      <c r="E8" s="845"/>
      <c r="F8" s="1782">
        <f>(C8+D8)-E8</f>
        <v>11067553</v>
      </c>
      <c r="G8" s="844">
        <v>50</v>
      </c>
      <c r="H8" s="766">
        <v>3111885</v>
      </c>
      <c r="I8" s="766">
        <v>220861</v>
      </c>
      <c r="J8" s="766"/>
      <c r="K8" s="1791">
        <f>(H8+I8)-J8</f>
        <v>3332746</v>
      </c>
      <c r="L8" s="1791">
        <f>F8-K8</f>
        <v>7734807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278576</v>
      </c>
      <c r="D10" s="847"/>
      <c r="E10" s="847"/>
      <c r="F10" s="1786">
        <f>(C10+D10)-E10</f>
        <v>278576</v>
      </c>
      <c r="G10" s="844">
        <v>20</v>
      </c>
      <c r="H10" s="848">
        <v>115010</v>
      </c>
      <c r="I10" s="848">
        <v>13794</v>
      </c>
      <c r="J10" s="848"/>
      <c r="K10" s="1791">
        <f>(H10+I10)-J10</f>
        <v>128804</v>
      </c>
      <c r="L10" s="1791">
        <f>F10-K10</f>
        <v>149772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1100818</v>
      </c>
      <c r="D12" s="845">
        <v>11540</v>
      </c>
      <c r="E12" s="845"/>
      <c r="F12" s="1782">
        <f>(C12+D12)-E12</f>
        <v>1112358</v>
      </c>
      <c r="G12" s="844">
        <v>10</v>
      </c>
      <c r="H12" s="766">
        <v>1187454</v>
      </c>
      <c r="I12" s="766">
        <v>110421</v>
      </c>
      <c r="J12" s="766"/>
      <c r="K12" s="1791">
        <f>(H12+I12)-J12</f>
        <v>1297875</v>
      </c>
      <c r="L12" s="1791">
        <f>F12-K12</f>
        <v>-185517</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12417954</v>
      </c>
      <c r="D16" s="1782">
        <f>SUM(D3,D5:D6,D8:D10,D12:D15)</f>
        <v>60533</v>
      </c>
      <c r="E16" s="1782">
        <f>SUM(E3,E5:E6,E8:E10,E12:E15)</f>
        <v>0</v>
      </c>
      <c r="F16" s="1782">
        <f>SUM(F3,F5:F6,F8:F10,F12:F15)</f>
        <v>12478487</v>
      </c>
      <c r="G16" s="844"/>
      <c r="H16" s="1782">
        <f>SUM(H3,H6,H8:H10,H12:H14,)</f>
        <v>4414349</v>
      </c>
      <c r="I16" s="1782">
        <f>SUM(I3,I6,I8:I10,I12:I14,)</f>
        <v>345076</v>
      </c>
      <c r="J16" s="1782">
        <f>SUM(J3,J6,J8:J10,J12:J14,)</f>
        <v>0</v>
      </c>
      <c r="K16" s="1782">
        <f>(H16+I16)-J16</f>
        <v>4759425</v>
      </c>
      <c r="L16" s="1782">
        <f>F16-K16</f>
        <v>7719062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21141</v>
      </c>
      <c r="G17" s="838">
        <v>10</v>
      </c>
      <c r="H17" s="770"/>
      <c r="I17" s="1791">
        <f>F17/G17</f>
        <v>2114.1</v>
      </c>
      <c r="J17" s="770"/>
      <c r="K17" s="796"/>
      <c r="L17" s="796"/>
    </row>
    <row r="18" spans="1:12" ht="14.25" thickTop="1" thickBot="1" x14ac:dyDescent="0.25">
      <c r="A18" s="1789" t="s">
        <v>706</v>
      </c>
      <c r="B18" s="1790"/>
      <c r="C18" s="772"/>
      <c r="D18" s="772"/>
      <c r="E18" s="772"/>
      <c r="F18" s="851"/>
      <c r="G18" s="852"/>
      <c r="H18" s="774"/>
      <c r="I18" s="1782">
        <f>SUM(I16,I17)</f>
        <v>347190.1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activeCell="A38" sqref="A38:H38"/>
      <selection pane="bottomLeft" activeCell="A38" sqref="A38:H3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3424787</v>
      </c>
      <c r="G8" s="866"/>
    </row>
    <row r="9" spans="1:7" x14ac:dyDescent="0.2">
      <c r="A9" s="870" t="s">
        <v>480</v>
      </c>
      <c r="B9" s="871" t="s">
        <v>1988</v>
      </c>
      <c r="C9" s="872"/>
      <c r="D9" s="870" t="s">
        <v>522</v>
      </c>
      <c r="E9" s="869"/>
      <c r="F9" s="1935">
        <f>'Expenditures 15-22'!K151</f>
        <v>442637</v>
      </c>
      <c r="G9" s="873"/>
    </row>
    <row r="10" spans="1:7" x14ac:dyDescent="0.2">
      <c r="A10" s="870" t="s">
        <v>520</v>
      </c>
      <c r="B10" s="871" t="s">
        <v>1989</v>
      </c>
      <c r="C10" s="872"/>
      <c r="D10" s="870" t="s">
        <v>522</v>
      </c>
      <c r="E10" s="869"/>
      <c r="F10" s="1935">
        <f>'Expenditures 15-22'!K174</f>
        <v>467945</v>
      </c>
      <c r="G10" s="873"/>
    </row>
    <row r="11" spans="1:7" x14ac:dyDescent="0.2">
      <c r="A11" s="870" t="s">
        <v>481</v>
      </c>
      <c r="B11" s="871" t="s">
        <v>1990</v>
      </c>
      <c r="C11" s="872"/>
      <c r="D11" s="870" t="s">
        <v>522</v>
      </c>
      <c r="E11" s="869"/>
      <c r="F11" s="1935">
        <f>'Expenditures 15-22'!K210</f>
        <v>207160</v>
      </c>
      <c r="G11" s="873"/>
    </row>
    <row r="12" spans="1:7" x14ac:dyDescent="0.2">
      <c r="A12" s="870" t="s">
        <v>482</v>
      </c>
      <c r="B12" s="871" t="s">
        <v>1991</v>
      </c>
      <c r="C12" s="872"/>
      <c r="D12" s="870" t="s">
        <v>522</v>
      </c>
      <c r="E12" s="869"/>
      <c r="F12" s="1935">
        <f>'Expenditures 15-22'!K295</f>
        <v>125875</v>
      </c>
      <c r="G12" s="873"/>
    </row>
    <row r="13" spans="1:7" x14ac:dyDescent="0.2">
      <c r="A13" s="870" t="s">
        <v>108</v>
      </c>
      <c r="B13" s="871" t="s">
        <v>1992</v>
      </c>
      <c r="C13" s="872"/>
      <c r="D13" s="870" t="s">
        <v>522</v>
      </c>
      <c r="E13" s="869"/>
      <c r="F13" s="1935">
        <f>'Expenditures 15-22'!K342</f>
        <v>41959</v>
      </c>
      <c r="G13" s="874"/>
    </row>
    <row r="14" spans="1:7" ht="12" customHeight="1" thickBot="1" x14ac:dyDescent="0.25">
      <c r="A14" s="1792"/>
      <c r="B14" s="1793"/>
      <c r="C14" s="1794"/>
      <c r="D14" s="1795" t="s">
        <v>522</v>
      </c>
      <c r="E14" s="1796" t="s">
        <v>1015</v>
      </c>
      <c r="F14" s="1797">
        <f>SUM(F8:F13)</f>
        <v>4710363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1206</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157252</v>
      </c>
      <c r="G53" s="866"/>
    </row>
    <row r="54" spans="1:7" x14ac:dyDescent="0.2">
      <c r="A54" s="870" t="s">
        <v>479</v>
      </c>
      <c r="B54" s="870" t="s">
        <v>1552</v>
      </c>
      <c r="C54" s="890" t="s">
        <v>1039</v>
      </c>
      <c r="D54" s="886" t="s">
        <v>1157</v>
      </c>
      <c r="E54" s="869"/>
      <c r="F54" s="1939">
        <f>'Expenditures 15-22'!G114</f>
        <v>8135</v>
      </c>
      <c r="G54" s="866"/>
    </row>
    <row r="55" spans="1:7" x14ac:dyDescent="0.2">
      <c r="A55" s="870" t="s">
        <v>479</v>
      </c>
      <c r="B55" s="870" t="s">
        <v>1553</v>
      </c>
      <c r="C55" s="890" t="s">
        <v>1039</v>
      </c>
      <c r="D55" s="886" t="s">
        <v>309</v>
      </c>
      <c r="E55" s="869"/>
      <c r="F55" s="1939">
        <f>'Expenditures 15-22'!I114</f>
        <v>15843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52398</v>
      </c>
      <c r="G58" s="866"/>
    </row>
    <row r="59" spans="1:7" x14ac:dyDescent="0.2">
      <c r="A59" s="894" t="s">
        <v>480</v>
      </c>
      <c r="B59" s="857" t="s">
        <v>1995</v>
      </c>
      <c r="C59" s="895" t="s">
        <v>1039</v>
      </c>
      <c r="D59" s="857" t="s">
        <v>309</v>
      </c>
      <c r="F59" s="1942">
        <f>'Expenditures 15-22'!I151</f>
        <v>5298</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107424</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17</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7995</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355568</v>
      </c>
      <c r="G76" s="866"/>
    </row>
    <row r="77" spans="1:8" s="894" customFormat="1" ht="12" customHeight="1" thickTop="1" thickBot="1" x14ac:dyDescent="0.25">
      <c r="A77" s="1801"/>
      <c r="B77" s="1798"/>
      <c r="C77" s="1794"/>
      <c r="D77" s="1799" t="s">
        <v>2011</v>
      </c>
      <c r="E77" s="1796"/>
      <c r="F77" s="1802">
        <f>(F14-F76)</f>
        <v>4354795</v>
      </c>
      <c r="G77" s="870"/>
    </row>
    <row r="78" spans="1:8" s="894" customFormat="1" ht="12" customHeight="1" thickTop="1" x14ac:dyDescent="0.2">
      <c r="A78" s="1803"/>
      <c r="B78" s="1798"/>
      <c r="C78" s="1794"/>
      <c r="D78" s="1799" t="s">
        <v>2057</v>
      </c>
      <c r="E78" s="1796"/>
      <c r="F78" s="899">
        <v>274.39999999999998</v>
      </c>
      <c r="G78" s="900"/>
      <c r="H78" s="870"/>
    </row>
    <row r="79" spans="1:8" s="894" customFormat="1" ht="12" customHeight="1" thickBot="1" x14ac:dyDescent="0.25">
      <c r="A79" s="1804"/>
      <c r="B79" s="1798"/>
      <c r="C79" s="1794"/>
      <c r="D79" s="1799" t="s">
        <v>2012</v>
      </c>
      <c r="E79" s="1796" t="s">
        <v>1015</v>
      </c>
      <c r="F79" s="1805">
        <f>IF(F78&gt;0,F77/F78," Complete Line 78")</f>
        <v>15870.244169096211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15370</v>
      </c>
      <c r="G94" s="913"/>
    </row>
    <row r="95" spans="1:7" x14ac:dyDescent="0.2">
      <c r="A95" s="909" t="s">
        <v>142</v>
      </c>
      <c r="B95" s="909" t="s">
        <v>177</v>
      </c>
      <c r="C95" s="911">
        <v>1700</v>
      </c>
      <c r="D95" s="919" t="str">
        <f>'Revenues 9-14'!A82</f>
        <v>Total District/School Activity Income</v>
      </c>
      <c r="E95" s="907"/>
      <c r="F95" s="1811">
        <f>SUM('Revenues 9-14'!C82,'Revenues 9-14'!D82)</f>
        <v>32959</v>
      </c>
      <c r="G95" s="913"/>
    </row>
    <row r="96" spans="1:7" x14ac:dyDescent="0.2">
      <c r="A96" s="909" t="s">
        <v>479</v>
      </c>
      <c r="B96" s="909" t="s">
        <v>178</v>
      </c>
      <c r="C96" s="911">
        <f>'Revenues 9-14'!B84</f>
        <v>1811</v>
      </c>
      <c r="D96" s="912" t="str">
        <f>'Revenues 9-14'!A84</f>
        <v>Rentals - Regular Textbooks</v>
      </c>
      <c r="E96" s="907"/>
      <c r="F96" s="1811">
        <f>'Revenues 9-14'!C84</f>
        <v>136913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57321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154</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140034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14187</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4093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36460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5475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444466</v>
      </c>
    </row>
    <row r="179" spans="1:7" ht="12" customHeight="1" x14ac:dyDescent="0.2">
      <c r="A179" s="1792"/>
      <c r="B179" s="1806"/>
      <c r="C179" s="1807"/>
      <c r="D179" s="1808" t="s">
        <v>2014</v>
      </c>
      <c r="E179" s="1809"/>
      <c r="F179" s="1811">
        <f>'PCTC-OEPP 27-28'!F77-F178</f>
        <v>3910329</v>
      </c>
    </row>
    <row r="180" spans="1:7" ht="12" customHeight="1" x14ac:dyDescent="0.2">
      <c r="A180" s="1792"/>
      <c r="B180" s="1806"/>
      <c r="C180" s="1807"/>
      <c r="D180" s="1808" t="s">
        <v>1924</v>
      </c>
      <c r="E180" s="1809"/>
      <c r="F180" s="1811">
        <f>'Cap Outlay Deprec 26'!I18</f>
        <v>347190.1</v>
      </c>
    </row>
    <row r="181" spans="1:7" ht="12" customHeight="1" x14ac:dyDescent="0.2">
      <c r="A181" s="1792"/>
      <c r="B181" s="1806"/>
      <c r="C181" s="1807"/>
      <c r="D181" s="1808" t="s">
        <v>2015</v>
      </c>
      <c r="E181" s="1809"/>
      <c r="F181" s="1811">
        <f>F179+F180</f>
        <v>4257519.0999999996</v>
      </c>
    </row>
    <row r="182" spans="1:7" ht="12" customHeight="1" x14ac:dyDescent="0.2">
      <c r="A182" s="1792"/>
      <c r="B182" s="1812"/>
      <c r="C182" s="1807"/>
      <c r="D182" s="1808" t="str">
        <f>D78</f>
        <v>9 Month ADA from District Average Daily Attendance/Prior General State Aid Inquiry 2017-2018</v>
      </c>
      <c r="E182" s="1809"/>
      <c r="F182" s="1813">
        <f>'PCTC-OEPP 27-28'!F78</f>
        <v>274.39999999999998</v>
      </c>
      <c r="G182" s="931"/>
    </row>
    <row r="183" spans="1:7" ht="12" customHeight="1" thickBot="1" x14ac:dyDescent="0.25">
      <c r="A183" s="1792"/>
      <c r="B183" s="1812"/>
      <c r="C183" s="1807"/>
      <c r="D183" s="1808" t="s">
        <v>2016</v>
      </c>
      <c r="E183" s="1809" t="s">
        <v>1626</v>
      </c>
      <c r="F183" s="1814">
        <f>F181/F182</f>
        <v>15515.740160349855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38" sqref="A38:H38"/>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2105</v>
      </c>
      <c r="B17" s="1957" t="s">
        <v>2103</v>
      </c>
      <c r="C17" s="1958" t="s">
        <v>2102</v>
      </c>
      <c r="D17" s="1867">
        <v>144935</v>
      </c>
      <c r="E17" s="1562">
        <f t="shared" ref="E17:E141" si="1">IF(D17&lt;=25000,D17,IF(D17&gt;25000,25000,0))</f>
        <v>25000</v>
      </c>
      <c r="F17" s="1815">
        <f t="shared" si="0"/>
        <v>25000</v>
      </c>
      <c r="G17" s="1816">
        <f>IF(F17=0,0,D17-F17)</f>
        <v>119935</v>
      </c>
      <c r="H17" s="1669"/>
    </row>
    <row r="18" spans="1:8" ht="30" x14ac:dyDescent="0.25">
      <c r="A18" s="1956" t="s">
        <v>2106</v>
      </c>
      <c r="B18" s="1957" t="s">
        <v>2103</v>
      </c>
      <c r="C18" s="1958" t="s">
        <v>2104</v>
      </c>
      <c r="D18" s="1867">
        <v>62225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37225</v>
      </c>
    </row>
    <row r="19" spans="1:8" ht="30" x14ac:dyDescent="0.25">
      <c r="A19" s="1956" t="s">
        <v>2107</v>
      </c>
      <c r="B19" s="1957" t="s">
        <v>2109</v>
      </c>
      <c r="C19" s="1958" t="s">
        <v>2108</v>
      </c>
      <c r="D19" s="1867">
        <v>37101</v>
      </c>
      <c r="E19" s="1562">
        <f t="shared" si="2"/>
        <v>25000</v>
      </c>
      <c r="F19" s="1815">
        <f t="shared" si="3"/>
        <v>25000</v>
      </c>
      <c r="G19" s="1816">
        <f t="shared" si="4"/>
        <v>12101</v>
      </c>
    </row>
    <row r="20" spans="1:8" ht="30" x14ac:dyDescent="0.25">
      <c r="A20" s="1956" t="s">
        <v>2110</v>
      </c>
      <c r="B20" s="1957" t="s">
        <v>2112</v>
      </c>
      <c r="C20" s="1958" t="s">
        <v>2111</v>
      </c>
      <c r="D20" s="1867">
        <v>34490</v>
      </c>
      <c r="E20" s="1562">
        <f t="shared" si="2"/>
        <v>25000</v>
      </c>
      <c r="F20" s="1815">
        <f t="shared" si="3"/>
        <v>25000</v>
      </c>
      <c r="G20" s="1816">
        <f t="shared" si="4"/>
        <v>9490</v>
      </c>
    </row>
    <row r="21" spans="1:8" ht="30" x14ac:dyDescent="0.25">
      <c r="A21" s="1956" t="s">
        <v>2113</v>
      </c>
      <c r="B21" s="1957" t="s">
        <v>2114</v>
      </c>
      <c r="C21" s="1958" t="s">
        <v>2115</v>
      </c>
      <c r="D21" s="1867">
        <v>82080</v>
      </c>
      <c r="E21" s="1562">
        <f t="shared" si="2"/>
        <v>25000</v>
      </c>
      <c r="F21" s="1815">
        <f t="shared" si="3"/>
        <v>25000</v>
      </c>
      <c r="G21" s="1816">
        <f t="shared" si="4"/>
        <v>57080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360831</v>
      </c>
      <c r="E141" s="1563">
        <f t="shared" si="1"/>
        <v>25000</v>
      </c>
      <c r="F141" s="1817">
        <f>SUM(F17:F140)</f>
        <v>125000</v>
      </c>
      <c r="G141" s="1818">
        <f>SUM(G17:G140)</f>
        <v>235831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38" sqref="A38:H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2438770</v>
      </c>
      <c r="F19" s="1822"/>
      <c r="G19" s="1824">
        <f>'Expenditures 15-22'!K33-SUM('Expenditures 15-22'!G33,'Expenditures 15-22'!I33)+'Expenditures 15-22'!D229</f>
        <v>2438770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157145</v>
      </c>
      <c r="F21" s="1825"/>
      <c r="G21" s="1828">
        <f>'Expenditures 15-22'!K42-SUM('Expenditures 15-22'!G42,'Expenditures 15-22'!I42)+'Expenditures 15-22'!K120-SUM('Expenditures 15-22'!G120,'Expenditures 15-22'!I120)+'Expenditures 15-22'!K180-SUM('Expenditures 15-22'!G180,'Expenditures 15-22'!I180)+'Expenditures 15-22'!D238</f>
        <v>157145</v>
      </c>
      <c r="H21" s="988"/>
      <c r="I21" s="162"/>
    </row>
    <row r="22" spans="1:9" s="669" customFormat="1" ht="12" customHeight="1" x14ac:dyDescent="0.2">
      <c r="A22" s="995" t="s">
        <v>585</v>
      </c>
      <c r="B22" s="996"/>
      <c r="C22" s="994">
        <v>2200</v>
      </c>
      <c r="D22" s="1825"/>
      <c r="E22" s="1827">
        <f>'Expenditures 15-22'!K47-SUM('Expenditures 15-22'!G47,'Expenditures 15-22'!I47)+'Expenditures 15-22'!D243</f>
        <v>48030</v>
      </c>
      <c r="F22" s="1825"/>
      <c r="G22" s="1828">
        <f>'Expenditures 15-22'!K47-SUM('Expenditures 15-22'!G47,'Expenditures 15-22'!I47)+'Expenditures 15-22'!D243</f>
        <v>48030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168275</v>
      </c>
      <c r="F23" s="1825"/>
      <c r="G23" s="1827">
        <f>'Expenditures 15-22'!K53-SUM('Expenditures 15-22'!G53,'Expenditures 15-22'!I53)+'Expenditures 15-22'!D257+'Expenditures 15-22'!K330-SUM('Expenditures 15-22'!G330,'Expenditures 15-22'!I330)</f>
        <v>168275</v>
      </c>
      <c r="H23" s="988"/>
      <c r="I23" s="162"/>
    </row>
    <row r="24" spans="1:9" s="669" customFormat="1" ht="12" customHeight="1" x14ac:dyDescent="0.2">
      <c r="A24" s="995" t="s">
        <v>587</v>
      </c>
      <c r="B24" s="996"/>
      <c r="C24" s="994">
        <v>2400</v>
      </c>
      <c r="D24" s="1825"/>
      <c r="E24" s="1827">
        <f>'Expenditures 15-22'!K57-SUM('Expenditures 15-22'!G57,'Expenditures 15-22'!I57)+'Expenditures 15-22'!D261</f>
        <v>385867</v>
      </c>
      <c r="F24" s="1825"/>
      <c r="G24" s="1828">
        <f>'Expenditures 15-22'!K57-SUM('Expenditures 15-22'!G57,'Expenditures 15-22'!I57)+'Expenditures 15-22'!D261</f>
        <v>385867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161388</v>
      </c>
      <c r="E26" s="1827">
        <f>'Expenditures 15-22'!K122-SUM('Expenditures 15-22'!G122,'Expenditures 15-22'!I122)+E7</f>
        <v>0</v>
      </c>
      <c r="F26" s="1827">
        <f>'Expenditures 15-22'!K59-SUM('Expenditures 15-22'!G59,'Expenditures 15-22'!I59)+'Expenditures 15-22'!D263-E7</f>
        <v>161388</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1407</v>
      </c>
      <c r="E27" s="1827">
        <f>E8</f>
        <v>0</v>
      </c>
      <c r="F27" s="1827">
        <f>'Expenditures 15-22'!K60-SUM('Expenditures 15-22'!G60,'Expenditures 15-22'!I60)+'Expenditures 15-22'!D264-E8</f>
        <v>1407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402360</v>
      </c>
      <c r="F28" s="1829">
        <f>'Expenditures 15-22'!K61-SUM('Expenditures 15-22'!G61,'Expenditures 15-22'!I61)+'Expenditures 15-22'!K124-SUM('Expenditures 15-22'!G124,'Expenditures 15-22'!I124)+'Expenditures 15-22'!D266-E9</f>
        <v>402360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207160</v>
      </c>
      <c r="F29" s="1825"/>
      <c r="G29" s="1828">
        <f>'Expenditures 15-22'!K62-SUM('Expenditures 15-22'!G62,'Expenditures 15-22'!I62)+'Expenditures 15-22'!K125-SUM('Expenditures 15-22'!G125,'Expenditures 15-22'!I125)+'Expenditures 15-22'!K182-SUM('Expenditures 15-22'!G182,'Expenditures 15-22'!I182)+'Expenditures 15-22'!D267</f>
        <v>207160</v>
      </c>
      <c r="H29" s="986"/>
    </row>
    <row r="30" spans="1:9" ht="12" customHeight="1" x14ac:dyDescent="0.2">
      <c r="A30" s="995" t="s">
        <v>102</v>
      </c>
      <c r="B30" s="998"/>
      <c r="C30" s="994">
        <v>2560</v>
      </c>
      <c r="D30" s="1825"/>
      <c r="E30" s="1827">
        <f>'Expenditures 15-22'!K63-SUM('Expenditures 15-22'!G63,'Expenditures 15-22'!I63)+'Expenditures 15-22'!D268-E10</f>
        <v>25095</v>
      </c>
      <c r="F30" s="1825"/>
      <c r="G30" s="1827">
        <f>'Expenditures 15-22'!K63-SUM('Expenditures 15-22'!G63,'Expenditures 15-22'!I63)+'Expenditures 15-22'!D268-E10</f>
        <v>25095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-235831</v>
      </c>
      <c r="F40" s="1825"/>
      <c r="G40" s="1829">
        <f>-'Contracts Paid in CY 29'!G141</f>
        <v>-235831</v>
      </c>
    </row>
    <row r="41" spans="1:7" ht="12" customHeight="1" x14ac:dyDescent="0.2">
      <c r="A41" s="999" t="s">
        <v>158</v>
      </c>
      <c r="B41" s="1000"/>
      <c r="C41" s="1001"/>
      <c r="D41" s="1829">
        <f>SUM(D19:D39)</f>
        <v>162795</v>
      </c>
      <c r="E41" s="1829">
        <f>SUM(E19:E40)</f>
        <v>3596871</v>
      </c>
      <c r="F41" s="1829">
        <f>SUM(F19:F39)</f>
        <v>565155</v>
      </c>
      <c r="G41" s="1829">
        <f>SUM(G19:G40)</f>
        <v>3194511</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162795</v>
      </c>
      <c r="F43" s="1830" t="s">
        <v>495</v>
      </c>
      <c r="G43" s="1831">
        <f>F41</f>
        <v>565155</v>
      </c>
    </row>
    <row r="44" spans="1:7" ht="12" customHeight="1" x14ac:dyDescent="0.2">
      <c r="A44" s="988"/>
      <c r="B44" s="162"/>
      <c r="C44" s="1002"/>
      <c r="D44" s="1830" t="s">
        <v>494</v>
      </c>
      <c r="E44" s="1831">
        <f>E41</f>
        <v>3596871</v>
      </c>
      <c r="F44" s="1830" t="s">
        <v>494</v>
      </c>
      <c r="G44" s="1831">
        <f>G41</f>
        <v>3194511</v>
      </c>
    </row>
    <row r="45" spans="1:7" ht="12" customHeight="1" x14ac:dyDescent="0.2">
      <c r="A45" s="988"/>
      <c r="B45" s="162"/>
      <c r="C45" s="162"/>
      <c r="D45" s="1832" t="s">
        <v>1063</v>
      </c>
      <c r="E45" s="1833">
        <f>(E43/E44)</f>
        <v>4.5260171966133897E-2</v>
      </c>
      <c r="F45" s="1832" t="s">
        <v>1063</v>
      </c>
      <c r="G45" s="1833">
        <f>(G43/G44)</f>
        <v>0.17691440098343691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38" sqref="A38:H38"/>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Emmons SD 33</v>
      </c>
      <c r="D6" s="2315"/>
      <c r="E6" s="2315"/>
      <c r="F6" s="1877"/>
    </row>
    <row r="7" spans="1:10" ht="11.25" customHeight="1" thickBot="1" x14ac:dyDescent="0.3">
      <c r="A7" s="1875"/>
      <c r="B7" s="1876"/>
      <c r="C7" s="2316">
        <f>COVER!A13</f>
        <v>34049033002</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2077</v>
      </c>
      <c r="F14" s="1892" t="s">
        <v>2093</v>
      </c>
      <c r="H14" s="1903">
        <f t="shared" si="0"/>
        <v>5</v>
      </c>
      <c r="I14" s="1903">
        <f t="shared" si="1"/>
        <v>5</v>
      </c>
      <c r="J14" s="1903">
        <f t="shared" si="2"/>
        <v>5</v>
      </c>
    </row>
    <row r="15" spans="1:10" ht="12" customHeight="1" x14ac:dyDescent="0.2">
      <c r="A15" s="1888" t="s">
        <v>1454</v>
      </c>
      <c r="B15" s="1889"/>
      <c r="C15" s="1890" t="s">
        <v>2077</v>
      </c>
      <c r="D15" s="1890" t="s">
        <v>2077</v>
      </c>
      <c r="E15" s="1893" t="s">
        <v>2077</v>
      </c>
      <c r="F15" s="1892" t="s">
        <v>2094</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2095</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t="s">
        <v>2077</v>
      </c>
      <c r="F24" s="1892" t="s">
        <v>2096</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t="s">
        <v>2077</v>
      </c>
      <c r="F28" s="1892" t="s">
        <v>2098</v>
      </c>
      <c r="H28" s="1903">
        <f t="shared" si="0"/>
        <v>5</v>
      </c>
      <c r="I28" s="1903">
        <f t="shared" si="1"/>
        <v>5</v>
      </c>
      <c r="J28" s="1903">
        <f t="shared" si="2"/>
        <v>5</v>
      </c>
    </row>
    <row r="29" spans="1:12" ht="12" customHeight="1" x14ac:dyDescent="0.2">
      <c r="A29" s="1888" t="s">
        <v>1618</v>
      </c>
      <c r="B29" s="1889"/>
      <c r="C29" s="1890" t="s">
        <v>2077</v>
      </c>
      <c r="D29" s="1890" t="s">
        <v>2077</v>
      </c>
      <c r="E29" s="1893" t="s">
        <v>2077</v>
      </c>
      <c r="F29" s="1892" t="s">
        <v>2099</v>
      </c>
      <c r="H29" s="1903">
        <f t="shared" si="0"/>
        <v>5</v>
      </c>
      <c r="I29" s="1903">
        <f t="shared" si="1"/>
        <v>5</v>
      </c>
      <c r="J29" s="1903">
        <f t="shared" si="2"/>
        <v>5</v>
      </c>
    </row>
    <row r="30" spans="1:12" ht="12" customHeight="1" x14ac:dyDescent="0.2">
      <c r="A30" s="1888" t="s">
        <v>1619</v>
      </c>
      <c r="B30" s="1889"/>
      <c r="C30" s="1890" t="s">
        <v>2077</v>
      </c>
      <c r="D30" s="1890" t="s">
        <v>2077</v>
      </c>
      <c r="E30" s="1893" t="s">
        <v>2077</v>
      </c>
      <c r="F30" s="1892" t="s">
        <v>2100</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40</v>
      </c>
      <c r="K34" s="1903">
        <f>SUM(H34:J34)</f>
        <v>120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38" sqref="A38:H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Emmons SD 33</v>
      </c>
      <c r="J6" s="2336"/>
      <c r="Q6" s="1686"/>
    </row>
    <row r="7" spans="1:17" x14ac:dyDescent="0.2">
      <c r="A7" s="2337" t="s">
        <v>924</v>
      </c>
      <c r="B7" s="2338"/>
      <c r="C7" s="2338"/>
      <c r="D7" s="2338"/>
      <c r="E7" s="2339"/>
      <c r="F7" s="1018"/>
      <c r="G7" s="1010"/>
      <c r="H7" s="1017" t="s">
        <v>390</v>
      </c>
      <c r="I7" s="2340">
        <f>COVER!A13</f>
        <v>34049033002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67579</v>
      </c>
      <c r="F12" s="1040"/>
      <c r="G12" s="1834">
        <f t="shared" ref="G12:G18" si="0">SUM(E12:F12)</f>
        <v>67579</v>
      </c>
      <c r="H12" s="1041">
        <v>68440</v>
      </c>
      <c r="I12" s="1040"/>
      <c r="J12" s="1834">
        <f t="shared" ref="J12:J18" si="1">SUM(H12:I12)</f>
        <v>68440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138250</v>
      </c>
      <c r="F15" s="1834">
        <f>'Expenditures 15-22'!K122</f>
        <v>0</v>
      </c>
      <c r="G15" s="1834">
        <f t="shared" si="0"/>
        <v>138250</v>
      </c>
      <c r="H15" s="1041">
        <v>143300</v>
      </c>
      <c r="I15" s="1041"/>
      <c r="J15" s="1834">
        <f t="shared" si="1"/>
        <v>143300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205829</v>
      </c>
      <c r="F19" s="1836">
        <f t="shared" si="2"/>
        <v>0</v>
      </c>
      <c r="G19" s="1836">
        <f t="shared" si="2"/>
        <v>205829</v>
      </c>
      <c r="H19" s="1836">
        <f t="shared" si="2"/>
        <v>211740</v>
      </c>
      <c r="I19" s="1836">
        <f t="shared" si="2"/>
        <v>0</v>
      </c>
      <c r="J19" s="1836">
        <f t="shared" si="2"/>
        <v>211740</v>
      </c>
    </row>
    <row r="20" spans="1:10" ht="13.5" thickTop="1" x14ac:dyDescent="0.2">
      <c r="A20" s="1036">
        <v>9</v>
      </c>
      <c r="B20" s="2347" t="s">
        <v>1703</v>
      </c>
      <c r="C20" s="2347"/>
      <c r="D20" s="2348"/>
      <c r="E20" s="1047"/>
      <c r="F20" s="1047"/>
      <c r="G20" s="1047"/>
      <c r="H20" s="1047"/>
      <c r="I20" s="1047"/>
      <c r="J20" s="1837">
        <f>IF(AND(G19&gt;0,J19&gt;0),(((J19-G19)/G19)),"Enter Budget Data")</f>
        <v>2.8718013496640413E-2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Emmons SD 33</v>
      </c>
    </row>
    <row r="65" spans="2:2" x14ac:dyDescent="0.2">
      <c r="B65" s="1071">
        <f>COVER!A13</f>
        <v>34049033002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1" zoomScale="110" zoomScaleNormal="110" workbookViewId="0">
      <selection activeCell="A38" sqref="A38:H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819150</xdr:colOff>
                <xdr:row>2</xdr:row>
                <xdr:rowOff>104775</xdr:rowOff>
              </from>
              <to>
                <xdr:col>1</xdr:col>
                <xdr:colOff>1733550</xdr:colOff>
                <xdr:row>6</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2019300</xdr:colOff>
                <xdr:row>2</xdr:row>
                <xdr:rowOff>133350</xdr:rowOff>
              </from>
              <to>
                <xdr:col>1</xdr:col>
                <xdr:colOff>2924175</xdr:colOff>
                <xdr:row>7</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3774697</v>
      </c>
      <c r="C8" s="1838">
        <f>'Acct Summary 7-8'!D8</f>
        <v>629431</v>
      </c>
      <c r="D8" s="1838">
        <f>'Acct Summary 7-8'!F8</f>
        <v>291474</v>
      </c>
      <c r="E8" s="1838">
        <f>'Acct Summary 7-8'!I8</f>
        <v>1749</v>
      </c>
      <c r="F8" s="1838">
        <f>SUM(B8:E8)</f>
        <v>4697351</v>
      </c>
    </row>
    <row r="9" spans="1:8" s="1080" customFormat="1" ht="14.25" customHeight="1" thickBot="1" x14ac:dyDescent="0.25">
      <c r="A9" s="1079" t="s">
        <v>1436</v>
      </c>
      <c r="B9" s="1839">
        <f>'Acct Summary 7-8'!C17</f>
        <v>3424787</v>
      </c>
      <c r="C9" s="1839">
        <f>'Acct Summary 7-8'!D17</f>
        <v>442637</v>
      </c>
      <c r="D9" s="1839">
        <f>'Acct Summary 7-8'!F17</f>
        <v>207160</v>
      </c>
      <c r="E9" s="1838"/>
      <c r="F9" s="1838">
        <f>SUM(B9:E9)</f>
        <v>4074584</v>
      </c>
    </row>
    <row r="10" spans="1:8" s="1080" customFormat="1" ht="14.25" thickTop="1" thickBot="1" x14ac:dyDescent="0.25">
      <c r="A10" s="1081" t="s">
        <v>1437</v>
      </c>
      <c r="B10" s="1840">
        <f>(B8-B9)</f>
        <v>349910</v>
      </c>
      <c r="C10" s="1840">
        <f>(C8-C9)</f>
        <v>186794</v>
      </c>
      <c r="D10" s="1840">
        <f>(D8-D9)</f>
        <v>84314</v>
      </c>
      <c r="E10" s="1839">
        <f>(E8-E9)</f>
        <v>1749</v>
      </c>
      <c r="F10" s="1841">
        <f>SUM(F8-F9)</f>
        <v>622767</v>
      </c>
    </row>
    <row r="11" spans="1:8" s="1080" customFormat="1" ht="14.25" thickTop="1" thickBot="1" x14ac:dyDescent="0.25">
      <c r="A11" s="1082" t="s">
        <v>1785</v>
      </c>
      <c r="B11" s="1842">
        <f>'Acct Summary 7-8'!C81</f>
        <v>2656521</v>
      </c>
      <c r="C11" s="1842">
        <f>'Acct Summary 7-8'!D81</f>
        <v>972534</v>
      </c>
      <c r="D11" s="1842">
        <f>'Acct Summary 7-8'!F81</f>
        <v>217910</v>
      </c>
      <c r="E11" s="1842">
        <f>'Acct Summary 7-8'!I81</f>
        <v>153302</v>
      </c>
      <c r="F11" s="1843">
        <f>SUM(B11:E11)</f>
        <v>4000267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34049033002</v>
      </c>
    </row>
    <row r="3" spans="1:2" x14ac:dyDescent="0.2">
      <c r="A3" t="s">
        <v>1013</v>
      </c>
      <c r="B3" s="138" t="str">
        <f>COVER!A15</f>
        <v>LAKE</v>
      </c>
    </row>
    <row r="4" spans="1:2" x14ac:dyDescent="0.2">
      <c r="A4" t="s">
        <v>1064</v>
      </c>
      <c r="B4" s="138" t="str">
        <f>COVER!A17</f>
        <v>Emmons SD 33</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&amp; PEASE, P.C.</v>
      </c>
    </row>
    <row r="17" spans="1:2" x14ac:dyDescent="0.2">
      <c r="A17" t="s">
        <v>939</v>
      </c>
      <c r="B17" s="138" t="str">
        <f>COVER!T15</f>
        <v>JEFFERY M. ROLLEFSON</v>
      </c>
    </row>
    <row r="18" spans="1:2" x14ac:dyDescent="0.2">
      <c r="A18" t="s">
        <v>1212</v>
      </c>
      <c r="B18" s="138" t="str">
        <f>COVER!T17</f>
        <v>1875 HICKS ROAD</v>
      </c>
    </row>
    <row r="19" spans="1:2" x14ac:dyDescent="0.2">
      <c r="A19" t="s">
        <v>941</v>
      </c>
      <c r="B19" s="138">
        <f>COVER!T25</f>
        <v>0</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2656521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2656521</v>
      </c>
      <c r="D92" s="2" t="str">
        <f t="shared" si="0"/>
        <v>Error?</v>
      </c>
    </row>
    <row r="93" spans="1:4" x14ac:dyDescent="0.2">
      <c r="A93" s="5">
        <v>32</v>
      </c>
      <c r="B93" s="138">
        <f>'Assets-Liab 5-6'!C41</f>
        <v>2656521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972534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972534</v>
      </c>
      <c r="D123" s="2" t="str">
        <f t="shared" si="0"/>
        <v>Error?</v>
      </c>
    </row>
    <row r="124" spans="1:4" x14ac:dyDescent="0.2">
      <c r="A124" s="5">
        <v>63</v>
      </c>
      <c r="B124" s="138">
        <f>'Assets-Liab 5-6'!D41</f>
        <v>972534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170189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170189</v>
      </c>
      <c r="D140" s="2" t="str">
        <f t="shared" si="1"/>
        <v>Error?</v>
      </c>
    </row>
    <row r="141" spans="1:4" x14ac:dyDescent="0.2">
      <c r="A141" s="5">
        <v>80</v>
      </c>
      <c r="B141" s="138">
        <f>'Assets-Liab 5-6'!E41</f>
        <v>170189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217910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217910</v>
      </c>
      <c r="D170" s="2" t="str">
        <f t="shared" si="1"/>
        <v>Error?</v>
      </c>
    </row>
    <row r="171" spans="1:4" x14ac:dyDescent="0.2">
      <c r="A171" s="5">
        <v>110</v>
      </c>
      <c r="B171" s="138">
        <f>'Assets-Liab 5-6'!F41</f>
        <v>217910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93373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93373</v>
      </c>
      <c r="D189" s="2" t="str">
        <f t="shared" si="1"/>
        <v>Error?</v>
      </c>
    </row>
    <row r="190" spans="1:4" x14ac:dyDescent="0.2">
      <c r="A190" s="5">
        <v>129</v>
      </c>
      <c r="B190" s="138">
        <f>'Assets-Liab 5-6'!G41</f>
        <v>93373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11067553</v>
      </c>
      <c r="D274" s="2" t="str">
        <f t="shared" si="3"/>
        <v>Error?</v>
      </c>
    </row>
    <row r="275" spans="1:4" x14ac:dyDescent="0.2">
      <c r="A275" s="5">
        <v>214</v>
      </c>
      <c r="B275" s="138">
        <f>'Assets-Liab 5-6'!M18</f>
        <v>278576</v>
      </c>
      <c r="D275" s="2" t="str">
        <f t="shared" si="3"/>
        <v>Error?</v>
      </c>
    </row>
    <row r="276" spans="1:4" x14ac:dyDescent="0.2">
      <c r="A276" s="5">
        <v>215</v>
      </c>
      <c r="B276" s="138">
        <f>'Assets-Liab 5-6'!M19</f>
        <v>1112358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12478487</v>
      </c>
      <c r="C279" s="2" t="s">
        <v>594</v>
      </c>
      <c r="D279" s="2" t="str">
        <f t="shared" si="3"/>
        <v>Error?</v>
      </c>
    </row>
    <row r="280" spans="1:4" x14ac:dyDescent="0.2">
      <c r="A280" s="5">
        <v>219</v>
      </c>
      <c r="B280" s="138">
        <f>'Assets-Liab 5-6'!M40</f>
        <v>12478487</v>
      </c>
      <c r="D280" s="2" t="str">
        <f t="shared" si="3"/>
        <v>Error?</v>
      </c>
    </row>
    <row r="281" spans="1:4" x14ac:dyDescent="0.2">
      <c r="A281" s="5">
        <v>220</v>
      </c>
      <c r="B281" s="138">
        <f>'Assets-Liab 5-6'!M41</f>
        <v>12478487</v>
      </c>
      <c r="C281" s="2" t="s">
        <v>594</v>
      </c>
      <c r="D281" s="2" t="str">
        <f t="shared" si="3"/>
        <v>Error?</v>
      </c>
    </row>
    <row r="282" spans="1:4" x14ac:dyDescent="0.2">
      <c r="A282" s="5">
        <v>221</v>
      </c>
      <c r="B282" s="138">
        <f>'Assets-Liab 5-6'!N21</f>
        <v>170189</v>
      </c>
      <c r="D282" s="2" t="str">
        <f t="shared" si="3"/>
        <v>Error?</v>
      </c>
    </row>
    <row r="283" spans="1:4" x14ac:dyDescent="0.2">
      <c r="A283" s="5">
        <v>222</v>
      </c>
      <c r="B283" s="138">
        <f>'Assets-Liab 5-6'!N22</f>
        <v>6299121</v>
      </c>
      <c r="D283" s="2" t="str">
        <f t="shared" si="3"/>
        <v>Error?</v>
      </c>
    </row>
    <row r="284" spans="1:4" x14ac:dyDescent="0.2">
      <c r="A284" s="5">
        <v>223</v>
      </c>
      <c r="B284" s="138">
        <f>'Assets-Liab 5-6'!N23</f>
        <v>6469310</v>
      </c>
      <c r="C284" s="2" t="s">
        <v>594</v>
      </c>
      <c r="D284" s="2" t="str">
        <f t="shared" si="3"/>
        <v>Error?</v>
      </c>
    </row>
    <row r="285" spans="1:4" x14ac:dyDescent="0.2">
      <c r="A285" s="5">
        <v>224</v>
      </c>
      <c r="B285" s="138">
        <f>'Assets-Liab 5-6'!N36</f>
        <v>6469310</v>
      </c>
      <c r="D285" s="2" t="str">
        <f t="shared" si="3"/>
        <v>Error?</v>
      </c>
    </row>
    <row r="286" spans="1:4" x14ac:dyDescent="0.2">
      <c r="A286" s="10">
        <v>225</v>
      </c>
      <c r="D286" s="2" t="str">
        <f t="shared" si="3"/>
        <v>OK</v>
      </c>
    </row>
    <row r="287" spans="1:4" x14ac:dyDescent="0.2">
      <c r="A287" s="5">
        <v>226</v>
      </c>
      <c r="B287" s="138">
        <f>'Assets-Liab 5-6'!N37</f>
        <v>6469310</v>
      </c>
      <c r="C287" s="2" t="s">
        <v>594</v>
      </c>
      <c r="D287" s="2" t="str">
        <f t="shared" si="3"/>
        <v>Error?</v>
      </c>
    </row>
    <row r="288" spans="1:4" x14ac:dyDescent="0.2">
      <c r="A288" s="5">
        <v>227</v>
      </c>
      <c r="B288" s="138">
        <f>'Assets-Liab 5-6'!N41</f>
        <v>6469310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1528975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8155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34497</v>
      </c>
      <c r="D718" s="2" t="str">
        <f t="shared" si="10"/>
        <v>Error?</v>
      </c>
    </row>
    <row r="719" spans="1:4" x14ac:dyDescent="0.2">
      <c r="A719" s="5">
        <v>658</v>
      </c>
      <c r="B719" s="138">
        <f>'Expenditures 15-22'!C15</f>
        <v>1175</v>
      </c>
      <c r="D719" s="2" t="str">
        <f t="shared" si="10"/>
        <v>Error?</v>
      </c>
    </row>
    <row r="720" spans="1:4" x14ac:dyDescent="0.2">
      <c r="A720" s="5">
        <v>659</v>
      </c>
      <c r="B720" s="138">
        <f>'Expenditures 15-22'!C33</f>
        <v>1824251</v>
      </c>
      <c r="C720" s="2" t="s">
        <v>594</v>
      </c>
      <c r="D720" s="2" t="str">
        <f t="shared" si="10"/>
        <v>Error?</v>
      </c>
    </row>
    <row r="721" spans="1:4" x14ac:dyDescent="0.2">
      <c r="A721" s="5">
        <v>660</v>
      </c>
      <c r="B721" s="138">
        <f>'Expenditures 15-22'!C36</f>
        <v>39883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33854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73737</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17830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17830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51050</v>
      </c>
      <c r="D733" s="2" t="str">
        <f t="shared" si="10"/>
        <v>Error?</v>
      </c>
    </row>
    <row r="734" spans="1:4" x14ac:dyDescent="0.2">
      <c r="A734" s="5">
        <v>673</v>
      </c>
      <c r="B734" s="138">
        <f>'Expenditures 15-22'!C53</f>
        <v>51050</v>
      </c>
      <c r="C734" s="2" t="s">
        <v>594</v>
      </c>
      <c r="D734" s="2" t="str">
        <f t="shared" si="10"/>
        <v>Error?</v>
      </c>
    </row>
    <row r="735" spans="1:4" x14ac:dyDescent="0.2">
      <c r="A735" s="5">
        <v>674</v>
      </c>
      <c r="B735" s="138">
        <f>'Expenditures 15-22'!C55</f>
        <v>322026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322026</v>
      </c>
      <c r="C737" s="2" t="s">
        <v>594</v>
      </c>
      <c r="D737" s="2" t="str">
        <f t="shared" si="10"/>
        <v>Error?</v>
      </c>
    </row>
    <row r="738" spans="1:4" x14ac:dyDescent="0.2">
      <c r="A738" s="5">
        <v>677</v>
      </c>
      <c r="B738" s="138">
        <f>'Expenditures 15-22'!C59</f>
        <v>122635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122635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587278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2411529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300123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509</v>
      </c>
      <c r="D776" s="2" t="str">
        <f t="shared" si="11"/>
        <v>Error?</v>
      </c>
    </row>
    <row r="777" spans="1:4" x14ac:dyDescent="0.2">
      <c r="A777" s="5">
        <v>716</v>
      </c>
      <c r="B777" s="138">
        <f>'Expenditures 15-22'!D15</f>
        <v>31</v>
      </c>
      <c r="D777" s="2" t="str">
        <f t="shared" si="11"/>
        <v>Error?</v>
      </c>
    </row>
    <row r="778" spans="1:4" x14ac:dyDescent="0.2">
      <c r="A778" s="5">
        <v>717</v>
      </c>
      <c r="B778" s="138">
        <f>'Expenditures 15-22'!D33</f>
        <v>310781</v>
      </c>
      <c r="C778" s="2" t="s">
        <v>594</v>
      </c>
      <c r="D778" s="2" t="str">
        <f t="shared" si="11"/>
        <v>Error?</v>
      </c>
    </row>
    <row r="779" spans="1:4" x14ac:dyDescent="0.2">
      <c r="A779" s="5">
        <v>718</v>
      </c>
      <c r="B779" s="138">
        <f>'Expenditures 15-22'!D36</f>
        <v>3098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9835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12933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9530</v>
      </c>
      <c r="D791" s="2" t="str">
        <f t="shared" si="11"/>
        <v>Error?</v>
      </c>
    </row>
    <row r="792" spans="1:4" x14ac:dyDescent="0.2">
      <c r="A792" s="5">
        <v>731</v>
      </c>
      <c r="B792" s="138">
        <f>'Expenditures 15-22'!D53</f>
        <v>9530</v>
      </c>
      <c r="C792" s="2" t="s">
        <v>594</v>
      </c>
      <c r="D792" s="2" t="str">
        <f t="shared" si="11"/>
        <v>Error?</v>
      </c>
    </row>
    <row r="793" spans="1:4" x14ac:dyDescent="0.2">
      <c r="A793" s="5">
        <v>732</v>
      </c>
      <c r="B793" s="138">
        <f>'Expenditures 15-22'!D55</f>
        <v>37657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37657</v>
      </c>
      <c r="C795" s="2" t="s">
        <v>594</v>
      </c>
      <c r="D795" s="2" t="str">
        <f t="shared" si="11"/>
        <v>Error?</v>
      </c>
    </row>
    <row r="796" spans="1:4" x14ac:dyDescent="0.2">
      <c r="A796" s="5">
        <v>735</v>
      </c>
      <c r="B796" s="138">
        <f>'Expenditures 15-22'!D59</f>
        <v>15615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15615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75735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386516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110747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5338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123573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1122</v>
      </c>
      <c r="D839" s="2" t="str">
        <f t="shared" si="12"/>
        <v>Error?</v>
      </c>
    </row>
    <row r="840" spans="1:4" x14ac:dyDescent="0.2">
      <c r="A840" s="5">
        <v>779</v>
      </c>
      <c r="B840" s="138">
        <f>'Expenditures 15-22'!E39</f>
        <v>25350</v>
      </c>
      <c r="D840" s="2" t="str">
        <f t="shared" si="12"/>
        <v>Error?</v>
      </c>
    </row>
    <row r="841" spans="1:4" x14ac:dyDescent="0.2">
      <c r="A841" s="5">
        <v>780</v>
      </c>
      <c r="B841" s="138">
        <f>'Expenditures 15-22'!E40</f>
        <v>34490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60962</v>
      </c>
      <c r="C843" s="2" t="s">
        <v>594</v>
      </c>
      <c r="D843" s="2" t="str">
        <f t="shared" si="12"/>
        <v>Error?</v>
      </c>
    </row>
    <row r="844" spans="1:4" x14ac:dyDescent="0.2">
      <c r="A844" s="5">
        <v>783</v>
      </c>
      <c r="B844" s="138">
        <f>'Expenditures 15-22'!E44</f>
        <v>19482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19482</v>
      </c>
      <c r="C847" s="2" t="s">
        <v>594</v>
      </c>
      <c r="D847" s="2" t="str">
        <f t="shared" si="12"/>
        <v>Error?</v>
      </c>
    </row>
    <row r="848" spans="1:4" x14ac:dyDescent="0.2">
      <c r="A848" s="5">
        <v>787</v>
      </c>
      <c r="B848" s="138">
        <f>'Expenditures 15-22'!E49</f>
        <v>54951</v>
      </c>
      <c r="D848" s="2" t="str">
        <f t="shared" si="12"/>
        <v>Error?</v>
      </c>
    </row>
    <row r="849" spans="1:4" x14ac:dyDescent="0.2">
      <c r="A849" s="5">
        <v>788</v>
      </c>
      <c r="B849" s="138">
        <f>'Expenditures 15-22'!E50</f>
        <v>2261</v>
      </c>
      <c r="D849" s="2" t="str">
        <f t="shared" si="12"/>
        <v>Error?</v>
      </c>
    </row>
    <row r="850" spans="1:4" x14ac:dyDescent="0.2">
      <c r="A850" s="5">
        <v>789</v>
      </c>
      <c r="B850" s="138">
        <f>'Expenditures 15-22'!E53</f>
        <v>57212</v>
      </c>
      <c r="C850" s="2" t="s">
        <v>594</v>
      </c>
      <c r="D850" s="2" t="str">
        <f t="shared" si="12"/>
        <v>Error?</v>
      </c>
    </row>
    <row r="851" spans="1:4" x14ac:dyDescent="0.2">
      <c r="A851" s="5">
        <v>790</v>
      </c>
      <c r="B851" s="138">
        <f>'Expenditures 15-22'!E55</f>
        <v>2937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142304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326844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114075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11203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130138</v>
      </c>
      <c r="C894" s="2" t="s">
        <v>594</v>
      </c>
      <c r="D894" s="2" t="str">
        <f t="shared" si="12"/>
        <v>Error?</v>
      </c>
    </row>
    <row r="895" spans="1:4" x14ac:dyDescent="0.2">
      <c r="A895" s="5">
        <v>834</v>
      </c>
      <c r="B895" s="138">
        <f>'Expenditures 15-22'!F36</f>
        <v>184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994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8122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8122</v>
      </c>
      <c r="C905" s="2" t="s">
        <v>594</v>
      </c>
      <c r="D905" s="2" t="str">
        <f t="shared" si="13"/>
        <v>Error?</v>
      </c>
    </row>
    <row r="906" spans="1:4" x14ac:dyDescent="0.2">
      <c r="A906" s="5">
        <v>845</v>
      </c>
      <c r="B906" s="138">
        <f>'Expenditures 15-22'!F49</f>
        <v>3144</v>
      </c>
      <c r="D906" s="2" t="str">
        <f t="shared" si="13"/>
        <v>Error?</v>
      </c>
    </row>
    <row r="907" spans="1:4" x14ac:dyDescent="0.2">
      <c r="A907" s="5">
        <v>846</v>
      </c>
      <c r="B907" s="138">
        <f>'Expenditures 15-22'!F50</f>
        <v>4738</v>
      </c>
      <c r="D907" s="2" t="str">
        <f t="shared" si="13"/>
        <v>Error?</v>
      </c>
    </row>
    <row r="908" spans="1:4" x14ac:dyDescent="0.2">
      <c r="A908" s="5">
        <v>847</v>
      </c>
      <c r="B908" s="138">
        <f>'Expenditures 15-22'!F53</f>
        <v>7882</v>
      </c>
      <c r="C908" s="2" t="s">
        <v>594</v>
      </c>
      <c r="D908" s="2" t="str">
        <f t="shared" si="13"/>
        <v>Error?</v>
      </c>
    </row>
    <row r="909" spans="1:4" x14ac:dyDescent="0.2">
      <c r="A909" s="5">
        <v>848</v>
      </c>
      <c r="B909" s="138">
        <f>'Expenditures 15-22'!F55</f>
        <v>2980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2980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24791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24791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44769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174907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8135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8135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8135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4728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4728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96285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101013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2077898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8370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56275</v>
      </c>
      <c r="C1106" s="2" t="s">
        <v>594</v>
      </c>
      <c r="D1106" s="2" t="str">
        <f t="shared" si="16"/>
        <v>Error?</v>
      </c>
    </row>
    <row r="1107" spans="1:4" x14ac:dyDescent="0.2">
      <c r="A1107" s="5">
        <v>1046</v>
      </c>
      <c r="B1107" s="138">
        <f>'Expenditures 15-22'!K15</f>
        <v>1206</v>
      </c>
      <c r="C1107" s="2" t="s">
        <v>594</v>
      </c>
      <c r="D1107" s="2" t="str">
        <f t="shared" si="16"/>
        <v>Error?</v>
      </c>
    </row>
    <row r="1108" spans="1:4" x14ac:dyDescent="0.2">
      <c r="A1108" s="5">
        <v>1047</v>
      </c>
      <c r="B1108" s="138">
        <f>'Expenditures 15-22'!K33</f>
        <v>2417449</v>
      </c>
      <c r="C1108" s="2" t="s">
        <v>594</v>
      </c>
      <c r="D1108" s="2" t="str">
        <f t="shared" si="16"/>
        <v>Error?</v>
      </c>
    </row>
    <row r="1109" spans="1:4" x14ac:dyDescent="0.2">
      <c r="A1109" s="5">
        <v>1048</v>
      </c>
      <c r="B1109" s="138">
        <f>'Expenditures 15-22'!K36</f>
        <v>43165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45621</v>
      </c>
      <c r="C1111" s="2" t="s">
        <v>594</v>
      </c>
      <c r="D1111" s="2" t="str">
        <f t="shared" si="16"/>
        <v>Error?</v>
      </c>
    </row>
    <row r="1112" spans="1:4" x14ac:dyDescent="0.2">
      <c r="A1112" s="5">
        <v>1051</v>
      </c>
      <c r="B1112" s="138">
        <f>'Expenditures 15-22'!K39</f>
        <v>25350</v>
      </c>
      <c r="C1112" s="2" t="s">
        <v>594</v>
      </c>
      <c r="D1112" s="2" t="str">
        <f t="shared" si="16"/>
        <v>Error?</v>
      </c>
    </row>
    <row r="1113" spans="1:4" x14ac:dyDescent="0.2">
      <c r="A1113" s="5">
        <v>1052</v>
      </c>
      <c r="B1113" s="138">
        <f>'Expenditures 15-22'!K40</f>
        <v>34490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148626</v>
      </c>
      <c r="C1115" s="2" t="s">
        <v>594</v>
      </c>
      <c r="D1115" s="2" t="str">
        <f t="shared" si="16"/>
        <v>Error?</v>
      </c>
    </row>
    <row r="1116" spans="1:4" x14ac:dyDescent="0.2">
      <c r="A1116" s="5">
        <v>1055</v>
      </c>
      <c r="B1116" s="138">
        <f>'Expenditures 15-22'!K44</f>
        <v>19482</v>
      </c>
      <c r="C1116" s="2" t="s">
        <v>594</v>
      </c>
      <c r="D1116" s="2" t="str">
        <f t="shared" si="16"/>
        <v>Error?</v>
      </c>
    </row>
    <row r="1117" spans="1:4" x14ac:dyDescent="0.2">
      <c r="A1117" s="5">
        <v>1056</v>
      </c>
      <c r="B1117" s="138">
        <f>'Expenditures 15-22'!K45</f>
        <v>25952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45434</v>
      </c>
      <c r="C1119" s="2" t="s">
        <v>594</v>
      </c>
      <c r="D1119" s="2" t="str">
        <f t="shared" si="16"/>
        <v>Error?</v>
      </c>
    </row>
    <row r="1120" spans="1:4" x14ac:dyDescent="0.2">
      <c r="A1120" s="5">
        <v>1059</v>
      </c>
      <c r="B1120" s="138">
        <f>'Expenditures 15-22'!K49</f>
        <v>58095</v>
      </c>
      <c r="C1120" s="2" t="s">
        <v>594</v>
      </c>
      <c r="D1120" s="2" t="str">
        <f t="shared" si="16"/>
        <v>Error?</v>
      </c>
    </row>
    <row r="1121" spans="1:4" x14ac:dyDescent="0.2">
      <c r="A1121" s="5">
        <v>1060</v>
      </c>
      <c r="B1121" s="138">
        <f>'Expenditures 15-22'!K50</f>
        <v>67579</v>
      </c>
      <c r="C1121" s="2" t="s">
        <v>594</v>
      </c>
      <c r="D1121" s="2" t="str">
        <f t="shared" si="16"/>
        <v>Error?</v>
      </c>
    </row>
    <row r="1122" spans="1:4" x14ac:dyDescent="0.2">
      <c r="A1122" s="5">
        <v>1061</v>
      </c>
      <c r="B1122" s="138">
        <f>'Expenditures 15-22'!K53</f>
        <v>125674</v>
      </c>
      <c r="C1122" s="2" t="s">
        <v>594</v>
      </c>
      <c r="D1122" s="2" t="str">
        <f t="shared" si="16"/>
        <v>Error?</v>
      </c>
    </row>
    <row r="1123" spans="1:4" x14ac:dyDescent="0.2">
      <c r="A1123" s="5">
        <v>1062</v>
      </c>
      <c r="B1123" s="138">
        <f>'Expenditures 15-22'!K55</f>
        <v>365600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365600</v>
      </c>
      <c r="C1125" s="2" t="s">
        <v>594</v>
      </c>
      <c r="D1125" s="2" t="str">
        <f t="shared" si="16"/>
        <v>Error?</v>
      </c>
    </row>
    <row r="1126" spans="1:4" x14ac:dyDescent="0.2">
      <c r="A1126" s="5">
        <v>1065</v>
      </c>
      <c r="B1126" s="138">
        <f>'Expenditures 15-22'!K59</f>
        <v>138250</v>
      </c>
      <c r="C1126" s="2" t="s">
        <v>594</v>
      </c>
      <c r="D1126" s="2" t="str">
        <f t="shared" si="16"/>
        <v>Error?</v>
      </c>
    </row>
    <row r="1127" spans="1:4" x14ac:dyDescent="0.2">
      <c r="A1127" s="5">
        <v>1066</v>
      </c>
      <c r="B1127" s="138">
        <f>'Expenditures 15-22'!K60</f>
        <v>1407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25095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164752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850086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157252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3424787</v>
      </c>
      <c r="C1152" s="2" t="s">
        <v>594</v>
      </c>
      <c r="D1152" s="2" t="str">
        <f t="shared" si="17"/>
        <v>Error?</v>
      </c>
    </row>
    <row r="1153" spans="1:4" x14ac:dyDescent="0.2">
      <c r="A1153" s="5">
        <v>1092</v>
      </c>
      <c r="B1153" s="138">
        <f>'Expenditures 15-22'!K115</f>
        <v>349910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99836</v>
      </c>
      <c r="D1221" s="2" t="str">
        <f t="shared" si="18"/>
        <v>Error?</v>
      </c>
    </row>
    <row r="1222" spans="1:4" x14ac:dyDescent="0.2">
      <c r="A1222" s="10">
        <v>1161</v>
      </c>
      <c r="D1222" s="2" t="str">
        <f t="shared" si="18"/>
        <v>OK</v>
      </c>
    </row>
    <row r="1223" spans="1:4" x14ac:dyDescent="0.2">
      <c r="A1223" s="5">
        <v>1162</v>
      </c>
      <c r="B1223" s="138">
        <f>'Expenditures 15-22'!C127</f>
        <v>99836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99836</v>
      </c>
      <c r="C1225" s="2" t="s">
        <v>594</v>
      </c>
      <c r="D1225" s="2" t="str">
        <f t="shared" si="18"/>
        <v>Error?</v>
      </c>
    </row>
    <row r="1226" spans="1:4" x14ac:dyDescent="0.2">
      <c r="A1226" s="5">
        <v>1165</v>
      </c>
      <c r="B1226" s="138">
        <f>'Expenditures 15-22'!C151</f>
        <v>99836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19226</v>
      </c>
      <c r="D1229" s="2" t="str">
        <f t="shared" si="18"/>
        <v>Error?</v>
      </c>
    </row>
    <row r="1230" spans="1:4" x14ac:dyDescent="0.2">
      <c r="A1230" s="10">
        <v>1169</v>
      </c>
      <c r="D1230" s="2" t="str">
        <f t="shared" si="18"/>
        <v>OK</v>
      </c>
    </row>
    <row r="1231" spans="1:4" x14ac:dyDescent="0.2">
      <c r="A1231" s="5">
        <v>1170</v>
      </c>
      <c r="B1231" s="138">
        <f>'Expenditures 15-22'!D127</f>
        <v>19226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19226</v>
      </c>
      <c r="C1233" s="2" t="s">
        <v>594</v>
      </c>
      <c r="D1233" s="2" t="str">
        <f t="shared" si="18"/>
        <v>Error?</v>
      </c>
    </row>
    <row r="1234" spans="1:4" x14ac:dyDescent="0.2">
      <c r="A1234" s="5">
        <v>1173</v>
      </c>
      <c r="B1234" s="138">
        <f>'Expenditures 15-22'!D151</f>
        <v>19226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172101</v>
      </c>
      <c r="D1237" s="2" t="str">
        <f t="shared" si="18"/>
        <v>Error?</v>
      </c>
    </row>
    <row r="1238" spans="1:4" x14ac:dyDescent="0.2">
      <c r="A1238" s="10">
        <v>1177</v>
      </c>
      <c r="D1238" s="2" t="str">
        <f t="shared" si="18"/>
        <v>OK</v>
      </c>
    </row>
    <row r="1239" spans="1:4" x14ac:dyDescent="0.2">
      <c r="A1239" s="5">
        <v>1178</v>
      </c>
      <c r="B1239" s="138">
        <f>'Expenditures 15-22'!E127</f>
        <v>172101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172101</v>
      </c>
      <c r="C1241" s="2" t="s">
        <v>594</v>
      </c>
      <c r="D1241" s="2" t="str">
        <f t="shared" si="18"/>
        <v>Error?</v>
      </c>
    </row>
    <row r="1242" spans="1:4" x14ac:dyDescent="0.2">
      <c r="A1242" s="5">
        <v>1181</v>
      </c>
      <c r="B1242" s="138">
        <f>'Expenditures 15-22'!E151</f>
        <v>172101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93778</v>
      </c>
      <c r="D1245" s="2" t="str">
        <f t="shared" si="18"/>
        <v>Error?</v>
      </c>
    </row>
    <row r="1246" spans="1:4" x14ac:dyDescent="0.2">
      <c r="A1246" s="10">
        <v>1185</v>
      </c>
      <c r="D1246" s="2" t="str">
        <f t="shared" si="18"/>
        <v>OK</v>
      </c>
    </row>
    <row r="1247" spans="1:4" x14ac:dyDescent="0.2">
      <c r="A1247" s="5">
        <v>1186</v>
      </c>
      <c r="B1247" s="138">
        <f>'Expenditures 15-22'!F127</f>
        <v>93778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93778</v>
      </c>
      <c r="C1249" s="2" t="s">
        <v>594</v>
      </c>
      <c r="D1249" s="2" t="str">
        <f t="shared" si="18"/>
        <v>Error?</v>
      </c>
    </row>
    <row r="1250" spans="1:4" x14ac:dyDescent="0.2">
      <c r="A1250" s="5">
        <v>1189</v>
      </c>
      <c r="B1250" s="138">
        <f>'Expenditures 15-22'!F151</f>
        <v>93778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52398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52398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52398</v>
      </c>
      <c r="C1258" s="2" t="s">
        <v>594</v>
      </c>
      <c r="D1258" s="2" t="str">
        <f t="shared" si="18"/>
        <v>Error?</v>
      </c>
    </row>
    <row r="1259" spans="1:4" x14ac:dyDescent="0.2">
      <c r="A1259" s="5">
        <v>1198</v>
      </c>
      <c r="B1259" s="138">
        <f>'Expenditures 15-22'!G151</f>
        <v>52398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442637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442637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442637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442637</v>
      </c>
      <c r="C1288" s="2" t="s">
        <v>594</v>
      </c>
      <c r="D1288" s="2" t="str">
        <f t="shared" si="19"/>
        <v>Error?</v>
      </c>
    </row>
    <row r="1289" spans="1:4" x14ac:dyDescent="0.2">
      <c r="A1289" s="5">
        <v>1228</v>
      </c>
      <c r="B1289" s="138">
        <f>'Expenditures 15-22'!K152</f>
        <v>186794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358646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107424</v>
      </c>
      <c r="D1315" s="2" t="str">
        <f t="shared" si="19"/>
        <v>Error?</v>
      </c>
    </row>
    <row r="1316" spans="1:4" x14ac:dyDescent="0.2">
      <c r="A1316" s="5">
        <v>1255</v>
      </c>
      <c r="B1316" s="138">
        <f>'Expenditures 15-22'!H171</f>
        <v>1875</v>
      </c>
      <c r="D1316" s="2" t="str">
        <f t="shared" si="19"/>
        <v>Error?</v>
      </c>
    </row>
    <row r="1317" spans="1:4" x14ac:dyDescent="0.2">
      <c r="A1317" s="5">
        <v>1256</v>
      </c>
      <c r="B1317" s="138">
        <f>'Expenditures 15-22'!H172</f>
        <v>467945</v>
      </c>
      <c r="C1317" s="2" t="s">
        <v>594</v>
      </c>
      <c r="D1317" s="2" t="str">
        <f t="shared" si="19"/>
        <v>Error?</v>
      </c>
    </row>
    <row r="1318" spans="1:4" x14ac:dyDescent="0.2">
      <c r="A1318" s="5">
        <v>1257</v>
      </c>
      <c r="B1318" s="138">
        <f>'Expenditures 15-22'!H174</f>
        <v>467945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358646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107424</v>
      </c>
      <c r="C1329" s="2" t="s">
        <v>594</v>
      </c>
      <c r="D1329" s="2" t="str">
        <f t="shared" si="19"/>
        <v>Error?</v>
      </c>
    </row>
    <row r="1330" spans="1:4" x14ac:dyDescent="0.2">
      <c r="A1330" s="5">
        <v>1269</v>
      </c>
      <c r="B1330" s="138">
        <f>'Expenditures 15-22'!K171</f>
        <v>1875</v>
      </c>
      <c r="C1330" s="2" t="s">
        <v>594</v>
      </c>
      <c r="D1330" s="2" t="str">
        <f t="shared" si="19"/>
        <v>Error?</v>
      </c>
    </row>
    <row r="1331" spans="1:4" x14ac:dyDescent="0.2">
      <c r="A1331" s="5">
        <v>1270</v>
      </c>
      <c r="B1331" s="138">
        <f>'Expenditures 15-22'!K172</f>
        <v>467945</v>
      </c>
      <c r="C1331" s="2" t="s">
        <v>594</v>
      </c>
      <c r="D1331" s="2" t="str">
        <f t="shared" si="19"/>
        <v>Error?</v>
      </c>
    </row>
    <row r="1332" spans="1:4" x14ac:dyDescent="0.2">
      <c r="A1332" s="5">
        <v>1271</v>
      </c>
      <c r="B1332" s="138">
        <f>'Expenditures 15-22'!K174</f>
        <v>467945</v>
      </c>
      <c r="C1332" s="2" t="s">
        <v>594</v>
      </c>
      <c r="D1332" s="2" t="str">
        <f t="shared" si="19"/>
        <v>Error?</v>
      </c>
    </row>
    <row r="1333" spans="1:4" x14ac:dyDescent="0.2">
      <c r="A1333" s="5">
        <v>1272</v>
      </c>
      <c r="B1333" s="138">
        <f>'Expenditures 15-22'!K175</f>
        <v>23630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190482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190482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190482</v>
      </c>
      <c r="C1353" s="2" t="s">
        <v>594</v>
      </c>
      <c r="D1353" s="2" t="str">
        <f t="shared" si="20"/>
        <v>Error?</v>
      </c>
    </row>
    <row r="1354" spans="1:4" x14ac:dyDescent="0.2">
      <c r="A1354" s="5">
        <v>1293</v>
      </c>
      <c r="B1354" s="138">
        <f>'Expenditures 15-22'!F182</f>
        <v>16678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16678</v>
      </c>
      <c r="C1358" s="2" t="s">
        <v>594</v>
      </c>
      <c r="D1358" s="2" t="str">
        <f t="shared" si="20"/>
        <v>Error?</v>
      </c>
    </row>
    <row r="1359" spans="1:4" x14ac:dyDescent="0.2">
      <c r="A1359" s="5">
        <v>1298</v>
      </c>
      <c r="B1359" s="138">
        <f>'Expenditures 15-22'!F210</f>
        <v>16678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207160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207160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207160</v>
      </c>
      <c r="C1388" s="2" t="s">
        <v>594</v>
      </c>
      <c r="D1388" s="2" t="str">
        <f t="shared" si="20"/>
        <v>Error?</v>
      </c>
    </row>
    <row r="1389" spans="1:4" x14ac:dyDescent="0.2">
      <c r="A1389" s="5">
        <v>1328</v>
      </c>
      <c r="B1389" s="138">
        <f>'Expenditures 15-22'!K211</f>
        <v>84314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1206</v>
      </c>
      <c r="D1408" s="2" t="str">
        <f t="shared" si="21"/>
        <v>Error?</v>
      </c>
    </row>
    <row r="1409" spans="1:4" x14ac:dyDescent="0.2">
      <c r="A1409" s="5">
        <v>1348</v>
      </c>
      <c r="B1409" s="138">
        <f>'Expenditures 15-22'!D224</f>
        <v>17</v>
      </c>
      <c r="D1409" s="2" t="str">
        <f t="shared" si="21"/>
        <v>Error?</v>
      </c>
    </row>
    <row r="1410" spans="1:4" x14ac:dyDescent="0.2">
      <c r="A1410" s="5">
        <v>1349</v>
      </c>
      <c r="B1410" s="138">
        <f>'Expenditures 15-22'!D229</f>
        <v>45299</v>
      </c>
      <c r="C1410" s="2" t="s">
        <v>594</v>
      </c>
      <c r="D1410" s="2" t="str">
        <f t="shared" si="21"/>
        <v>Error?</v>
      </c>
    </row>
    <row r="1411" spans="1:4" x14ac:dyDescent="0.2">
      <c r="A1411" s="5">
        <v>1350</v>
      </c>
      <c r="B1411" s="138">
        <f>'Expenditures 15-22'!D232</f>
        <v>2371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8519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2596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2596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642</v>
      </c>
      <c r="D1423" s="2" t="str">
        <f t="shared" si="21"/>
        <v>Error?</v>
      </c>
    </row>
    <row r="1424" spans="1:4" x14ac:dyDescent="0.2">
      <c r="A1424" s="5">
        <v>1363</v>
      </c>
      <c r="B1424" s="138">
        <f>'Expenditures 15-22'!D257</f>
        <v>642</v>
      </c>
      <c r="C1424" s="2" t="s">
        <v>594</v>
      </c>
      <c r="D1424" s="2" t="str">
        <f t="shared" si="21"/>
        <v>Error?</v>
      </c>
    </row>
    <row r="1425" spans="1:4" x14ac:dyDescent="0.2">
      <c r="A1425" s="5">
        <v>1364</v>
      </c>
      <c r="B1425" s="138">
        <f>'Expenditures 15-22'!D259</f>
        <v>20267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20267</v>
      </c>
      <c r="C1427" s="2" t="s">
        <v>594</v>
      </c>
      <c r="D1427" s="2" t="str">
        <f t="shared" si="21"/>
        <v>Error?</v>
      </c>
    </row>
    <row r="1428" spans="1:4" x14ac:dyDescent="0.2">
      <c r="A1428" s="5">
        <v>1367</v>
      </c>
      <c r="B1428" s="138">
        <f>'Expenditures 15-22'!D263</f>
        <v>23138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17419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40557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72581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125875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1206</v>
      </c>
      <c r="C1472" s="2" t="s">
        <v>594</v>
      </c>
      <c r="D1472" s="2" t="str">
        <f t="shared" si="22"/>
        <v>Error?</v>
      </c>
    </row>
    <row r="1473" spans="1:4" x14ac:dyDescent="0.2">
      <c r="A1473" s="5">
        <v>1412</v>
      </c>
      <c r="B1473" s="138">
        <f>'Expenditures 15-22'!K224</f>
        <v>17</v>
      </c>
      <c r="C1473" s="2" t="s">
        <v>594</v>
      </c>
      <c r="D1473" s="2" t="str">
        <f t="shared" si="22"/>
        <v>Error?</v>
      </c>
    </row>
    <row r="1474" spans="1:4" x14ac:dyDescent="0.2">
      <c r="A1474" s="5">
        <v>1413</v>
      </c>
      <c r="B1474" s="138">
        <f>'Expenditures 15-22'!K229</f>
        <v>45299</v>
      </c>
      <c r="C1474" s="2" t="s">
        <v>594</v>
      </c>
      <c r="D1474" s="2" t="str">
        <f t="shared" si="22"/>
        <v>Error?</v>
      </c>
    </row>
    <row r="1475" spans="1:4" x14ac:dyDescent="0.2">
      <c r="A1475" s="5">
        <v>1414</v>
      </c>
      <c r="B1475" s="138">
        <f>'Expenditures 15-22'!K232</f>
        <v>2371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6148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8519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2596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2596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642</v>
      </c>
      <c r="C1487" s="2" t="s">
        <v>594</v>
      </c>
      <c r="D1487" s="2" t="str">
        <f t="shared" si="22"/>
        <v>Error?</v>
      </c>
    </row>
    <row r="1488" spans="1:4" x14ac:dyDescent="0.2">
      <c r="A1488" s="5">
        <v>1427</v>
      </c>
      <c r="B1488" s="138">
        <f>'Expenditures 15-22'!K257</f>
        <v>642</v>
      </c>
      <c r="C1488" s="2" t="s">
        <v>594</v>
      </c>
      <c r="D1488" s="2" t="str">
        <f t="shared" si="22"/>
        <v>Error?</v>
      </c>
    </row>
    <row r="1489" spans="1:4" x14ac:dyDescent="0.2">
      <c r="A1489" s="5">
        <v>1428</v>
      </c>
      <c r="B1489" s="138">
        <f>'Expenditures 15-22'!K259</f>
        <v>20267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20267</v>
      </c>
      <c r="C1491" s="2" t="s">
        <v>594</v>
      </c>
      <c r="D1491" s="2" t="str">
        <f t="shared" si="22"/>
        <v>Error?</v>
      </c>
    </row>
    <row r="1492" spans="1:4" x14ac:dyDescent="0.2">
      <c r="A1492" s="5">
        <v>1431</v>
      </c>
      <c r="B1492" s="138">
        <f>'Expenditures 15-22'!K263</f>
        <v>23138</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17419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40557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72581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125875</v>
      </c>
      <c r="C1517" s="2" t="s">
        <v>594</v>
      </c>
      <c r="D1517" s="2" t="str">
        <f t="shared" si="22"/>
        <v>Error?</v>
      </c>
    </row>
    <row r="1518" spans="1:4" x14ac:dyDescent="0.2">
      <c r="A1518" s="5">
        <v>1457</v>
      </c>
      <c r="B1518" s="138">
        <f>'Expenditures 15-22'!K296</f>
        <v>-22280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2306611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2656521</v>
      </c>
      <c r="C1630" s="2" t="s">
        <v>594</v>
      </c>
      <c r="D1630" s="2" t="str">
        <f t="shared" si="24"/>
        <v>Error?</v>
      </c>
    </row>
    <row r="1631" spans="1:4" x14ac:dyDescent="0.2">
      <c r="A1631" s="5">
        <v>1570</v>
      </c>
      <c r="B1631" s="138">
        <f>'Acct Summary 7-8'!D79</f>
        <v>785740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972534</v>
      </c>
      <c r="C1644" s="2" t="s">
        <v>594</v>
      </c>
      <c r="D1644" s="2" t="str">
        <f t="shared" si="24"/>
        <v>Error?</v>
      </c>
    </row>
    <row r="1645" spans="1:4" x14ac:dyDescent="0.2">
      <c r="A1645" s="5">
        <v>1584</v>
      </c>
      <c r="B1645" s="138">
        <f>'Acct Summary 7-8'!E79</f>
        <v>146559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170189</v>
      </c>
      <c r="C1658" s="2" t="s">
        <v>594</v>
      </c>
      <c r="D1658" s="2" t="str">
        <f t="shared" si="24"/>
        <v>Error?</v>
      </c>
    </row>
    <row r="1659" spans="1:4" x14ac:dyDescent="0.2">
      <c r="A1659" s="5">
        <v>1598</v>
      </c>
      <c r="B1659" s="138">
        <f>'Acct Summary 7-8'!F79</f>
        <v>133596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217910</v>
      </c>
      <c r="C1672" s="2" t="s">
        <v>594</v>
      </c>
      <c r="D1672" s="2" t="str">
        <f t="shared" si="25"/>
        <v>Error?</v>
      </c>
    </row>
    <row r="1673" spans="1:4" x14ac:dyDescent="0.2">
      <c r="A1673" s="5">
        <v>1612</v>
      </c>
      <c r="B1673" s="138">
        <f>'Acct Summary 7-8'!G79</f>
        <v>115653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93373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3169979</v>
      </c>
      <c r="C1744" s="2" t="s">
        <v>594</v>
      </c>
      <c r="D1744" s="2" t="str">
        <f t="shared" si="26"/>
        <v>Error?</v>
      </c>
    </row>
    <row r="1745" spans="1:5" x14ac:dyDescent="0.2">
      <c r="A1745" s="5">
        <v>1684</v>
      </c>
      <c r="B1745" s="138">
        <f>'Tax Sched 23'!B5</f>
        <v>570942</v>
      </c>
      <c r="C1745" s="2" t="s">
        <v>594</v>
      </c>
      <c r="D1745" s="2" t="str">
        <f t="shared" si="26"/>
        <v>Error?</v>
      </c>
    </row>
    <row r="1746" spans="1:5" x14ac:dyDescent="0.2">
      <c r="A1746" s="5">
        <v>1685</v>
      </c>
      <c r="B1746" s="138">
        <f>'Tax Sched 23'!B6</f>
        <v>489033</v>
      </c>
      <c r="C1746" s="2" t="s">
        <v>594</v>
      </c>
      <c r="D1746" s="2" t="str">
        <f t="shared" si="26"/>
        <v>Error?</v>
      </c>
    </row>
    <row r="1747" spans="1:5" x14ac:dyDescent="0.2">
      <c r="A1747" s="5">
        <v>1686</v>
      </c>
      <c r="B1747" s="138">
        <f>'Tax Sched 23'!B7</f>
        <v>149393</v>
      </c>
      <c r="C1747" s="2" t="s">
        <v>594</v>
      </c>
      <c r="D1747" s="2" t="str">
        <f t="shared" si="26"/>
        <v>Error?</v>
      </c>
    </row>
    <row r="1748" spans="1:5" x14ac:dyDescent="0.2">
      <c r="A1748" s="5">
        <v>1687</v>
      </c>
      <c r="B1748" s="138">
        <f>'Tax Sched 23'!B8</f>
        <v>36622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50410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21439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4552391</v>
      </c>
      <c r="C1759" s="2" t="s">
        <v>594</v>
      </c>
      <c r="D1759" s="2" t="str">
        <f t="shared" si="26"/>
        <v>Error?</v>
      </c>
    </row>
    <row r="1760" spans="1:5" x14ac:dyDescent="0.2">
      <c r="A1760" s="5">
        <v>1699</v>
      </c>
      <c r="B1760" s="138">
        <f>'Tax Sched 23'!D4</f>
        <v>1704692</v>
      </c>
      <c r="C1760" s="2" t="s">
        <v>594</v>
      </c>
      <c r="D1760" s="2" t="str">
        <f t="shared" si="26"/>
        <v>Error?</v>
      </c>
    </row>
    <row r="1761" spans="1:5" x14ac:dyDescent="0.2">
      <c r="A1761" s="5">
        <v>1700</v>
      </c>
      <c r="B1761" s="138">
        <f>'Tax Sched 23'!D5</f>
        <v>307645</v>
      </c>
      <c r="C1761" s="2" t="s">
        <v>594</v>
      </c>
      <c r="D1761" s="2" t="str">
        <f t="shared" si="26"/>
        <v>Error?</v>
      </c>
    </row>
    <row r="1762" spans="1:5" s="8" customFormat="1" x14ac:dyDescent="0.2">
      <c r="A1762" s="5">
        <v>1701</v>
      </c>
      <c r="B1762" s="138">
        <f>'Tax Sched 23'!D6</f>
        <v>266565</v>
      </c>
      <c r="C1762" s="2" t="s">
        <v>594</v>
      </c>
      <c r="D1762" s="2" t="str">
        <f t="shared" si="26"/>
        <v>Error?</v>
      </c>
      <c r="E1762" s="9"/>
    </row>
    <row r="1763" spans="1:5" x14ac:dyDescent="0.2">
      <c r="A1763" s="5">
        <v>1702</v>
      </c>
      <c r="B1763" s="138">
        <f>'Tax Sched 23'!D7</f>
        <v>79499</v>
      </c>
      <c r="C1763" s="2" t="s">
        <v>594</v>
      </c>
      <c r="D1763" s="2" t="str">
        <f t="shared" si="26"/>
        <v>Error?</v>
      </c>
    </row>
    <row r="1764" spans="1:5" x14ac:dyDescent="0.2">
      <c r="A1764" s="5">
        <v>1703</v>
      </c>
      <c r="B1764" s="138">
        <f>'Tax Sched 23'!D8</f>
        <v>21781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26953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11433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2450556</v>
      </c>
      <c r="C1775" s="2" t="s">
        <v>594</v>
      </c>
      <c r="D1775" s="2" t="str">
        <f t="shared" si="26"/>
        <v>Error?</v>
      </c>
    </row>
    <row r="1776" spans="1:5" x14ac:dyDescent="0.2">
      <c r="A1776" s="5">
        <v>1715</v>
      </c>
      <c r="B1776" s="138">
        <f>'Tax Sched 23'!C4</f>
        <v>1465287</v>
      </c>
      <c r="D1776" s="2" t="str">
        <f t="shared" si="26"/>
        <v>Error?</v>
      </c>
    </row>
    <row r="1777" spans="1:4" x14ac:dyDescent="0.2">
      <c r="A1777" s="5">
        <v>1716</v>
      </c>
      <c r="B1777" s="138">
        <f>'Tax Sched 23'!C5</f>
        <v>263297</v>
      </c>
      <c r="D1777" s="2" t="str">
        <f t="shared" si="26"/>
        <v>Error?</v>
      </c>
    </row>
    <row r="1778" spans="1:4" x14ac:dyDescent="0.2">
      <c r="A1778" s="5">
        <v>1717</v>
      </c>
      <c r="B1778" s="138">
        <f>'Tax Sched 23'!C6</f>
        <v>222468</v>
      </c>
      <c r="D1778" s="2" t="str">
        <f t="shared" si="26"/>
        <v>Error?</v>
      </c>
    </row>
    <row r="1779" spans="1:4" x14ac:dyDescent="0.2">
      <c r="A1779" s="5">
        <v>1718</v>
      </c>
      <c r="B1779" s="138">
        <f>'Tax Sched 23'!C7</f>
        <v>69894</v>
      </c>
      <c r="D1779" s="2" t="str">
        <f t="shared" si="26"/>
        <v>Error?</v>
      </c>
    </row>
    <row r="1780" spans="1:4" x14ac:dyDescent="0.2">
      <c r="A1780" s="5">
        <v>1719</v>
      </c>
      <c r="B1780" s="138">
        <f>'Tax Sched 23'!C8</f>
        <v>14841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23457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10006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2101835</v>
      </c>
      <c r="C1791" s="2" t="s">
        <v>594</v>
      </c>
      <c r="D1791" s="2" t="str">
        <f t="shared" ref="D1791:D1854" si="27">IF(ISBLANK(B1791),"OK",IF(A1791-B1791=0,"OK","Error?"))</f>
        <v>Error?</v>
      </c>
    </row>
    <row r="1792" spans="1:4" x14ac:dyDescent="0.2">
      <c r="A1792" s="5">
        <v>1731</v>
      </c>
      <c r="B1792" s="138">
        <f>'Tax Sched 23'!F4</f>
        <v>1665438</v>
      </c>
      <c r="C1792" s="2" t="s">
        <v>594</v>
      </c>
      <c r="D1792" s="2" t="str">
        <f t="shared" si="27"/>
        <v>Error?</v>
      </c>
    </row>
    <row r="1793" spans="1:4" x14ac:dyDescent="0.2">
      <c r="A1793" s="5">
        <v>1732</v>
      </c>
      <c r="B1793" s="138">
        <f>'Tax Sched 23'!F5</f>
        <v>301703</v>
      </c>
      <c r="C1793" s="2" t="s">
        <v>594</v>
      </c>
      <c r="D1793" s="2" t="str">
        <f t="shared" si="27"/>
        <v>Error?</v>
      </c>
    </row>
    <row r="1794" spans="1:4" x14ac:dyDescent="0.2">
      <c r="A1794" s="5">
        <v>1733</v>
      </c>
      <c r="B1794" s="138">
        <f>'Tax Sched 23'!F6</f>
        <v>263413</v>
      </c>
      <c r="C1794" s="2" t="s">
        <v>594</v>
      </c>
      <c r="D1794" s="2" t="str">
        <f t="shared" si="27"/>
        <v>Error?</v>
      </c>
    </row>
    <row r="1795" spans="1:4" x14ac:dyDescent="0.2">
      <c r="A1795" s="5">
        <v>1734</v>
      </c>
      <c r="B1795" s="138">
        <f>'Tax Sched 23'!F7</f>
        <v>76106</v>
      </c>
      <c r="C1795" s="2" t="s">
        <v>594</v>
      </c>
      <c r="D1795" s="2" t="str">
        <f t="shared" si="27"/>
        <v>Error?</v>
      </c>
    </row>
    <row r="1796" spans="1:4" x14ac:dyDescent="0.2">
      <c r="A1796" s="5">
        <v>1735</v>
      </c>
      <c r="B1796" s="138">
        <f>'Tax Sched 23'!F8</f>
        <v>25159</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26043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10994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2394962</v>
      </c>
      <c r="C1807" s="2" t="s">
        <v>594</v>
      </c>
      <c r="D1807" s="2" t="str">
        <f t="shared" si="27"/>
        <v>Error?</v>
      </c>
    </row>
    <row r="1808" spans="1:4" x14ac:dyDescent="0.2">
      <c r="A1808" s="5">
        <v>1747</v>
      </c>
      <c r="B1808" s="138">
        <f>'Tax Sched 23'!E4</f>
        <v>3130725</v>
      </c>
      <c r="D1808" s="2" t="str">
        <f t="shared" si="27"/>
        <v>Error?</v>
      </c>
    </row>
    <row r="1809" spans="1:4" x14ac:dyDescent="0.2">
      <c r="A1809" s="5">
        <v>1748</v>
      </c>
      <c r="B1809" s="138">
        <f>'Tax Sched 23'!E5</f>
        <v>565000</v>
      </c>
      <c r="D1809" s="2" t="str">
        <f t="shared" si="27"/>
        <v>Error?</v>
      </c>
    </row>
    <row r="1810" spans="1:4" x14ac:dyDescent="0.2">
      <c r="A1810" s="5">
        <v>1749</v>
      </c>
      <c r="B1810" s="138">
        <f>'Tax Sched 23'!E6</f>
        <v>485881</v>
      </c>
      <c r="D1810" s="2" t="str">
        <f t="shared" si="27"/>
        <v>Error?</v>
      </c>
    </row>
    <row r="1811" spans="1:4" x14ac:dyDescent="0.2">
      <c r="A1811" s="5">
        <v>1750</v>
      </c>
      <c r="B1811" s="138">
        <f>'Tax Sched 23'!E7</f>
        <v>146000</v>
      </c>
      <c r="D1811" s="2" t="str">
        <f t="shared" si="27"/>
        <v>Error?</v>
      </c>
    </row>
    <row r="1812" spans="1:4" x14ac:dyDescent="0.2">
      <c r="A1812" s="5">
        <v>1751</v>
      </c>
      <c r="B1812" s="138">
        <f>'Tax Sched 23'!E8</f>
        <v>40000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49500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21000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4496797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6576734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21439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21439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21439</v>
      </c>
      <c r="D1980" s="2" t="str">
        <f t="shared" si="29"/>
        <v>Error?</v>
      </c>
    </row>
    <row r="1981" spans="1:5" x14ac:dyDescent="0.2">
      <c r="A1981" s="10">
        <v>1920</v>
      </c>
      <c r="D1981" s="2" t="str">
        <f t="shared" si="29"/>
        <v>OK</v>
      </c>
      <c r="E1981" s="2" t="s">
        <v>137</v>
      </c>
    </row>
    <row r="1982" spans="1:5" x14ac:dyDescent="0.2">
      <c r="A1982" s="5">
        <v>1921</v>
      </c>
      <c r="B1982" s="138">
        <f>'Rest Tax Levies-Tort Im 25'!H23</f>
        <v>21439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11018560</v>
      </c>
      <c r="D2009" s="2" t="str">
        <f t="shared" si="30"/>
        <v>Error?</v>
      </c>
    </row>
    <row r="2010" spans="1:4" x14ac:dyDescent="0.2">
      <c r="A2010" s="5">
        <v>1949</v>
      </c>
      <c r="B2010" s="138">
        <f>'Cap Outlay Deprec 26'!C10</f>
        <v>278576</v>
      </c>
      <c r="D2010" s="2" t="str">
        <f t="shared" si="30"/>
        <v>Error?</v>
      </c>
    </row>
    <row r="2011" spans="1:4" x14ac:dyDescent="0.2">
      <c r="A2011" s="5">
        <v>1950</v>
      </c>
      <c r="B2011" s="138">
        <f>'Cap Outlay Deprec 26'!C12</f>
        <v>1100818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12417954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48993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11540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60533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20000</v>
      </c>
      <c r="C2026" s="2" t="s">
        <v>594</v>
      </c>
      <c r="D2026" s="2" t="str">
        <f t="shared" si="30"/>
        <v>Error?</v>
      </c>
    </row>
    <row r="2027" spans="1:4" x14ac:dyDescent="0.2">
      <c r="A2027" s="5">
        <v>1966</v>
      </c>
      <c r="B2027" s="138">
        <f>'Cap Outlay Deprec 26'!F8</f>
        <v>11067553</v>
      </c>
      <c r="C2027" s="2" t="s">
        <v>594</v>
      </c>
      <c r="D2027" s="2" t="str">
        <f t="shared" si="30"/>
        <v>Error?</v>
      </c>
    </row>
    <row r="2028" spans="1:4" x14ac:dyDescent="0.2">
      <c r="A2028" s="5">
        <v>1967</v>
      </c>
      <c r="B2028" s="138">
        <f>'Cap Outlay Deprec 26'!F10</f>
        <v>278576</v>
      </c>
      <c r="C2028" s="2" t="s">
        <v>594</v>
      </c>
      <c r="D2028" s="2" t="str">
        <f t="shared" si="30"/>
        <v>Error?</v>
      </c>
    </row>
    <row r="2029" spans="1:4" x14ac:dyDescent="0.2">
      <c r="A2029" s="5">
        <v>1968</v>
      </c>
      <c r="B2029" s="138">
        <f>'Cap Outlay Deprec 26'!F12</f>
        <v>1112358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12478487</v>
      </c>
      <c r="C2031" s="2" t="s">
        <v>594</v>
      </c>
      <c r="D2031" s="2" t="str">
        <f t="shared" si="30"/>
        <v>Error?</v>
      </c>
    </row>
    <row r="2032" spans="1:4" x14ac:dyDescent="0.2">
      <c r="A2032" s="10">
        <v>1971</v>
      </c>
      <c r="D2032" s="2" t="str">
        <f t="shared" si="30"/>
        <v>OK</v>
      </c>
    </row>
    <row r="2033" spans="1:4" x14ac:dyDescent="0.2">
      <c r="A2033" s="5">
        <v>1972</v>
      </c>
      <c r="B2033" s="138">
        <f>'Cap Outlay Deprec 26'!H8</f>
        <v>3111885</v>
      </c>
      <c r="D2033" s="2" t="str">
        <f t="shared" si="30"/>
        <v>Error?</v>
      </c>
    </row>
    <row r="2034" spans="1:4" x14ac:dyDescent="0.2">
      <c r="A2034" s="5">
        <v>1973</v>
      </c>
      <c r="B2034" s="138">
        <f>'Cap Outlay Deprec 26'!H10</f>
        <v>115010</v>
      </c>
      <c r="D2034" s="2" t="str">
        <f t="shared" si="30"/>
        <v>Error?</v>
      </c>
    </row>
    <row r="2035" spans="1:4" x14ac:dyDescent="0.2">
      <c r="A2035" s="5">
        <v>1974</v>
      </c>
      <c r="B2035" s="138">
        <f>'Cap Outlay Deprec 26'!H12</f>
        <v>1187454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4414349</v>
      </c>
      <c r="C2037" s="2" t="s">
        <v>594</v>
      </c>
      <c r="D2037" s="2" t="str">
        <f t="shared" si="30"/>
        <v>Error?</v>
      </c>
    </row>
    <row r="2038" spans="1:4" x14ac:dyDescent="0.2">
      <c r="A2038" s="10">
        <v>1977</v>
      </c>
      <c r="D2038" s="2" t="str">
        <f t="shared" si="30"/>
        <v>OK</v>
      </c>
    </row>
    <row r="2039" spans="1:4" x14ac:dyDescent="0.2">
      <c r="A2039" s="5">
        <v>1978</v>
      </c>
      <c r="B2039" s="138">
        <f>'Cap Outlay Deprec 26'!I8</f>
        <v>220861</v>
      </c>
      <c r="D2039" s="2" t="str">
        <f t="shared" si="30"/>
        <v>Error?</v>
      </c>
    </row>
    <row r="2040" spans="1:4" x14ac:dyDescent="0.2">
      <c r="A2040" s="5">
        <v>1979</v>
      </c>
      <c r="B2040" s="138">
        <f>'Cap Outlay Deprec 26'!I10</f>
        <v>13794</v>
      </c>
      <c r="D2040" s="2" t="str">
        <f t="shared" si="30"/>
        <v>Error?</v>
      </c>
    </row>
    <row r="2041" spans="1:4" x14ac:dyDescent="0.2">
      <c r="A2041" s="5">
        <v>1980</v>
      </c>
      <c r="B2041" s="138">
        <f>'Cap Outlay Deprec 26'!I12</f>
        <v>110421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345076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3332746</v>
      </c>
      <c r="C2051" s="2" t="s">
        <v>594</v>
      </c>
      <c r="D2051" s="2" t="str">
        <f t="shared" si="31"/>
        <v>Error?</v>
      </c>
    </row>
    <row r="2052" spans="1:4" x14ac:dyDescent="0.2">
      <c r="A2052" s="5">
        <v>1991</v>
      </c>
      <c r="B2052" s="138">
        <f>'Cap Outlay Deprec 26'!K10</f>
        <v>128804</v>
      </c>
      <c r="C2052" s="2" t="s">
        <v>594</v>
      </c>
      <c r="D2052" s="2" t="str">
        <f t="shared" si="31"/>
        <v>Error?</v>
      </c>
    </row>
    <row r="2053" spans="1:4" x14ac:dyDescent="0.2">
      <c r="A2053" s="5">
        <v>1992</v>
      </c>
      <c r="B2053" s="138">
        <f>'Cap Outlay Deprec 26'!K12</f>
        <v>1297875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4759425</v>
      </c>
      <c r="C2055" s="2" t="s">
        <v>594</v>
      </c>
      <c r="D2055" s="2" t="str">
        <f t="shared" si="31"/>
        <v>Error?</v>
      </c>
    </row>
    <row r="2056" spans="1:4" x14ac:dyDescent="0.2">
      <c r="A2056" s="5">
        <v>1995</v>
      </c>
      <c r="B2056" s="138">
        <f>'Cap Outlay Deprec 26'!L5</f>
        <v>20000</v>
      </c>
      <c r="C2056" s="2" t="s">
        <v>594</v>
      </c>
      <c r="D2056" s="2" t="str">
        <f t="shared" si="31"/>
        <v>Error?</v>
      </c>
    </row>
    <row r="2057" spans="1:4" x14ac:dyDescent="0.2">
      <c r="A2057" s="5">
        <v>1996</v>
      </c>
      <c r="B2057" s="138">
        <f>'Cap Outlay Deprec 26'!L8</f>
        <v>7734807</v>
      </c>
      <c r="C2057" s="2" t="s">
        <v>594</v>
      </c>
      <c r="D2057" s="2" t="str">
        <f t="shared" si="31"/>
        <v>Error?</v>
      </c>
    </row>
    <row r="2058" spans="1:4" x14ac:dyDescent="0.2">
      <c r="A2058" s="5">
        <v>1997</v>
      </c>
      <c r="B2058" s="138">
        <f>'Cap Outlay Deprec 26'!L10</f>
        <v>149772</v>
      </c>
      <c r="C2058" s="2" t="s">
        <v>594</v>
      </c>
      <c r="D2058" s="2" t="str">
        <f t="shared" si="31"/>
        <v>Error?</v>
      </c>
    </row>
    <row r="2059" spans="1:4" x14ac:dyDescent="0.2">
      <c r="A2059" s="5">
        <v>1998</v>
      </c>
      <c r="B2059" s="138">
        <f>'Cap Outlay Deprec 26'!L12</f>
        <v>-185517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7719062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60967</v>
      </c>
      <c r="C2088" s="2" t="s">
        <v>594</v>
      </c>
      <c r="D2088" s="2" t="str">
        <f t="shared" si="31"/>
        <v>Error?</v>
      </c>
    </row>
    <row r="2089" spans="1:4" x14ac:dyDescent="0.2">
      <c r="A2089" s="5">
        <v>2028</v>
      </c>
      <c r="B2089" s="138">
        <f>'Expenditures 15-22'!K92</f>
        <v>96285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3437600</v>
      </c>
      <c r="C2551" s="2" t="s">
        <v>594</v>
      </c>
      <c r="D2551" s="2" t="str">
        <f t="shared" si="38"/>
        <v>Error?</v>
      </c>
    </row>
    <row r="2552" spans="1:4" x14ac:dyDescent="0.2">
      <c r="A2552" s="10">
        <v>2491</v>
      </c>
      <c r="D2552" s="2" t="str">
        <f t="shared" si="38"/>
        <v>OK</v>
      </c>
    </row>
    <row r="2553" spans="1:4" x14ac:dyDescent="0.2">
      <c r="A2553" s="5">
        <v>2492</v>
      </c>
      <c r="B2553" s="138">
        <f>'Acct Summary 7-8'!C6</f>
        <v>276882</v>
      </c>
      <c r="C2553" s="2" t="s">
        <v>594</v>
      </c>
      <c r="D2553" s="2" t="str">
        <f t="shared" si="38"/>
        <v>Error?</v>
      </c>
    </row>
    <row r="2554" spans="1:4" x14ac:dyDescent="0.2">
      <c r="A2554" s="5">
        <v>2493</v>
      </c>
      <c r="B2554" s="138">
        <f>'Acct Summary 7-8'!C7</f>
        <v>60215</v>
      </c>
      <c r="C2554" s="2" t="s">
        <v>594</v>
      </c>
      <c r="D2554" s="2" t="str">
        <f t="shared" si="38"/>
        <v>Error?</v>
      </c>
    </row>
    <row r="2555" spans="1:4" x14ac:dyDescent="0.2">
      <c r="A2555" s="5">
        <v>2494</v>
      </c>
      <c r="B2555" s="138">
        <f>'Acct Summary 7-8'!C8</f>
        <v>3774697</v>
      </c>
      <c r="C2555" s="2" t="s">
        <v>594</v>
      </c>
      <c r="D2555" s="2" t="str">
        <f t="shared" si="38"/>
        <v>Error?</v>
      </c>
    </row>
    <row r="2556" spans="1:4" x14ac:dyDescent="0.2">
      <c r="A2556" s="5">
        <v>2495</v>
      </c>
      <c r="B2556" s="138">
        <f>'Acct Summary 7-8'!C12</f>
        <v>2417449</v>
      </c>
      <c r="C2556" s="2" t="s">
        <v>594</v>
      </c>
      <c r="D2556" s="2" t="str">
        <f t="shared" si="38"/>
        <v>Error?</v>
      </c>
    </row>
    <row r="2557" spans="1:4" x14ac:dyDescent="0.2">
      <c r="A2557" s="5">
        <v>2496</v>
      </c>
      <c r="B2557" s="138">
        <f>'Acct Summary 7-8'!C13</f>
        <v>850086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157252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3424787</v>
      </c>
      <c r="C2561" s="2" t="s">
        <v>594</v>
      </c>
      <c r="D2561" s="2" t="str">
        <f t="shared" si="39"/>
        <v>Error?</v>
      </c>
    </row>
    <row r="2562" spans="1:4" x14ac:dyDescent="0.2">
      <c r="A2562" s="5">
        <v>2501</v>
      </c>
      <c r="B2562" s="138">
        <f>'Acct Summary 7-8'!C20</f>
        <v>349910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629431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629431</v>
      </c>
      <c r="C2568" s="2" t="s">
        <v>594</v>
      </c>
      <c r="D2568" s="2" t="str">
        <f t="shared" si="39"/>
        <v>Error?</v>
      </c>
    </row>
    <row r="2569" spans="1:4" x14ac:dyDescent="0.2">
      <c r="A2569" s="5">
        <v>2508</v>
      </c>
      <c r="B2569" s="138">
        <f>'Acct Summary 7-8'!D13</f>
        <v>442637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442637</v>
      </c>
      <c r="C2573" s="2" t="s">
        <v>594</v>
      </c>
      <c r="D2573" s="2" t="str">
        <f t="shared" si="39"/>
        <v>Error?</v>
      </c>
    </row>
    <row r="2574" spans="1:4" x14ac:dyDescent="0.2">
      <c r="A2574" s="5">
        <v>2513</v>
      </c>
      <c r="B2574" s="138">
        <f>'Acct Summary 7-8'!D20</f>
        <v>186794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151440</v>
      </c>
      <c r="C2591" s="2" t="s">
        <v>594</v>
      </c>
      <c r="D2591" s="2" t="str">
        <f t="shared" si="39"/>
        <v>Error?</v>
      </c>
    </row>
    <row r="2592" spans="1:4" x14ac:dyDescent="0.2">
      <c r="A2592" s="10">
        <v>2531</v>
      </c>
      <c r="D2592" s="2" t="str">
        <f t="shared" si="39"/>
        <v>OK</v>
      </c>
    </row>
    <row r="2593" spans="1:4" x14ac:dyDescent="0.2">
      <c r="A2593" s="5">
        <v>2532</v>
      </c>
      <c r="B2593" s="138">
        <f>'Acct Summary 7-8'!F6</f>
        <v>140034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291474</v>
      </c>
      <c r="C2595" s="2" t="s">
        <v>594</v>
      </c>
      <c r="D2595" s="2" t="str">
        <f t="shared" si="39"/>
        <v>Error?</v>
      </c>
    </row>
    <row r="2596" spans="1:4" x14ac:dyDescent="0.2">
      <c r="A2596" s="5">
        <v>2535</v>
      </c>
      <c r="B2596" s="138">
        <f>'Acct Summary 7-8'!F13</f>
        <v>207160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207160</v>
      </c>
      <c r="C2600" s="2" t="s">
        <v>594</v>
      </c>
      <c r="D2600" s="2" t="str">
        <f t="shared" si="39"/>
        <v>Error?</v>
      </c>
    </row>
    <row r="2601" spans="1:4" x14ac:dyDescent="0.2">
      <c r="A2601" s="5">
        <v>2540</v>
      </c>
      <c r="B2601" s="138">
        <f>'Acct Summary 7-8'!F20</f>
        <v>84314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103595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103595</v>
      </c>
      <c r="C2606" s="2" t="s">
        <v>594</v>
      </c>
      <c r="D2606" s="2" t="str">
        <f t="shared" si="39"/>
        <v>Error?</v>
      </c>
    </row>
    <row r="2607" spans="1:4" x14ac:dyDescent="0.2">
      <c r="A2607" s="5">
        <v>2546</v>
      </c>
      <c r="B2607" s="138">
        <f>'Acct Summary 7-8'!G12</f>
        <v>45299</v>
      </c>
      <c r="C2607" s="2" t="s">
        <v>594</v>
      </c>
      <c r="D2607" s="2" t="str">
        <f t="shared" si="39"/>
        <v>Error?</v>
      </c>
    </row>
    <row r="2608" spans="1:4" x14ac:dyDescent="0.2">
      <c r="A2608" s="5">
        <v>2547</v>
      </c>
      <c r="B2608" s="138">
        <f>'Acct Summary 7-8'!G13</f>
        <v>72581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125875</v>
      </c>
      <c r="C2612" s="2" t="s">
        <v>594</v>
      </c>
      <c r="D2612" s="2" t="str">
        <f t="shared" si="39"/>
        <v>Error?</v>
      </c>
    </row>
    <row r="2613" spans="1:4" x14ac:dyDescent="0.2">
      <c r="A2613" s="5">
        <v>2552</v>
      </c>
      <c r="B2613" s="138">
        <f>'Acct Summary 7-8'!G20</f>
        <v>-22280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491575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491575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467945</v>
      </c>
      <c r="C2634" s="2" t="s">
        <v>594</v>
      </c>
      <c r="D2634" s="2" t="str">
        <f t="shared" si="40"/>
        <v>Error?</v>
      </c>
    </row>
    <row r="2635" spans="1:4" x14ac:dyDescent="0.2">
      <c r="A2635" s="5">
        <v>2574</v>
      </c>
      <c r="B2635" s="138">
        <f>'Acct Summary 7-8'!E17</f>
        <v>467945</v>
      </c>
      <c r="C2635" s="2" t="s">
        <v>594</v>
      </c>
      <c r="D2635" s="2" t="str">
        <f t="shared" si="40"/>
        <v>Error?</v>
      </c>
    </row>
    <row r="2636" spans="1:4" x14ac:dyDescent="0.2">
      <c r="A2636" s="5">
        <v>2575</v>
      </c>
      <c r="B2636" s="138">
        <f>'Acct Summary 7-8'!E20</f>
        <v>23630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60967</v>
      </c>
      <c r="C2789" s="2" t="s">
        <v>594</v>
      </c>
      <c r="D2789" s="2" t="str">
        <f t="shared" si="42"/>
        <v>Error?</v>
      </c>
    </row>
    <row r="2790" spans="1:4" x14ac:dyDescent="0.2">
      <c r="A2790" s="5">
        <v>2729</v>
      </c>
      <c r="B2790" s="138">
        <f>'Expenditures 15-22'!E102</f>
        <v>60967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153302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18576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153302</v>
      </c>
      <c r="D2912" s="2" t="str">
        <f t="shared" si="44"/>
        <v>Error?</v>
      </c>
    </row>
    <row r="2913" spans="1:4" x14ac:dyDescent="0.2">
      <c r="A2913" s="5">
        <v>2852</v>
      </c>
      <c r="B2913" s="138">
        <f>'Assets-Liab 5-6'!I41</f>
        <v>153302</v>
      </c>
      <c r="C2913" s="2" t="s">
        <v>594</v>
      </c>
      <c r="D2913" s="2" t="str">
        <f t="shared" si="44"/>
        <v>Error?</v>
      </c>
    </row>
    <row r="2914" spans="1:4" x14ac:dyDescent="0.2">
      <c r="A2914" s="5">
        <v>2853</v>
      </c>
      <c r="B2914" s="138">
        <f>'Assets-Liab 5-6'!L33</f>
        <v>18576</v>
      </c>
      <c r="D2914" s="2" t="str">
        <f t="shared" si="44"/>
        <v>Error?</v>
      </c>
    </row>
    <row r="2915" spans="1:4" x14ac:dyDescent="0.2">
      <c r="A2915" s="10">
        <v>2854</v>
      </c>
      <c r="D2915" s="2" t="str">
        <f t="shared" si="44"/>
        <v>OK</v>
      </c>
    </row>
    <row r="2916" spans="1:4" x14ac:dyDescent="0.2">
      <c r="A2916" s="5">
        <v>2855</v>
      </c>
      <c r="B2916" s="138">
        <f>'Assets-Liab 5-6'!L34</f>
        <v>18576</v>
      </c>
      <c r="C2916" s="2" t="s">
        <v>594</v>
      </c>
      <c r="D2916" s="2" t="str">
        <f t="shared" si="44"/>
        <v>Error?</v>
      </c>
    </row>
    <row r="2917" spans="1:4" x14ac:dyDescent="0.2">
      <c r="A2917" s="5">
        <v>2856</v>
      </c>
      <c r="B2917" s="138">
        <f>'Assets-Liab 5-6'!L41</f>
        <v>18576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60967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60967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1749</v>
      </c>
      <c r="C3225" s="2" t="s">
        <v>594</v>
      </c>
      <c r="D3225" s="2" t="str">
        <f t="shared" si="49"/>
        <v>Error?</v>
      </c>
    </row>
    <row r="3226" spans="1:4" x14ac:dyDescent="0.2">
      <c r="A3226" s="5">
        <v>3165</v>
      </c>
      <c r="B3226" s="138">
        <f>'Acct Summary 7-8'!I8</f>
        <v>1749</v>
      </c>
      <c r="C3226" s="2" t="s">
        <v>594</v>
      </c>
      <c r="D3226" s="2" t="str">
        <f t="shared" si="49"/>
        <v>Error?</v>
      </c>
    </row>
    <row r="3227" spans="1:4" x14ac:dyDescent="0.2">
      <c r="A3227" s="5">
        <v>3166</v>
      </c>
      <c r="B3227" s="138">
        <f>'Acct Summary 7-8'!I20</f>
        <v>1749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349910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186794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84314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-22280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23630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1749</v>
      </c>
      <c r="C3320" s="2" t="s">
        <v>594</v>
      </c>
      <c r="D3320" s="2" t="str">
        <f t="shared" si="50"/>
        <v>Error?</v>
      </c>
    </row>
    <row r="3321" spans="1:4" x14ac:dyDescent="0.2">
      <c r="A3321" s="5">
        <v>3260</v>
      </c>
      <c r="B3321" s="138">
        <f>'Acct Summary 7-8'!I79</f>
        <v>151553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153302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250562</v>
      </c>
      <c r="D3366" s="2" t="str">
        <f t="shared" si="51"/>
        <v>Error?</v>
      </c>
    </row>
    <row r="3367" spans="1:4" x14ac:dyDescent="0.2">
      <c r="A3367" s="5">
        <v>3306</v>
      </c>
      <c r="B3367" s="138">
        <f>'Expenditures 15-22'!C19</f>
        <v>887</v>
      </c>
      <c r="D3367" s="2" t="str">
        <f t="shared" si="51"/>
        <v>Error?</v>
      </c>
    </row>
    <row r="3368" spans="1:4" x14ac:dyDescent="0.2">
      <c r="A3368" s="5">
        <v>3307</v>
      </c>
      <c r="B3368" s="138">
        <f>'Expenditures 15-22'!D8</f>
        <v>9590</v>
      </c>
      <c r="D3368" s="2" t="str">
        <f t="shared" si="51"/>
        <v>Error?</v>
      </c>
    </row>
    <row r="3369" spans="1:4" x14ac:dyDescent="0.2">
      <c r="A3369" s="5">
        <v>3308</v>
      </c>
      <c r="B3369" s="138">
        <f>'Expenditures 15-22'!D19</f>
        <v>313</v>
      </c>
      <c r="D3369" s="2" t="str">
        <f t="shared" si="51"/>
        <v>Error?</v>
      </c>
    </row>
    <row r="3370" spans="1:4" x14ac:dyDescent="0.2">
      <c r="A3370" s="5">
        <v>3309</v>
      </c>
      <c r="B3370" s="138">
        <f>'Expenditures 15-22'!E8</f>
        <v>7488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4860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272500</v>
      </c>
      <c r="C3380" s="2" t="s">
        <v>594</v>
      </c>
      <c r="D3380" s="2" t="str">
        <f t="shared" si="51"/>
        <v>Error?</v>
      </c>
    </row>
    <row r="3381" spans="1:4" x14ac:dyDescent="0.2">
      <c r="A3381" s="5">
        <v>3320</v>
      </c>
      <c r="B3381" s="138">
        <f>'Expenditures 15-22'!K19</f>
        <v>1200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22852</v>
      </c>
      <c r="D3387" s="2" t="str">
        <f t="shared" si="51"/>
        <v>Error?</v>
      </c>
    </row>
    <row r="3388" spans="1:4" x14ac:dyDescent="0.2">
      <c r="A3388" s="5">
        <v>3327</v>
      </c>
      <c r="B3388" s="138">
        <f>'Expenditures 15-22'!D217</f>
        <v>21106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22852</v>
      </c>
      <c r="C3390" s="2" t="s">
        <v>594</v>
      </c>
      <c r="D3390" s="2" t="str">
        <f t="shared" si="51"/>
        <v>Error?</v>
      </c>
    </row>
    <row r="3391" spans="1:4" x14ac:dyDescent="0.2">
      <c r="A3391" s="5">
        <v>3330</v>
      </c>
      <c r="B3391" s="138">
        <f>'Expenditures 15-22'!K217</f>
        <v>21106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2656521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972534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170189</v>
      </c>
      <c r="D3417" s="2" t="str">
        <f t="shared" si="52"/>
        <v>Error?</v>
      </c>
    </row>
    <row r="3418" spans="1:4" x14ac:dyDescent="0.2">
      <c r="A3418" s="10">
        <v>3357</v>
      </c>
      <c r="D3418" s="2" t="str">
        <f t="shared" si="52"/>
        <v>OK</v>
      </c>
    </row>
    <row r="3419" spans="1:4" x14ac:dyDescent="0.2">
      <c r="A3419" s="5">
        <v>3358</v>
      </c>
      <c r="B3419" s="138">
        <f>'Assets-Liab 5-6'!F4</f>
        <v>217910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93373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153302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18576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56493</v>
      </c>
      <c r="C3446" s="2" t="s">
        <v>594</v>
      </c>
      <c r="D3446" s="2" t="str">
        <f t="shared" si="52"/>
        <v>Error?</v>
      </c>
    </row>
    <row r="3447" spans="1:4" x14ac:dyDescent="0.2">
      <c r="A3447" s="5">
        <v>3386</v>
      </c>
      <c r="B3447" s="138">
        <f>'Tax Sched 23'!D16</f>
        <v>27769</v>
      </c>
      <c r="C3447" s="2" t="s">
        <v>594</v>
      </c>
      <c r="D3447" s="2" t="str">
        <f t="shared" si="52"/>
        <v>Error?</v>
      </c>
    </row>
    <row r="3448" spans="1:4" x14ac:dyDescent="0.2">
      <c r="A3448" s="5">
        <v>3387</v>
      </c>
      <c r="B3448" s="138">
        <f>'Tax Sched 23'!C16</f>
        <v>28724</v>
      </c>
      <c r="D3448" s="2" t="str">
        <f t="shared" si="52"/>
        <v>Error?</v>
      </c>
    </row>
    <row r="3449" spans="1:4" x14ac:dyDescent="0.2">
      <c r="A3449" s="5">
        <v>3388</v>
      </c>
      <c r="B3449" s="138">
        <f>'Tax Sched 23'!F16</f>
        <v>22276</v>
      </c>
      <c r="C3449" s="2" t="s">
        <v>594</v>
      </c>
      <c r="D3449" s="2" t="str">
        <f t="shared" si="52"/>
        <v>Error?</v>
      </c>
    </row>
    <row r="3450" spans="1:4" x14ac:dyDescent="0.2">
      <c r="A3450" s="5">
        <v>3389</v>
      </c>
      <c r="B3450" s="138">
        <f>'Tax Sched 23'!E16</f>
        <v>51000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7995</v>
      </c>
      <c r="D3721" s="2" t="str">
        <f t="shared" si="57"/>
        <v>Error?</v>
      </c>
    </row>
    <row r="3722" spans="1:4" x14ac:dyDescent="0.2">
      <c r="A3722" s="5">
        <v>3661</v>
      </c>
      <c r="B3722" s="138">
        <f>'Expenditures 15-22'!D285</f>
        <v>7995</v>
      </c>
      <c r="C3722" s="2" t="s">
        <v>594</v>
      </c>
      <c r="D3722" s="2" t="str">
        <f t="shared" si="57"/>
        <v>Error?</v>
      </c>
    </row>
    <row r="3723" spans="1:4" x14ac:dyDescent="0.2">
      <c r="A3723" s="5">
        <v>3662</v>
      </c>
      <c r="B3723" s="138">
        <f>'Expenditures 15-22'!K283</f>
        <v>7995</v>
      </c>
      <c r="C3723" s="2" t="s">
        <v>594</v>
      </c>
      <c r="D3723" s="2" t="str">
        <f t="shared" si="57"/>
        <v>Error?</v>
      </c>
    </row>
    <row r="3724" spans="1:4" x14ac:dyDescent="0.2">
      <c r="A3724" s="5">
        <v>3663</v>
      </c>
      <c r="B3724" s="138">
        <f>'Expenditures 15-22'!K285</f>
        <v>7995</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8080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4219</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3861</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3830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7691</v>
      </c>
      <c r="D4111" s="2" t="str">
        <f t="shared" si="63"/>
        <v>Error?</v>
      </c>
    </row>
    <row r="4112" spans="1:4" x14ac:dyDescent="0.2">
      <c r="A4112" s="10">
        <v>4051</v>
      </c>
      <c r="D4112" s="2" t="str">
        <f t="shared" si="63"/>
        <v>OK</v>
      </c>
    </row>
    <row r="4113" spans="1:4" x14ac:dyDescent="0.2">
      <c r="A4113" s="5">
        <v>4052</v>
      </c>
      <c r="B4113" s="138">
        <f>'Acct Summary 7-8'!C9</f>
        <v>1441307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5216004</v>
      </c>
      <c r="C4122" s="2" t="s">
        <v>594</v>
      </c>
      <c r="D4122" s="2" t="str">
        <f t="shared" si="63"/>
        <v>Error?</v>
      </c>
    </row>
    <row r="4123" spans="1:4" x14ac:dyDescent="0.2">
      <c r="A4123" s="5">
        <v>4062</v>
      </c>
      <c r="B4123" s="138">
        <f>'Acct Summary 7-8'!D10</f>
        <v>629431</v>
      </c>
      <c r="C4123" s="2" t="s">
        <v>594</v>
      </c>
      <c r="D4123" s="2" t="str">
        <f t="shared" si="63"/>
        <v>Error?</v>
      </c>
    </row>
    <row r="4124" spans="1:4" x14ac:dyDescent="0.2">
      <c r="A4124" s="5">
        <v>4063</v>
      </c>
      <c r="B4124" s="138">
        <f>'Acct Summary 7-8'!E10</f>
        <v>491575</v>
      </c>
      <c r="C4124" s="2" t="s">
        <v>594</v>
      </c>
      <c r="D4124" s="2" t="str">
        <f t="shared" si="63"/>
        <v>Error?</v>
      </c>
    </row>
    <row r="4125" spans="1:4" x14ac:dyDescent="0.2">
      <c r="A4125" s="5">
        <v>4064</v>
      </c>
      <c r="B4125" s="138">
        <f>'Acct Summary 7-8'!F10</f>
        <v>291474</v>
      </c>
      <c r="C4125" s="2" t="s">
        <v>594</v>
      </c>
      <c r="D4125" s="2" t="str">
        <f t="shared" si="63"/>
        <v>Error?</v>
      </c>
    </row>
    <row r="4126" spans="1:4" x14ac:dyDescent="0.2">
      <c r="A4126" s="5">
        <v>4065</v>
      </c>
      <c r="B4126" s="138">
        <f>'Acct Summary 7-8'!G10</f>
        <v>103595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1749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1441307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4866094</v>
      </c>
      <c r="C4136" s="2" t="s">
        <v>594</v>
      </c>
      <c r="D4136" s="2" t="str">
        <f t="shared" si="63"/>
        <v>Error?</v>
      </c>
    </row>
    <row r="4137" spans="1:4" x14ac:dyDescent="0.2">
      <c r="A4137" s="5">
        <v>4076</v>
      </c>
      <c r="B4137" s="138">
        <f>'Acct Summary 7-8'!D19</f>
        <v>442637</v>
      </c>
      <c r="C4137" s="2" t="s">
        <v>594</v>
      </c>
      <c r="D4137" s="2" t="str">
        <f t="shared" si="63"/>
        <v>Error?</v>
      </c>
    </row>
    <row r="4138" spans="1:4" x14ac:dyDescent="0.2">
      <c r="A4138" s="5">
        <v>4077</v>
      </c>
      <c r="B4138" s="138">
        <f>'Acct Summary 7-8'!E19</f>
        <v>467945</v>
      </c>
      <c r="C4138" s="2" t="s">
        <v>594</v>
      </c>
      <c r="D4138" s="2" t="str">
        <f t="shared" si="63"/>
        <v>Error?</v>
      </c>
    </row>
    <row r="4139" spans="1:4" x14ac:dyDescent="0.2">
      <c r="A4139" s="5">
        <v>4078</v>
      </c>
      <c r="B4139" s="138">
        <f>'Acct Summary 7-8'!F19</f>
        <v>207160</v>
      </c>
      <c r="C4139" s="2" t="s">
        <v>594</v>
      </c>
      <c r="D4139" s="2" t="str">
        <f t="shared" si="63"/>
        <v>Error?</v>
      </c>
    </row>
    <row r="4140" spans="1:4" x14ac:dyDescent="0.2">
      <c r="A4140" s="5">
        <v>4079</v>
      </c>
      <c r="B4140" s="138">
        <f>'Acct Summary 7-8'!G19</f>
        <v>125875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6469310</v>
      </c>
      <c r="C4171" s="2" t="s">
        <v>594</v>
      </c>
      <c r="D4171" s="2" t="str">
        <f t="shared" si="64"/>
        <v>Error?</v>
      </c>
    </row>
    <row r="4172" spans="1:4" x14ac:dyDescent="0.2">
      <c r="A4172" s="5">
        <v>4111</v>
      </c>
      <c r="B4172" s="138">
        <f>'Short-Term Long-Term Debt 24'!J49</f>
        <v>6299121</v>
      </c>
      <c r="C4172" s="2" t="s">
        <v>594</v>
      </c>
      <c r="D4172" s="2" t="str">
        <f t="shared" si="64"/>
        <v>Error?</v>
      </c>
    </row>
    <row r="4173" spans="1:4" x14ac:dyDescent="0.2">
      <c r="A4173" s="5">
        <v>4112</v>
      </c>
      <c r="B4173" s="138">
        <f>'Short-Term Long-Term Debt 24'!H49</f>
        <v>107424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2920</v>
      </c>
      <c r="C4265" s="2" t="s">
        <v>594</v>
      </c>
      <c r="D4265" s="2" t="str">
        <f t="shared" si="65"/>
        <v>Error?</v>
      </c>
      <c r="E4265" s="128"/>
    </row>
    <row r="4266" spans="1:5" x14ac:dyDescent="0.2">
      <c r="A4266" s="12">
        <v>4205</v>
      </c>
      <c r="B4266" s="138">
        <f>('FP Info 3'!F10)*100000</f>
        <v>527</v>
      </c>
      <c r="C4266" s="2" t="s">
        <v>594</v>
      </c>
      <c r="D4266" s="2" t="str">
        <f t="shared" si="65"/>
        <v>Error?</v>
      </c>
      <c r="E4266" s="128"/>
    </row>
    <row r="4267" spans="1:5" x14ac:dyDescent="0.2">
      <c r="A4267" s="12">
        <v>4206</v>
      </c>
      <c r="B4267" s="138">
        <f>('FP Info 3'!H10)*100000</f>
        <v>136.19999999999999</v>
      </c>
      <c r="C4267" s="2" t="s">
        <v>594</v>
      </c>
      <c r="D4267" s="2" t="str">
        <f t="shared" si="65"/>
        <v>Error?</v>
      </c>
      <c r="E4267" s="128"/>
    </row>
    <row r="4268" spans="1:5" x14ac:dyDescent="0.2">
      <c r="A4268" s="12">
        <v>4207</v>
      </c>
      <c r="B4268" s="138">
        <f>('FP Info 3'!J10)*100000</f>
        <v>3583</v>
      </c>
      <c r="C4268" s="2" t="s">
        <v>594</v>
      </c>
      <c r="D4268" s="2" t="str">
        <f t="shared" si="65"/>
        <v>Error?</v>
      </c>
    </row>
    <row r="4269" spans="1:5" x14ac:dyDescent="0.2">
      <c r="A4269" s="12">
        <v>4208</v>
      </c>
      <c r="B4269" s="138">
        <f>'FP Info 3'!J16</f>
        <v>4000267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154</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4093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106413638</v>
      </c>
      <c r="D4995" s="2" t="str">
        <f t="shared" si="77"/>
        <v>Error?</v>
      </c>
    </row>
    <row r="4996" spans="1:4" x14ac:dyDescent="0.2">
      <c r="A4996" s="12">
        <v>4935</v>
      </c>
      <c r="B4996" s="138">
        <f>'FP Info 3'!H31</f>
        <v>7342541.0220000008</v>
      </c>
      <c r="D4996" s="2" t="str">
        <f t="shared" si="77"/>
        <v>Error?</v>
      </c>
    </row>
    <row r="4997" spans="1:4" x14ac:dyDescent="0.2">
      <c r="A4997" s="12">
        <v>4936</v>
      </c>
      <c r="B4997" s="138">
        <f>'FP Info 3'!H37</f>
        <v>6469310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3169979</v>
      </c>
      <c r="D5061" s="2" t="str">
        <f t="shared" si="78"/>
        <v>Error?</v>
      </c>
    </row>
    <row r="5062" spans="1:4" x14ac:dyDescent="0.2">
      <c r="A5062" s="10">
        <v>5001</v>
      </c>
      <c r="D5062" s="2" t="str">
        <f t="shared" si="78"/>
        <v>OK</v>
      </c>
    </row>
    <row r="5063" spans="1:4" x14ac:dyDescent="0.2">
      <c r="A5063" s="5">
        <v>5002</v>
      </c>
      <c r="B5063" s="138">
        <f>'Revenues 9-14'!C7</f>
        <v>21439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3191418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7964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25816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25816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1554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15370</v>
      </c>
      <c r="C5096" s="2" t="s">
        <v>594</v>
      </c>
      <c r="D5096" s="2" t="str">
        <f t="shared" si="78"/>
        <v>Error?</v>
      </c>
    </row>
    <row r="5097" spans="1:4" x14ac:dyDescent="0.2">
      <c r="A5097" s="5">
        <v>5036</v>
      </c>
      <c r="B5097" s="138">
        <f>'Revenues 9-14'!C77</f>
        <v>2771</v>
      </c>
      <c r="D5097" s="2" t="str">
        <f t="shared" si="78"/>
        <v>Error?</v>
      </c>
    </row>
    <row r="5098" spans="1:4" x14ac:dyDescent="0.2">
      <c r="A5098" s="5">
        <v>5037</v>
      </c>
      <c r="B5098" s="138">
        <f>'Revenues 9-14'!C78</f>
        <v>13234</v>
      </c>
      <c r="D5098" s="2" t="str">
        <f t="shared" si="78"/>
        <v>Error?</v>
      </c>
    </row>
    <row r="5099" spans="1:4" x14ac:dyDescent="0.2">
      <c r="A5099" s="5">
        <v>5038</v>
      </c>
      <c r="B5099" s="138">
        <f>'Revenues 9-14'!C79</f>
        <v>15275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1679</v>
      </c>
      <c r="D5101" s="2" t="str">
        <f t="shared" si="78"/>
        <v>Error?</v>
      </c>
    </row>
    <row r="5102" spans="1:4" x14ac:dyDescent="0.2">
      <c r="A5102" s="5">
        <v>5041</v>
      </c>
      <c r="B5102" s="138">
        <f>'Revenues 9-14'!C82</f>
        <v>32959</v>
      </c>
      <c r="C5102" s="2" t="s">
        <v>594</v>
      </c>
      <c r="D5102" s="2" t="str">
        <f t="shared" si="78"/>
        <v>Error?</v>
      </c>
    </row>
    <row r="5103" spans="1:4" x14ac:dyDescent="0.2">
      <c r="A5103" s="5">
        <v>5042</v>
      </c>
      <c r="B5103" s="138">
        <f>'Revenues 9-14'!C84</f>
        <v>136913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136913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23665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3495</v>
      </c>
      <c r="D5119" s="2" t="str">
        <f t="shared" ref="D5119:D5182" si="79">IF(ISBLANK(B5119),"OK",IF(A5119-B5119=0,"OK","Error?"))</f>
        <v>Error?</v>
      </c>
    </row>
    <row r="5120" spans="1:4" x14ac:dyDescent="0.2">
      <c r="A5120" s="5">
        <v>5059</v>
      </c>
      <c r="B5120" s="138">
        <f>'Revenues 9-14'!C108</f>
        <v>27160</v>
      </c>
      <c r="C5120" s="2" t="s">
        <v>594</v>
      </c>
      <c r="D5120" s="2" t="str">
        <f t="shared" si="79"/>
        <v>Error?</v>
      </c>
    </row>
    <row r="5121" spans="1:4" x14ac:dyDescent="0.2">
      <c r="A5121" s="5">
        <v>5060</v>
      </c>
      <c r="B5121" s="138">
        <f>'Revenues 9-14'!C109</f>
        <v>3437600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217907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217907</v>
      </c>
      <c r="C5132" s="2" t="s">
        <v>594</v>
      </c>
      <c r="D5132" s="2" t="str">
        <f t="shared" si="79"/>
        <v>Error?</v>
      </c>
    </row>
    <row r="5133" spans="1:4" x14ac:dyDescent="0.2">
      <c r="A5133" s="5">
        <v>5072</v>
      </c>
      <c r="B5133" s="138">
        <f>'Revenues 9-14'!C124</f>
        <v>9660</v>
      </c>
      <c r="D5133" s="2" t="str">
        <f t="shared" si="79"/>
        <v>Error?</v>
      </c>
    </row>
    <row r="5134" spans="1:4" x14ac:dyDescent="0.2">
      <c r="A5134" s="5">
        <v>5073</v>
      </c>
      <c r="B5134" s="138">
        <f>'Revenues 9-14'!C125</f>
        <v>18134</v>
      </c>
      <c r="D5134" s="2" t="str">
        <f t="shared" si="79"/>
        <v>Error?</v>
      </c>
    </row>
    <row r="5135" spans="1:4" x14ac:dyDescent="0.2">
      <c r="A5135" s="5">
        <v>5074</v>
      </c>
      <c r="B5135" s="138">
        <f>'Revenues 9-14'!C126</f>
        <v>29401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57321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58975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276882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14187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14187</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4093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36460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36460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60215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60215</v>
      </c>
      <c r="C5326" s="2" t="s">
        <v>594</v>
      </c>
      <c r="D5326" s="2" t="str">
        <f t="shared" si="82"/>
        <v>Error?</v>
      </c>
    </row>
    <row r="5327" spans="1:4" x14ac:dyDescent="0.2">
      <c r="A5327" s="5">
        <v>5266</v>
      </c>
      <c r="B5327" s="138">
        <f>'Revenues 9-14'!C275</f>
        <v>3774697</v>
      </c>
      <c r="C5327" s="2" t="s">
        <v>594</v>
      </c>
      <c r="D5327" s="2" t="str">
        <f t="shared" si="82"/>
        <v>Error?</v>
      </c>
    </row>
    <row r="5328" spans="1:4" x14ac:dyDescent="0.2">
      <c r="A5328" s="5">
        <v>5267</v>
      </c>
      <c r="B5328" s="138">
        <f>'Revenues 9-14'!D5</f>
        <v>570942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570942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1520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1520</v>
      </c>
      <c r="C5339" s="2" t="s">
        <v>594</v>
      </c>
      <c r="D5339" s="2" t="str">
        <f t="shared" si="82"/>
        <v>Error?</v>
      </c>
    </row>
    <row r="5340" spans="1:4" x14ac:dyDescent="0.2">
      <c r="A5340" s="5">
        <v>5279</v>
      </c>
      <c r="B5340" s="138">
        <f>'Revenues 9-14'!D65</f>
        <v>7814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31335</v>
      </c>
      <c r="D5354" s="2" t="str">
        <f t="shared" si="82"/>
        <v>Error?</v>
      </c>
    </row>
    <row r="5355" spans="1:4" x14ac:dyDescent="0.2">
      <c r="A5355" s="5">
        <v>5294</v>
      </c>
      <c r="B5355" s="138">
        <f>'Revenues 9-14'!D108</f>
        <v>49155</v>
      </c>
      <c r="C5355" s="2" t="s">
        <v>594</v>
      </c>
      <c r="D5355" s="2" t="str">
        <f t="shared" si="82"/>
        <v>Error?</v>
      </c>
    </row>
    <row r="5356" spans="1:4" x14ac:dyDescent="0.2">
      <c r="A5356" s="5">
        <v>5295</v>
      </c>
      <c r="B5356" s="138">
        <f>'Revenues 9-14'!D109</f>
        <v>629431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629431</v>
      </c>
      <c r="C5508" s="2" t="s">
        <v>594</v>
      </c>
      <c r="D5508" s="2" t="str">
        <f t="shared" si="85"/>
        <v>Error?</v>
      </c>
    </row>
    <row r="5509" spans="1:4" x14ac:dyDescent="0.2">
      <c r="A5509" s="5">
        <v>5448</v>
      </c>
      <c r="B5509" s="138">
        <f>'Revenues 9-14'!E5</f>
        <v>489033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489033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v>
      </c>
      <c r="C5518" s="2" t="s">
        <v>594</v>
      </c>
      <c r="D5518" s="2" t="str">
        <f t="shared" si="85"/>
        <v>Error?</v>
      </c>
    </row>
    <row r="5519" spans="1:4" x14ac:dyDescent="0.2">
      <c r="A5519" s="5">
        <v>5458</v>
      </c>
      <c r="B5519" s="138">
        <f>'Revenues 9-14'!E65</f>
        <v>1542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491575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491575</v>
      </c>
      <c r="C5552" s="2" t="s">
        <v>594</v>
      </c>
      <c r="D5552" s="2" t="str">
        <f t="shared" si="85"/>
        <v>Error?</v>
      </c>
    </row>
    <row r="5553" spans="1:4" x14ac:dyDescent="0.2">
      <c r="A5553" s="5">
        <v>5492</v>
      </c>
      <c r="B5553" s="138">
        <f>'Revenues 9-14'!F5</f>
        <v>149393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149393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2047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2047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151440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29832</v>
      </c>
      <c r="D5615" s="2" t="str">
        <f t="shared" si="86"/>
        <v>Error?</v>
      </c>
    </row>
    <row r="5616" spans="1:4" x14ac:dyDescent="0.2">
      <c r="A5616" s="10">
        <v>5555</v>
      </c>
      <c r="D5616" s="2" t="str">
        <f t="shared" si="86"/>
        <v>OK</v>
      </c>
    </row>
    <row r="5617" spans="1:4" x14ac:dyDescent="0.2">
      <c r="A5617" s="5">
        <v>5556</v>
      </c>
      <c r="B5617" s="138">
        <f>'Revenues 9-14'!F152</f>
        <v>110202</v>
      </c>
      <c r="D5617" s="2" t="str">
        <f t="shared" si="86"/>
        <v>Error?</v>
      </c>
    </row>
    <row r="5618" spans="1:4" x14ac:dyDescent="0.2">
      <c r="A5618" s="5">
        <v>5557</v>
      </c>
      <c r="B5618" s="138">
        <f>'Revenues 9-14'!F154</f>
        <v>140034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140034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140034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291474</v>
      </c>
      <c r="C5720" s="2" t="s">
        <v>594</v>
      </c>
      <c r="D5720" s="2" t="str">
        <f t="shared" si="88"/>
        <v>Error?</v>
      </c>
    </row>
    <row r="5721" spans="1:4" x14ac:dyDescent="0.2">
      <c r="A5721" s="5">
        <v>5660</v>
      </c>
      <c r="B5721" s="138">
        <f>'Revenues 9-14'!G5</f>
        <v>36622</v>
      </c>
      <c r="D5721" s="2" t="str">
        <f t="shared" si="88"/>
        <v>Error?</v>
      </c>
    </row>
    <row r="5722" spans="1:4" x14ac:dyDescent="0.2">
      <c r="A5722" s="5">
        <v>5661</v>
      </c>
      <c r="B5722" s="138">
        <f>'Revenues 9-14'!G7</f>
        <v>0</v>
      </c>
      <c r="D5722" s="2" t="str">
        <f t="shared" si="88"/>
        <v>Error?</v>
      </c>
    </row>
    <row r="5723" spans="1:4" x14ac:dyDescent="0.2">
      <c r="A5723" s="5">
        <v>5662</v>
      </c>
      <c r="B5723" s="138">
        <f>'Revenues 9-14'!G8</f>
        <v>56493</v>
      </c>
      <c r="D5723" s="2" t="str">
        <f t="shared" si="88"/>
        <v>Error?</v>
      </c>
    </row>
    <row r="5724" spans="1:4" x14ac:dyDescent="0.2">
      <c r="A5724" s="5">
        <v>5663</v>
      </c>
      <c r="B5724" s="138">
        <f>'Revenues 9-14'!G11</f>
        <v>8080</v>
      </c>
      <c r="D5724" s="2" t="str">
        <f t="shared" si="88"/>
        <v>Error?</v>
      </c>
    </row>
    <row r="5725" spans="1:4" x14ac:dyDescent="0.2">
      <c r="A5725" s="5">
        <v>5664</v>
      </c>
      <c r="B5725" s="138">
        <f>'Revenues 9-14'!G12</f>
        <v>101195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1364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1364</v>
      </c>
      <c r="C5730" s="2" t="s">
        <v>594</v>
      </c>
      <c r="D5730" s="2" t="str">
        <f t="shared" si="88"/>
        <v>Error?</v>
      </c>
    </row>
    <row r="5731" spans="1:4" x14ac:dyDescent="0.2">
      <c r="A5731" s="5">
        <v>5670</v>
      </c>
      <c r="B5731" s="138">
        <f>'Revenues 9-14'!G65</f>
        <v>1036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103595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103595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1749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13816</v>
      </c>
      <c r="D6031" s="2" t="str">
        <f t="shared" si="93"/>
        <v>Error?</v>
      </c>
    </row>
    <row r="6032" spans="1:5" x14ac:dyDescent="0.2">
      <c r="A6032" s="5">
        <v>5971</v>
      </c>
      <c r="B6032" s="138">
        <f>'Acct Summary 7-8'!G15</f>
        <v>7995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274.39999999999998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32178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32178</v>
      </c>
      <c r="D6215" s="2" t="str">
        <f t="shared" si="96"/>
        <v>Error?</v>
      </c>
      <c r="E6215" s="2" t="s">
        <v>199</v>
      </c>
    </row>
    <row r="6216" spans="1:5" x14ac:dyDescent="0.2">
      <c r="A6216">
        <v>6155</v>
      </c>
      <c r="B6216" s="138">
        <f>'Assets-Liab 5-6'!J41</f>
        <v>32178</v>
      </c>
      <c r="D6216" s="2" t="str">
        <f t="shared" si="96"/>
        <v>Error?</v>
      </c>
      <c r="E6216" s="2" t="s">
        <v>199</v>
      </c>
    </row>
    <row r="6217" spans="1:5" x14ac:dyDescent="0.2">
      <c r="A6217">
        <v>6156</v>
      </c>
      <c r="B6217" s="138">
        <f>'Assets-Liab 5-6'!J4</f>
        <v>32178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50549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50549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50549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41959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41959</v>
      </c>
      <c r="D6229" s="2" t="str">
        <f t="shared" si="96"/>
        <v>Error?</v>
      </c>
      <c r="E6229" s="2" t="s">
        <v>199</v>
      </c>
    </row>
    <row r="6230" spans="1:5" x14ac:dyDescent="0.2">
      <c r="A6230">
        <v>6169</v>
      </c>
      <c r="B6230" s="138">
        <f>'Acct Summary 7-8'!J20</f>
        <v>8590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8590</v>
      </c>
      <c r="D6263" s="2" t="str">
        <f t="shared" si="96"/>
        <v>Error?</v>
      </c>
      <c r="E6263" s="2" t="s">
        <v>199</v>
      </c>
    </row>
    <row r="6264" spans="1:5" x14ac:dyDescent="0.2">
      <c r="A6264">
        <v>6203</v>
      </c>
      <c r="B6264" s="138">
        <f>'Acct Summary 7-8'!J79</f>
        <v>23588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32178</v>
      </c>
      <c r="D6266" s="2" t="str">
        <f t="shared" si="96"/>
        <v>Error?</v>
      </c>
      <c r="E6266" s="2" t="s">
        <v>199</v>
      </c>
    </row>
    <row r="6267" spans="1:5" x14ac:dyDescent="0.2">
      <c r="A6267">
        <v>6206</v>
      </c>
      <c r="B6267" s="138">
        <f>'Acct Summary 7-8'!C82</f>
        <v>349910</v>
      </c>
      <c r="D6267" s="2" t="str">
        <f t="shared" si="96"/>
        <v>Error?</v>
      </c>
      <c r="E6267" s="2" t="s">
        <v>199</v>
      </c>
    </row>
    <row r="6268" spans="1:5" x14ac:dyDescent="0.2">
      <c r="A6268">
        <v>6207</v>
      </c>
      <c r="B6268" s="138">
        <f>'Acct Summary 7-8'!D82</f>
        <v>186794</v>
      </c>
      <c r="D6268" s="2" t="str">
        <f t="shared" si="96"/>
        <v>Error?</v>
      </c>
      <c r="E6268" s="2" t="s">
        <v>199</v>
      </c>
    </row>
    <row r="6269" spans="1:5" x14ac:dyDescent="0.2">
      <c r="A6269">
        <v>6208</v>
      </c>
      <c r="B6269" s="138">
        <f>'Acct Summary 7-8'!E82</f>
        <v>23630</v>
      </c>
      <c r="D6269" s="2" t="str">
        <f t="shared" si="96"/>
        <v>Error?</v>
      </c>
      <c r="E6269" s="2" t="s">
        <v>199</v>
      </c>
    </row>
    <row r="6270" spans="1:5" x14ac:dyDescent="0.2">
      <c r="A6270">
        <v>6209</v>
      </c>
      <c r="B6270" s="138">
        <f>'Acct Summary 7-8'!F82</f>
        <v>84314</v>
      </c>
      <c r="D6270" s="2" t="str">
        <f t="shared" si="96"/>
        <v>Error?</v>
      </c>
      <c r="E6270" s="2" t="s">
        <v>199</v>
      </c>
    </row>
    <row r="6271" spans="1:5" x14ac:dyDescent="0.2">
      <c r="A6271">
        <v>6210</v>
      </c>
      <c r="B6271" s="138">
        <f>'Acct Summary 7-8'!G82</f>
        <v>-22280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1749</v>
      </c>
      <c r="D6273" s="2" t="str">
        <f t="shared" si="97"/>
        <v>Error?</v>
      </c>
      <c r="E6273" s="2" t="s">
        <v>199</v>
      </c>
    </row>
    <row r="6274" spans="1:5" x14ac:dyDescent="0.2">
      <c r="A6274">
        <v>6213</v>
      </c>
      <c r="B6274" s="138">
        <f>'Acct Summary 7-8'!J82</f>
        <v>8590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0.13171738525688298</v>
      </c>
      <c r="D6276" s="2" t="str">
        <f t="shared" si="97"/>
        <v>Error?</v>
      </c>
      <c r="E6276" s="2" t="s">
        <v>199</v>
      </c>
    </row>
    <row r="6277" spans="1:5" x14ac:dyDescent="0.2">
      <c r="A6277">
        <v>6216</v>
      </c>
      <c r="B6277" s="138">
        <f>'Acct Summary 7-8'!D83</f>
        <v>0.19206937752304803</v>
      </c>
      <c r="D6277" s="2" t="str">
        <f t="shared" si="97"/>
        <v>Error?</v>
      </c>
      <c r="E6277" s="2" t="s">
        <v>199</v>
      </c>
    </row>
    <row r="6278" spans="1:5" x14ac:dyDescent="0.2">
      <c r="A6278">
        <v>6217</v>
      </c>
      <c r="B6278" s="138">
        <f>'Acct Summary 7-8'!E83</f>
        <v>0.13884563632197144</v>
      </c>
      <c r="D6278" s="2" t="str">
        <f t="shared" si="97"/>
        <v>Error?</v>
      </c>
      <c r="E6278" s="2" t="s">
        <v>199</v>
      </c>
    </row>
    <row r="6279" spans="1:5" x14ac:dyDescent="0.2">
      <c r="A6279">
        <v>6218</v>
      </c>
      <c r="B6279" s="138">
        <f>'Acct Summary 7-8'!F83</f>
        <v>0.38692120600247809</v>
      </c>
      <c r="D6279" s="2" t="str">
        <f t="shared" si="97"/>
        <v>Error?</v>
      </c>
      <c r="E6279" s="2" t="s">
        <v>199</v>
      </c>
    </row>
    <row r="6280" spans="1:5" x14ac:dyDescent="0.2">
      <c r="A6280">
        <v>6219</v>
      </c>
      <c r="B6280" s="138">
        <f>'Acct Summary 7-8'!G83</f>
        <v>-0.23861287524230773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1.1408853113462316E-2</v>
      </c>
      <c r="D6282" s="2" t="str">
        <f t="shared" si="97"/>
        <v>Error?</v>
      </c>
      <c r="E6282" s="2" t="s">
        <v>199</v>
      </c>
    </row>
    <row r="6283" spans="1:5" x14ac:dyDescent="0.2">
      <c r="A6283">
        <v>6222</v>
      </c>
      <c r="B6283" s="138">
        <f>'Acct Summary 7-8'!J83</f>
        <v>0.26695257629436259</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50410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50410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17070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50549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15843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15843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96285</v>
      </c>
      <c r="D6983" s="2" t="str">
        <f t="shared" si="108"/>
        <v>Error?</v>
      </c>
    </row>
    <row r="6984" spans="1:4" x14ac:dyDescent="0.2">
      <c r="A6984">
        <v>6923</v>
      </c>
      <c r="B6984" s="138">
        <f>'Expenditures 15-22'!K86</f>
        <v>96285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96285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15843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5298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5298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5298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41959</v>
      </c>
      <c r="D7042" s="2" t="str">
        <f t="shared" si="109"/>
        <v>Error?</v>
      </c>
    </row>
    <row r="7043" spans="1:5" x14ac:dyDescent="0.2">
      <c r="A7043">
        <v>6982</v>
      </c>
      <c r="B7043" s="138">
        <f>'Revenues 9-14'!H9</f>
        <v>0</v>
      </c>
      <c r="D7043" s="2" t="str">
        <f t="shared" si="109"/>
        <v>Error?</v>
      </c>
    </row>
    <row r="7044" spans="1:5" x14ac:dyDescent="0.2">
      <c r="A7044">
        <v>6983</v>
      </c>
      <c r="B7044" s="138">
        <f>'Revenues 9-14'!D106</f>
        <v>750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5298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50549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41959</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41959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41959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41959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41959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41959</v>
      </c>
      <c r="D7224" s="2" t="str">
        <f t="shared" si="111"/>
        <v>Error?</v>
      </c>
    </row>
    <row r="7225" spans="1:4" x14ac:dyDescent="0.2">
      <c r="A7225">
        <v>7164</v>
      </c>
      <c r="B7225" s="138">
        <f>'Expenditures 15-22'!K343</f>
        <v>8590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21141</v>
      </c>
      <c r="D7624" s="2" t="str">
        <f t="shared" si="124"/>
        <v>Error?</v>
      </c>
      <c r="E7624" s="2" t="s">
        <v>19</v>
      </c>
    </row>
    <row r="7625" spans="1:5" x14ac:dyDescent="0.2">
      <c r="A7625">
        <f t="shared" si="123"/>
        <v>7564</v>
      </c>
      <c r="B7625" s="138">
        <f>'Cap Outlay Deprec 26'!I17</f>
        <v>2114.1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347190.1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360831</v>
      </c>
      <c r="D7797" s="2" t="str">
        <f t="shared" si="127"/>
        <v>Error?</v>
      </c>
      <c r="E7797" s="4" t="s">
        <v>2019</v>
      </c>
    </row>
    <row r="7798" spans="1:5" x14ac:dyDescent="0.2">
      <c r="A7798">
        <v>7737</v>
      </c>
      <c r="B7798" s="138">
        <f>'Contracts Paid in CY 29'!F141</f>
        <v>125000</v>
      </c>
      <c r="D7798" s="2" t="str">
        <f t="shared" si="127"/>
        <v>Error?</v>
      </c>
      <c r="E7798" s="4" t="s">
        <v>2019</v>
      </c>
    </row>
    <row r="7799" spans="1:5" x14ac:dyDescent="0.2">
      <c r="A7799">
        <v>7738</v>
      </c>
      <c r="B7799" s="138">
        <f>'Contracts Paid in CY 29'!G141</f>
        <v>235831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Emmons SD 33</v>
      </c>
      <c r="B7" s="2422"/>
      <c r="C7" s="2422"/>
      <c r="D7" s="2423"/>
      <c r="E7" s="2424">
        <f>COVER!A13</f>
        <v>34049033002</v>
      </c>
      <c r="F7" s="2425"/>
      <c r="G7" s="2431" t="str">
        <f>COVER!T23</f>
        <v>060-003973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EVANS, MARSHALL &amp; PEASE, P.C.</v>
      </c>
      <c r="H9" s="2437"/>
      <c r="I9" s="2437"/>
      <c r="J9" s="2437"/>
      <c r="K9" s="2437"/>
      <c r="L9" s="2438"/>
    </row>
    <row r="10" spans="1:29" ht="13.5" customHeight="1" x14ac:dyDescent="0.2">
      <c r="A10" s="2411">
        <f>COVER!A38</f>
        <v>0</v>
      </c>
      <c r="B10" s="2412"/>
      <c r="C10" s="2412"/>
      <c r="D10" s="2412"/>
      <c r="E10" s="2412"/>
      <c r="F10" s="2413"/>
      <c r="G10" s="2405" t="str">
        <f>COVER!T17</f>
        <v>1875 HICKS ROAD</v>
      </c>
      <c r="H10" s="2406"/>
      <c r="I10" s="2406"/>
      <c r="J10" s="2406"/>
      <c r="K10" s="2406"/>
      <c r="L10" s="2407"/>
    </row>
    <row r="11" spans="1:29" ht="13.5" customHeight="1" x14ac:dyDescent="0.2">
      <c r="A11" s="1185" t="s">
        <v>1599</v>
      </c>
      <c r="B11" s="1186"/>
      <c r="C11" s="1187"/>
      <c r="D11" s="1192"/>
      <c r="E11" s="1187"/>
      <c r="F11" s="1191"/>
      <c r="G11" s="2405" t="str">
        <f>COVER!T19</f>
        <v>ROLLING  MEADOWS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f>COVER!T25</f>
        <v>0</v>
      </c>
      <c r="J13" s="2418"/>
      <c r="K13" s="2418"/>
      <c r="L13" s="2419"/>
    </row>
    <row r="14" spans="1:29" ht="13.5" customHeight="1" x14ac:dyDescent="0.2">
      <c r="A14" s="2405" t="str">
        <f>COVER!A19</f>
        <v xml:space="preserve">24226 W. BEACH GROVE RD. </v>
      </c>
      <c r="B14" s="2406"/>
      <c r="C14" s="2406"/>
      <c r="D14" s="2406"/>
      <c r="E14" s="2406"/>
      <c r="F14" s="2407"/>
      <c r="G14" s="1196" t="s">
        <v>1247</v>
      </c>
      <c r="H14" s="1194"/>
      <c r="I14" s="1194"/>
      <c r="J14" s="1194"/>
      <c r="K14" s="1194"/>
      <c r="L14" s="1195"/>
    </row>
    <row r="15" spans="1:29" ht="13.5" customHeight="1" x14ac:dyDescent="0.2">
      <c r="A15" s="2405" t="str">
        <f>COVER!A21</f>
        <v>ANTIOCH</v>
      </c>
      <c r="B15" s="2406"/>
      <c r="C15" s="2406"/>
      <c r="D15" s="2406"/>
      <c r="E15" s="2406"/>
      <c r="F15" s="2407"/>
      <c r="G15" s="2402" t="str">
        <f>COVER!T15</f>
        <v>JEFFERY M. ROLLEFSON</v>
      </c>
      <c r="H15" s="2403"/>
      <c r="I15" s="2403"/>
      <c r="J15" s="2403"/>
      <c r="K15" s="2403"/>
      <c r="L15" s="2404"/>
    </row>
    <row r="16" spans="1:29" ht="12.2" customHeight="1" x14ac:dyDescent="0.2">
      <c r="A16" s="2427">
        <f>COVER!A25</f>
        <v>60002</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847-221-5700</v>
      </c>
      <c r="H18" s="2422"/>
      <c r="I18" s="2422"/>
      <c r="J18" s="2422"/>
      <c r="K18" s="2421" t="str">
        <f>COVER!X21</f>
        <v>847-221-5701</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Emmons SD 33</v>
      </c>
      <c r="B1" s="2420"/>
      <c r="C1" s="2420"/>
      <c r="D1" s="2420"/>
    </row>
    <row r="2" spans="1:11" s="1215" customFormat="1" ht="12.75" x14ac:dyDescent="0.2">
      <c r="A2" s="2444">
        <f>'Single Audit Cover'!E7</f>
        <v>34049033002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Emmons SD 33</v>
      </c>
      <c r="B1" s="2447"/>
      <c r="C1" s="2447"/>
      <c r="D1" s="2447"/>
      <c r="E1" s="2447"/>
    </row>
    <row r="2" spans="1:5" x14ac:dyDescent="0.2">
      <c r="A2" s="2448">
        <f>'Single Audit Cover'!E7</f>
        <v>34049033002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60215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60215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60215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60215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Emmons SD 33</v>
      </c>
      <c r="B1" s="2460"/>
      <c r="C1" s="2460"/>
      <c r="D1" s="2460"/>
      <c r="E1" s="2460"/>
      <c r="F1" s="2460"/>
    </row>
    <row r="2" spans="1:7" ht="13.5" customHeight="1" x14ac:dyDescent="0.2">
      <c r="A2" s="2461">
        <f>'Single Audit Cover'!E7</f>
        <v>34049033002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Emmons SD 33</v>
      </c>
      <c r="C1" s="2464"/>
      <c r="D1" s="2464"/>
      <c r="E1" s="2464"/>
      <c r="F1" s="2464"/>
      <c r="G1" s="2464"/>
      <c r="H1" s="2464"/>
      <c r="I1" s="2464"/>
      <c r="J1" s="2464"/>
      <c r="K1" s="2464"/>
      <c r="L1" s="2464"/>
      <c r="M1" s="2464"/>
    </row>
    <row r="2" spans="2:14" ht="15" x14ac:dyDescent="0.2">
      <c r="B2" s="2461">
        <f>'Single Audit Cover'!E7</f>
        <v>34049033002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2101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Emmons SD 33</v>
      </c>
      <c r="C1" s="2479"/>
      <c r="D1" s="2479"/>
      <c r="E1" s="2479"/>
      <c r="F1" s="2479"/>
      <c r="G1" s="2479"/>
      <c r="H1" s="2479"/>
      <c r="I1" s="2479"/>
      <c r="J1" s="1422"/>
    </row>
    <row r="2" spans="2:10" s="317" customFormat="1" ht="12.75" customHeight="1" x14ac:dyDescent="0.2">
      <c r="B2" s="2480">
        <f>'Single Audit Cover'!E7</f>
        <v>34049033002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Emmons SD 33</v>
      </c>
      <c r="C1" s="2478"/>
      <c r="D1" s="2478"/>
      <c r="E1" s="2478"/>
      <c r="F1" s="2478"/>
      <c r="G1" s="2478"/>
      <c r="H1" s="2478"/>
      <c r="I1" s="2478"/>
      <c r="J1" s="2478"/>
      <c r="K1" s="2478"/>
      <c r="L1" s="1374"/>
      <c r="M1" s="1374"/>
    </row>
    <row r="2" spans="1:13" ht="12" customHeight="1" x14ac:dyDescent="0.2">
      <c r="B2" s="2480">
        <f>'Single Audit Cover'!E7</f>
        <v>34049033002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Emmons SD 33</v>
      </c>
      <c r="C1" s="2501"/>
      <c r="D1" s="2501"/>
      <c r="E1" s="2501"/>
      <c r="F1" s="2501"/>
      <c r="G1" s="2501"/>
      <c r="H1" s="2501"/>
      <c r="I1" s="2501"/>
      <c r="J1" s="2501"/>
      <c r="K1" s="2501"/>
      <c r="L1" s="1465"/>
    </row>
    <row r="2" spans="1:12" ht="12.75" customHeight="1" x14ac:dyDescent="0.2">
      <c r="B2" s="2502">
        <f>'Single Audit Cover'!E7</f>
        <v>34049033002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Emmons SD 33</v>
      </c>
      <c r="C1" s="2478"/>
      <c r="D1" s="2478"/>
      <c r="E1" s="1491"/>
    </row>
    <row r="2" spans="2:5" s="1282" customFormat="1" ht="12.75" customHeight="1" x14ac:dyDescent="0.2">
      <c r="B2" s="2480">
        <f>'Single Audit Cover'!E7</f>
        <v>34049033002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106413638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2.92E-2</v>
      </c>
      <c r="E10" s="356" t="s">
        <v>1062</v>
      </c>
      <c r="F10" s="355">
        <v>5.2700000000000004E-3</v>
      </c>
      <c r="G10" s="356" t="s">
        <v>1062</v>
      </c>
      <c r="H10" s="355">
        <v>1.3619999999999999E-3</v>
      </c>
      <c r="I10" s="356" t="s">
        <v>1063</v>
      </c>
      <c r="J10" s="1754">
        <f>ROUND(D10+F10+H10,5)</f>
        <v>3.5830000000000001E-2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4697351</v>
      </c>
      <c r="E16" s="356"/>
      <c r="F16" s="1755">
        <f>SUM('Acct Summary 7-8'!C17,'Acct Summary 7-8'!D17,'Acct Summary 7-8'!F17)</f>
        <v>4074584</v>
      </c>
      <c r="G16" s="356"/>
      <c r="H16" s="1755">
        <f>SUM(D16-F16)</f>
        <v>622767</v>
      </c>
      <c r="I16" s="222"/>
      <c r="J16" s="1755">
        <f>SUM('Acct Summary 7-8'!C81,'Acct Summary 7-8'!D81,'Acct Summary 7-8'!F81,'Acct Summary 7-8'!I81)</f>
        <v>4000267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7342541.0220000008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6469310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38" sqref="A38:H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Emmons SD 33</v>
      </c>
      <c r="E7" s="391"/>
      <c r="G7" s="252"/>
      <c r="H7" s="387"/>
      <c r="I7" s="387"/>
      <c r="J7" s="387"/>
      <c r="K7" s="387"/>
      <c r="L7" s="329"/>
      <c r="M7" s="329"/>
      <c r="N7" s="329"/>
      <c r="O7" s="329"/>
      <c r="P7" s="329"/>
    </row>
    <row r="8" spans="1:18" ht="12.75" x14ac:dyDescent="0.2">
      <c r="A8" s="329"/>
      <c r="B8" s="329"/>
      <c r="C8" s="389" t="s">
        <v>1187</v>
      </c>
      <c r="D8" s="392">
        <f>COVER!A13</f>
        <v>34049033002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4000267</v>
      </c>
      <c r="I12" s="404"/>
      <c r="J12" s="404"/>
      <c r="K12" s="405">
        <f>TRUNC((H12/H13*100000),5)/100000</f>
        <v>0.85160061480000004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4697351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4074584</v>
      </c>
      <c r="I17" s="404"/>
      <c r="J17" s="416"/>
      <c r="K17" s="405">
        <f>TRUNC((H17/H18*100000),5)/100000</f>
        <v>0.86742165949999994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4697351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4000267</v>
      </c>
      <c r="I24" s="422"/>
      <c r="J24" s="422"/>
      <c r="K24" s="423">
        <f>TRUNC(((H24/H25*100000)/100000),2)</f>
        <v>353.43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11318.28889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3240880.55211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6469310</v>
      </c>
      <c r="I32" s="420"/>
      <c r="J32" s="420"/>
      <c r="K32" s="423">
        <f>TRUNC(100-((((H32/H33*100))*100)/100),2)</f>
        <v>11.89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7342541.0220000008</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9" activePane="bottomLeft" state="frozen"/>
      <selection activeCell="A38" sqref="A38:H38"/>
      <selection pane="bottomLeft" activeCell="A38" sqref="A38: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2656521</v>
      </c>
      <c r="D4" s="466">
        <v>972534</v>
      </c>
      <c r="E4" s="466">
        <v>170189</v>
      </c>
      <c r="F4" s="466">
        <v>217910</v>
      </c>
      <c r="G4" s="466">
        <v>93373</v>
      </c>
      <c r="H4" s="466"/>
      <c r="I4" s="466">
        <v>153302</v>
      </c>
      <c r="J4" s="467">
        <v>32178</v>
      </c>
      <c r="K4" s="466"/>
      <c r="L4" s="466">
        <v>18576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2656521</v>
      </c>
      <c r="D13" s="1759">
        <f t="shared" ref="D13:L13" si="0">SUM(D4:D12)</f>
        <v>972534</v>
      </c>
      <c r="E13" s="1759">
        <f t="shared" si="0"/>
        <v>170189</v>
      </c>
      <c r="F13" s="1759">
        <f t="shared" si="0"/>
        <v>217910</v>
      </c>
      <c r="G13" s="1759">
        <f t="shared" si="0"/>
        <v>93373</v>
      </c>
      <c r="H13" s="1759">
        <f t="shared" si="0"/>
        <v>0</v>
      </c>
      <c r="I13" s="1759">
        <f t="shared" si="0"/>
        <v>153302</v>
      </c>
      <c r="J13" s="1759">
        <f t="shared" si="0"/>
        <v>32178</v>
      </c>
      <c r="K13" s="1759">
        <f t="shared" si="0"/>
        <v>0</v>
      </c>
      <c r="L13" s="1759">
        <f t="shared" si="0"/>
        <v>18576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20000</v>
      </c>
      <c r="N16" s="484"/>
    </row>
    <row r="17" spans="1:14" s="485" customFormat="1" ht="12.75" customHeight="1" x14ac:dyDescent="0.2">
      <c r="A17" s="482" t="s">
        <v>1470</v>
      </c>
      <c r="B17" s="483">
        <v>230</v>
      </c>
      <c r="C17" s="477"/>
      <c r="D17" s="477"/>
      <c r="E17" s="477"/>
      <c r="F17" s="477"/>
      <c r="G17" s="477"/>
      <c r="H17" s="477"/>
      <c r="I17" s="477"/>
      <c r="J17" s="477"/>
      <c r="K17" s="477"/>
      <c r="L17" s="477"/>
      <c r="M17" s="467">
        <v>11067553</v>
      </c>
      <c r="N17" s="484"/>
    </row>
    <row r="18" spans="1:14" s="485" customFormat="1" ht="12.75" customHeight="1" x14ac:dyDescent="0.2">
      <c r="A18" s="482" t="s">
        <v>1471</v>
      </c>
      <c r="B18" s="483">
        <v>240</v>
      </c>
      <c r="C18" s="477"/>
      <c r="D18" s="477"/>
      <c r="E18" s="477"/>
      <c r="F18" s="477"/>
      <c r="G18" s="477"/>
      <c r="H18" s="477"/>
      <c r="I18" s="477"/>
      <c r="J18" s="477"/>
      <c r="K18" s="477"/>
      <c r="L18" s="477"/>
      <c r="M18" s="467">
        <v>278576</v>
      </c>
      <c r="N18" s="484"/>
    </row>
    <row r="19" spans="1:14" s="485" customFormat="1" ht="12.75" customHeight="1" x14ac:dyDescent="0.2">
      <c r="A19" s="482" t="s">
        <v>1472</v>
      </c>
      <c r="B19" s="483">
        <v>250</v>
      </c>
      <c r="C19" s="477"/>
      <c r="D19" s="477"/>
      <c r="E19" s="477"/>
      <c r="F19" s="477"/>
      <c r="G19" s="477"/>
      <c r="H19" s="477"/>
      <c r="I19" s="477"/>
      <c r="J19" s="477"/>
      <c r="K19" s="477"/>
      <c r="L19" s="477"/>
      <c r="M19" s="467">
        <v>1112358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170189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6299121</v>
      </c>
    </row>
    <row r="23" spans="1:14" ht="13.5" customHeight="1" thickBot="1" x14ac:dyDescent="0.25">
      <c r="A23" s="1758" t="s">
        <v>664</v>
      </c>
      <c r="B23" s="1763"/>
      <c r="C23" s="468"/>
      <c r="D23" s="468"/>
      <c r="E23" s="468"/>
      <c r="F23" s="468"/>
      <c r="G23" s="468"/>
      <c r="H23" s="468"/>
      <c r="I23" s="468"/>
      <c r="J23" s="468"/>
      <c r="K23" s="468"/>
      <c r="L23" s="468"/>
      <c r="M23" s="1710">
        <f>SUM(M15:M22)</f>
        <v>12478487</v>
      </c>
      <c r="N23" s="1710">
        <f>SUM(N21:N22)</f>
        <v>6469310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18576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18576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6469310</v>
      </c>
    </row>
    <row r="37" spans="1:14" ht="13.5" thickBot="1" x14ac:dyDescent="0.25">
      <c r="A37" s="1758" t="s">
        <v>674</v>
      </c>
      <c r="B37" s="1763"/>
      <c r="C37" s="477"/>
      <c r="D37" s="477"/>
      <c r="E37" s="477"/>
      <c r="F37" s="477"/>
      <c r="G37" s="477"/>
      <c r="H37" s="477"/>
      <c r="I37" s="477"/>
      <c r="J37" s="477"/>
      <c r="K37" s="477"/>
      <c r="L37" s="480"/>
      <c r="M37" s="468"/>
      <c r="N37" s="1710">
        <f>SUM(N36:N36)</f>
        <v>6469310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2656521</v>
      </c>
      <c r="D39" s="466">
        <v>972534</v>
      </c>
      <c r="E39" s="466">
        <v>170189</v>
      </c>
      <c r="F39" s="466">
        <v>217910</v>
      </c>
      <c r="G39" s="466">
        <v>93373</v>
      </c>
      <c r="H39" s="466"/>
      <c r="I39" s="466">
        <v>153302</v>
      </c>
      <c r="J39" s="467">
        <v>32178</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12478487</v>
      </c>
      <c r="N40" s="497"/>
    </row>
    <row r="41" spans="1:14" ht="13.5" customHeight="1" thickBot="1" x14ac:dyDescent="0.25">
      <c r="A41" s="1758" t="s">
        <v>676</v>
      </c>
      <c r="B41" s="1728"/>
      <c r="C41" s="1710">
        <f>(SUM(C34,C37,C38,C39))</f>
        <v>2656521</v>
      </c>
      <c r="D41" s="1710">
        <f t="shared" ref="D41:L41" si="2">SUM(D34,D37,D38:D39)</f>
        <v>972534</v>
      </c>
      <c r="E41" s="1710">
        <f t="shared" si="2"/>
        <v>170189</v>
      </c>
      <c r="F41" s="1710">
        <f t="shared" si="2"/>
        <v>217910</v>
      </c>
      <c r="G41" s="1710">
        <f t="shared" si="2"/>
        <v>93373</v>
      </c>
      <c r="H41" s="1710">
        <f t="shared" si="2"/>
        <v>0</v>
      </c>
      <c r="I41" s="1710">
        <f t="shared" si="2"/>
        <v>153302</v>
      </c>
      <c r="J41" s="1710">
        <f t="shared" si="2"/>
        <v>32178</v>
      </c>
      <c r="K41" s="1710">
        <f t="shared" si="2"/>
        <v>0</v>
      </c>
      <c r="L41" s="1710">
        <f t="shared" si="2"/>
        <v>18576</v>
      </c>
      <c r="M41" s="1710">
        <f>SUM(M40)</f>
        <v>12478487</v>
      </c>
      <c r="N41" s="1710">
        <f>SUM(N37)</f>
        <v>6469310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38" sqref="A38:H38"/>
      <selection pane="bottomLeft" activeCell="A38" sqref="A38:H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3437600</v>
      </c>
      <c r="D4" s="1764">
        <f>'Revenues 9-14'!D109</f>
        <v>629431</v>
      </c>
      <c r="E4" s="1764">
        <f>'Revenues 9-14'!E109</f>
        <v>491575</v>
      </c>
      <c r="F4" s="1764">
        <f>'Revenues 9-14'!F109</f>
        <v>151440</v>
      </c>
      <c r="G4" s="1764">
        <f>'Revenues 9-14'!G109</f>
        <v>103595</v>
      </c>
      <c r="H4" s="1764">
        <f>'Revenues 9-14'!H109</f>
        <v>0</v>
      </c>
      <c r="I4" s="1764">
        <f>'Revenues 9-14'!I109</f>
        <v>1749</v>
      </c>
      <c r="J4" s="1764">
        <f>'Revenues 9-14'!J109</f>
        <v>50549</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276882</v>
      </c>
      <c r="D6" s="1765">
        <f>'Revenues 9-14'!D173</f>
        <v>0</v>
      </c>
      <c r="E6" s="1765">
        <f>'Revenues 9-14'!E173</f>
        <v>0</v>
      </c>
      <c r="F6" s="1765">
        <f>'Revenues 9-14'!F173</f>
        <v>140034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60215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3774697</v>
      </c>
      <c r="D8" s="1710">
        <f t="shared" ref="D8:K8" si="0">SUM(D4:D7)</f>
        <v>629431</v>
      </c>
      <c r="E8" s="1710">
        <f t="shared" si="0"/>
        <v>491575</v>
      </c>
      <c r="F8" s="1710">
        <f t="shared" si="0"/>
        <v>291474</v>
      </c>
      <c r="G8" s="1710">
        <f t="shared" si="0"/>
        <v>103595</v>
      </c>
      <c r="H8" s="1710">
        <f t="shared" si="0"/>
        <v>0</v>
      </c>
      <c r="I8" s="1710">
        <f t="shared" si="0"/>
        <v>1749</v>
      </c>
      <c r="J8" s="1710">
        <f t="shared" si="0"/>
        <v>50549</v>
      </c>
      <c r="K8" s="1710">
        <f t="shared" si="0"/>
        <v>0</v>
      </c>
      <c r="L8" s="347"/>
    </row>
    <row r="9" spans="1:13" ht="15.75" thickTop="1" x14ac:dyDescent="0.2">
      <c r="A9" s="514" t="s">
        <v>1752</v>
      </c>
      <c r="B9" s="515">
        <v>3998</v>
      </c>
      <c r="C9" s="481">
        <v>1441307</v>
      </c>
      <c r="D9" s="516"/>
      <c r="E9" s="481"/>
      <c r="F9" s="481"/>
      <c r="G9" s="517"/>
      <c r="H9" s="481"/>
      <c r="I9" s="509" t="s">
        <v>1231</v>
      </c>
      <c r="J9" s="478"/>
      <c r="K9" s="481"/>
      <c r="L9" s="347"/>
    </row>
    <row r="10" spans="1:13" s="519" customFormat="1" ht="13.5" thickBot="1" x14ac:dyDescent="0.25">
      <c r="A10" s="1758" t="s">
        <v>1235</v>
      </c>
      <c r="B10" s="1731"/>
      <c r="C10" s="1710">
        <f>SUM(C8:C9)</f>
        <v>5216004</v>
      </c>
      <c r="D10" s="1710">
        <f t="shared" ref="D10:K10" si="1">SUM(D8:D9)</f>
        <v>629431</v>
      </c>
      <c r="E10" s="1710">
        <f t="shared" si="1"/>
        <v>491575</v>
      </c>
      <c r="F10" s="1710">
        <f t="shared" si="1"/>
        <v>291474</v>
      </c>
      <c r="G10" s="1710">
        <f t="shared" si="1"/>
        <v>103595</v>
      </c>
      <c r="H10" s="1710">
        <f t="shared" si="1"/>
        <v>0</v>
      </c>
      <c r="I10" s="1710">
        <f t="shared" si="1"/>
        <v>1749</v>
      </c>
      <c r="J10" s="1710">
        <f t="shared" si="1"/>
        <v>50549</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2417449</v>
      </c>
      <c r="D12" s="520" t="s">
        <v>1231</v>
      </c>
      <c r="E12" s="468" t="s">
        <v>1231</v>
      </c>
      <c r="F12" s="468" t="s">
        <v>1231</v>
      </c>
      <c r="G12" s="1764">
        <f>'Expenditures 15-22'!K229</f>
        <v>45299</v>
      </c>
      <c r="H12" s="521"/>
      <c r="I12" s="468" t="s">
        <v>1231</v>
      </c>
      <c r="J12" s="468" t="s">
        <v>1231</v>
      </c>
      <c r="K12" s="521" t="s">
        <v>1231</v>
      </c>
      <c r="L12" s="347"/>
    </row>
    <row r="13" spans="1:13" ht="15.75" customHeight="1" x14ac:dyDescent="0.2">
      <c r="A13" s="1598" t="s">
        <v>477</v>
      </c>
      <c r="B13" s="1600">
        <v>2000</v>
      </c>
      <c r="C13" s="1765">
        <f>'Expenditures 15-22'!K74</f>
        <v>850086</v>
      </c>
      <c r="D13" s="1765">
        <f>'Expenditures 15-22'!K129</f>
        <v>442637</v>
      </c>
      <c r="E13" s="469" t="s">
        <v>1231</v>
      </c>
      <c r="F13" s="1765">
        <f>'Expenditures 15-22'!K184</f>
        <v>207160</v>
      </c>
      <c r="G13" s="1765">
        <f>'Expenditures 15-22'!K279</f>
        <v>72581</v>
      </c>
      <c r="H13" s="1765">
        <f>'Expenditures 15-22'!K303</f>
        <v>0</v>
      </c>
      <c r="I13" s="468" t="s">
        <v>1231</v>
      </c>
      <c r="J13" s="1765">
        <f>'Expenditures 15-22'!K330</f>
        <v>41959</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157252</v>
      </c>
      <c r="D15" s="1765">
        <f>'Expenditures 15-22'!K139</f>
        <v>0</v>
      </c>
      <c r="E15" s="1765">
        <f>'Expenditures 15-22'!K160</f>
        <v>0</v>
      </c>
      <c r="F15" s="1765">
        <f>'Expenditures 15-22'!K196</f>
        <v>0</v>
      </c>
      <c r="G15" s="1765">
        <f>'Expenditures 15-22'!K285</f>
        <v>7995</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467945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3424787</v>
      </c>
      <c r="D17" s="1710">
        <f t="shared" si="2"/>
        <v>442637</v>
      </c>
      <c r="E17" s="1710">
        <f t="shared" si="2"/>
        <v>467945</v>
      </c>
      <c r="F17" s="1710">
        <f t="shared" si="2"/>
        <v>207160</v>
      </c>
      <c r="G17" s="1710">
        <f t="shared" si="2"/>
        <v>125875</v>
      </c>
      <c r="H17" s="1710">
        <f t="shared" si="2"/>
        <v>0</v>
      </c>
      <c r="I17" s="468"/>
      <c r="J17" s="1710">
        <f>SUM(J12:J16)</f>
        <v>41959</v>
      </c>
      <c r="K17" s="1710">
        <f>SUM(K12:K16)</f>
        <v>0</v>
      </c>
      <c r="L17" s="347"/>
    </row>
    <row r="18" spans="1:12" ht="15" customHeight="1" thickTop="1" x14ac:dyDescent="0.2">
      <c r="A18" s="1766" t="s">
        <v>1753</v>
      </c>
      <c r="B18" s="1767">
        <v>4180</v>
      </c>
      <c r="C18" s="1764">
        <f t="shared" ref="C18:H18" si="3">C9</f>
        <v>1441307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4866094</v>
      </c>
      <c r="D19" s="1710">
        <f t="shared" si="4"/>
        <v>442637</v>
      </c>
      <c r="E19" s="1710">
        <f t="shared" si="4"/>
        <v>467945</v>
      </c>
      <c r="F19" s="1710">
        <f t="shared" si="4"/>
        <v>207160</v>
      </c>
      <c r="G19" s="1710">
        <f t="shared" si="4"/>
        <v>125875</v>
      </c>
      <c r="H19" s="1710">
        <f t="shared" si="4"/>
        <v>0</v>
      </c>
      <c r="I19" s="468"/>
      <c r="J19" s="1710">
        <f>SUM(J17:J18)</f>
        <v>41959</v>
      </c>
      <c r="K19" s="1710">
        <f>SUM(K17:K18)</f>
        <v>0</v>
      </c>
      <c r="L19" s="347"/>
    </row>
    <row r="20" spans="1:12" ht="16.5" thickTop="1" thickBot="1" x14ac:dyDescent="0.25">
      <c r="A20" s="2144" t="s">
        <v>1754</v>
      </c>
      <c r="B20" s="2145"/>
      <c r="C20" s="1768">
        <f>C8-C17</f>
        <v>349910</v>
      </c>
      <c r="D20" s="1768">
        <f t="shared" ref="D20:K20" si="5">D8-D17</f>
        <v>186794</v>
      </c>
      <c r="E20" s="1768">
        <f t="shared" si="5"/>
        <v>23630</v>
      </c>
      <c r="F20" s="1768">
        <f t="shared" si="5"/>
        <v>84314</v>
      </c>
      <c r="G20" s="1768">
        <f t="shared" si="5"/>
        <v>-22280</v>
      </c>
      <c r="H20" s="1768">
        <f t="shared" si="5"/>
        <v>0</v>
      </c>
      <c r="I20" s="1768">
        <f t="shared" si="5"/>
        <v>1749</v>
      </c>
      <c r="J20" s="1768">
        <f t="shared" si="5"/>
        <v>8590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349910</v>
      </c>
      <c r="D78" s="1724">
        <f t="shared" si="9"/>
        <v>186794</v>
      </c>
      <c r="E78" s="1724">
        <f t="shared" si="9"/>
        <v>23630</v>
      </c>
      <c r="F78" s="1724">
        <f t="shared" si="9"/>
        <v>84314</v>
      </c>
      <c r="G78" s="1724">
        <f t="shared" si="9"/>
        <v>-22280</v>
      </c>
      <c r="H78" s="1724">
        <f t="shared" si="9"/>
        <v>0</v>
      </c>
      <c r="I78" s="1724">
        <f t="shared" si="9"/>
        <v>1749</v>
      </c>
      <c r="J78" s="1724">
        <f t="shared" si="9"/>
        <v>8590</v>
      </c>
      <c r="K78" s="1724">
        <f t="shared" si="9"/>
        <v>0</v>
      </c>
      <c r="L78" s="533"/>
    </row>
    <row r="79" spans="1:12" ht="13.5" thickTop="1" x14ac:dyDescent="0.2">
      <c r="A79" s="1516" t="s">
        <v>2071</v>
      </c>
      <c r="B79" s="534"/>
      <c r="C79" s="478">
        <v>2306611</v>
      </c>
      <c r="D79" s="535">
        <v>785740</v>
      </c>
      <c r="E79" s="535">
        <v>146559</v>
      </c>
      <c r="F79" s="535">
        <v>133596</v>
      </c>
      <c r="G79" s="535">
        <v>115653</v>
      </c>
      <c r="H79" s="535"/>
      <c r="I79" s="535">
        <v>151553</v>
      </c>
      <c r="J79" s="535">
        <v>23588</v>
      </c>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2656521</v>
      </c>
      <c r="D81" s="1710">
        <f>SUM(D78:D80)</f>
        <v>972534</v>
      </c>
      <c r="E81" s="1710">
        <f t="shared" ref="E81:K81" si="10">SUM(E78:E80)</f>
        <v>170189</v>
      </c>
      <c r="F81" s="1710">
        <f t="shared" si="10"/>
        <v>217910</v>
      </c>
      <c r="G81" s="1710">
        <f t="shared" si="10"/>
        <v>93373</v>
      </c>
      <c r="H81" s="1710">
        <f t="shared" si="10"/>
        <v>0</v>
      </c>
      <c r="I81" s="1710">
        <f t="shared" si="10"/>
        <v>153302</v>
      </c>
      <c r="J81" s="1710">
        <f t="shared" si="10"/>
        <v>32178</v>
      </c>
      <c r="K81" s="1710">
        <f t="shared" si="10"/>
        <v>0</v>
      </c>
      <c r="L81" s="347"/>
    </row>
    <row r="82" spans="1:12" ht="0.75" customHeight="1" thickTop="1" thickBot="1" x14ac:dyDescent="0.25">
      <c r="A82" s="536" t="s">
        <v>361</v>
      </c>
      <c r="B82" s="537"/>
      <c r="C82" s="538">
        <f>(C81-C79)</f>
        <v>349910</v>
      </c>
      <c r="D82" s="538">
        <f t="shared" ref="D82:K82" si="11">(D81-D79)</f>
        <v>186794</v>
      </c>
      <c r="E82" s="538">
        <f t="shared" si="11"/>
        <v>23630</v>
      </c>
      <c r="F82" s="538">
        <f t="shared" si="11"/>
        <v>84314</v>
      </c>
      <c r="G82" s="538">
        <f t="shared" si="11"/>
        <v>-22280</v>
      </c>
      <c r="H82" s="538">
        <f t="shared" si="11"/>
        <v>0</v>
      </c>
      <c r="I82" s="538">
        <f t="shared" si="11"/>
        <v>1749</v>
      </c>
      <c r="J82" s="538">
        <f t="shared" si="11"/>
        <v>8590</v>
      </c>
      <c r="K82" s="538">
        <f t="shared" si="11"/>
        <v>0</v>
      </c>
    </row>
    <row r="83" spans="1:12" ht="14.25" hidden="1" thickTop="1" thickBot="1" x14ac:dyDescent="0.25">
      <c r="A83" s="539" t="s">
        <v>362</v>
      </c>
      <c r="B83" s="464"/>
      <c r="C83" s="540">
        <f>C82/C81</f>
        <v>0.13171738525688298</v>
      </c>
      <c r="D83" s="540">
        <f t="shared" ref="D83:K83" si="12">D82/D81</f>
        <v>0.19206937752304803</v>
      </c>
      <c r="E83" s="540">
        <f t="shared" si="12"/>
        <v>0.13884563632197144</v>
      </c>
      <c r="F83" s="540">
        <f t="shared" si="12"/>
        <v>0.38692120600247809</v>
      </c>
      <c r="G83" s="540">
        <f t="shared" si="12"/>
        <v>-0.23861287524230773</v>
      </c>
      <c r="H83" s="540" t="e">
        <f t="shared" si="12"/>
        <v>#DIV/0!</v>
      </c>
      <c r="I83" s="540">
        <f t="shared" si="12"/>
        <v>1.1408853113462316E-2</v>
      </c>
      <c r="J83" s="540">
        <f t="shared" si="12"/>
        <v>0.26695257629436259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38" sqref="A38:H38"/>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3169979</v>
      </c>
      <c r="D5" s="481">
        <v>570942</v>
      </c>
      <c r="E5" s="466">
        <v>489033</v>
      </c>
      <c r="F5" s="548">
        <v>149393</v>
      </c>
      <c r="G5" s="466">
        <v>36622</v>
      </c>
      <c r="H5" s="466"/>
      <c r="I5" s="466"/>
      <c r="J5" s="467">
        <v>50410</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21439</v>
      </c>
      <c r="D7" s="466"/>
      <c r="E7" s="468"/>
      <c r="F7" s="467"/>
      <c r="G7" s="467"/>
      <c r="H7" s="467"/>
      <c r="I7" s="468"/>
      <c r="J7" s="468"/>
      <c r="K7" s="468"/>
    </row>
    <row r="8" spans="1:12" x14ac:dyDescent="0.2">
      <c r="A8" s="463" t="s">
        <v>433</v>
      </c>
      <c r="B8" s="470">
        <v>1150</v>
      </c>
      <c r="C8" s="475"/>
      <c r="D8" s="475"/>
      <c r="E8" s="477"/>
      <c r="F8" s="477"/>
      <c r="G8" s="481">
        <v>56493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8080</v>
      </c>
      <c r="H11" s="466"/>
      <c r="I11" s="466"/>
      <c r="J11" s="467"/>
      <c r="K11" s="466"/>
      <c r="L11" s="552"/>
    </row>
    <row r="12" spans="1:12" ht="12.75" customHeight="1" thickBot="1" x14ac:dyDescent="0.25">
      <c r="A12" s="1727" t="s">
        <v>29</v>
      </c>
      <c r="B12" s="1728"/>
      <c r="C12" s="1729">
        <f t="shared" ref="C12:K12" si="0">SUM(C5:C11)</f>
        <v>3191418</v>
      </c>
      <c r="D12" s="1729">
        <f t="shared" si="0"/>
        <v>570942</v>
      </c>
      <c r="E12" s="1729">
        <f t="shared" si="0"/>
        <v>489033</v>
      </c>
      <c r="F12" s="1729">
        <f t="shared" si="0"/>
        <v>149393</v>
      </c>
      <c r="G12" s="1729">
        <f t="shared" si="0"/>
        <v>101195</v>
      </c>
      <c r="H12" s="1729">
        <f t="shared" si="0"/>
        <v>0</v>
      </c>
      <c r="I12" s="1729">
        <f t="shared" si="0"/>
        <v>0</v>
      </c>
      <c r="J12" s="1729">
        <f t="shared" si="0"/>
        <v>50410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7964</v>
      </c>
      <c r="D16" s="466">
        <v>1520</v>
      </c>
      <c r="E16" s="466">
        <v>1000</v>
      </c>
      <c r="F16" s="466"/>
      <c r="G16" s="466">
        <v>1364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7964</v>
      </c>
      <c r="D18" s="1732">
        <f t="shared" ref="D18:K18" si="1">SUM(D14:D17)</f>
        <v>1520</v>
      </c>
      <c r="E18" s="1732">
        <f t="shared" si="1"/>
        <v>1000</v>
      </c>
      <c r="F18" s="1732">
        <f t="shared" si="1"/>
        <v>0</v>
      </c>
      <c r="G18" s="1732">
        <f t="shared" si="1"/>
        <v>1364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25816</v>
      </c>
      <c r="D65" s="466">
        <v>7814</v>
      </c>
      <c r="E65" s="466">
        <v>1542</v>
      </c>
      <c r="F65" s="467">
        <v>2047</v>
      </c>
      <c r="G65" s="466">
        <v>1036</v>
      </c>
      <c r="H65" s="466"/>
      <c r="I65" s="466">
        <v>1749</v>
      </c>
      <c r="J65" s="467">
        <v>139</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25816</v>
      </c>
      <c r="D67" s="1710">
        <f t="shared" ref="D67:K67" si="2">SUM(D65:D66)</f>
        <v>7814</v>
      </c>
      <c r="E67" s="1710">
        <f t="shared" si="2"/>
        <v>1542</v>
      </c>
      <c r="F67" s="1710">
        <f t="shared" si="2"/>
        <v>2047</v>
      </c>
      <c r="G67" s="1710">
        <f t="shared" si="2"/>
        <v>1036</v>
      </c>
      <c r="H67" s="1710">
        <f t="shared" si="2"/>
        <v>0</v>
      </c>
      <c r="I67" s="1710">
        <f t="shared" si="2"/>
        <v>1749</v>
      </c>
      <c r="J67" s="1710">
        <f t="shared" si="2"/>
        <v>139</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13816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1554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15370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2771</v>
      </c>
      <c r="D77" s="466"/>
      <c r="E77" s="468"/>
      <c r="F77" s="468"/>
      <c r="G77" s="468"/>
      <c r="H77" s="468"/>
      <c r="I77" s="468"/>
      <c r="J77" s="468"/>
      <c r="K77" s="468"/>
    </row>
    <row r="78" spans="1:11" ht="12.75" customHeight="1" x14ac:dyDescent="0.2">
      <c r="A78" s="463" t="s">
        <v>78</v>
      </c>
      <c r="B78" s="470">
        <v>1719</v>
      </c>
      <c r="C78" s="551">
        <v>13234</v>
      </c>
      <c r="D78" s="466"/>
      <c r="E78" s="468"/>
      <c r="F78" s="468"/>
      <c r="G78" s="468"/>
      <c r="H78" s="468"/>
      <c r="I78" s="468"/>
      <c r="J78" s="468"/>
      <c r="K78" s="468"/>
    </row>
    <row r="79" spans="1:11" ht="12.75" customHeight="1" x14ac:dyDescent="0.2">
      <c r="A79" s="463" t="s">
        <v>571</v>
      </c>
      <c r="B79" s="470">
        <v>1720</v>
      </c>
      <c r="C79" s="551">
        <v>15275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1679</v>
      </c>
      <c r="D81" s="466"/>
      <c r="E81" s="468"/>
      <c r="F81" s="468"/>
      <c r="G81" s="468"/>
      <c r="H81" s="468"/>
      <c r="I81" s="468"/>
      <c r="J81" s="468"/>
      <c r="K81" s="468"/>
    </row>
    <row r="82" spans="1:11" ht="12.75" customHeight="1" thickBot="1" x14ac:dyDescent="0.25">
      <c r="A82" s="1730" t="s">
        <v>259</v>
      </c>
      <c r="B82" s="1731"/>
      <c r="C82" s="1729">
        <f>SUM(C77:C81)</f>
        <v>32959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136913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136913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23665</v>
      </c>
      <c r="D96" s="551"/>
      <c r="E96" s="479"/>
      <c r="F96" s="478"/>
      <c r="G96" s="478"/>
      <c r="H96" s="478"/>
      <c r="I96" s="478"/>
      <c r="J96" s="478"/>
      <c r="K96" s="478"/>
    </row>
    <row r="97" spans="1:12" ht="12.75" customHeight="1" x14ac:dyDescent="0.2">
      <c r="A97" s="1517" t="s">
        <v>262</v>
      </c>
      <c r="B97" s="559">
        <v>1930</v>
      </c>
      <c r="C97" s="489"/>
      <c r="D97" s="467">
        <v>17070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750</v>
      </c>
      <c r="E106" s="467"/>
      <c r="F106" s="467"/>
      <c r="G106" s="467"/>
      <c r="H106" s="467"/>
      <c r="I106" s="521"/>
      <c r="J106" s="467"/>
      <c r="K106" s="467"/>
    </row>
    <row r="107" spans="1:12" ht="12.75" customHeight="1" x14ac:dyDescent="0.2">
      <c r="A107" s="463" t="s">
        <v>80</v>
      </c>
      <c r="B107" s="470">
        <v>1999</v>
      </c>
      <c r="C107" s="551">
        <v>3495</v>
      </c>
      <c r="D107" s="466">
        <v>31335</v>
      </c>
      <c r="E107" s="466"/>
      <c r="F107" s="466"/>
      <c r="G107" s="466"/>
      <c r="H107" s="466"/>
      <c r="I107" s="466"/>
      <c r="J107" s="467"/>
      <c r="K107" s="466"/>
    </row>
    <row r="108" spans="1:12" ht="12.75" customHeight="1" thickBot="1" x14ac:dyDescent="0.25">
      <c r="A108" s="1730" t="s">
        <v>508</v>
      </c>
      <c r="B108" s="1734"/>
      <c r="C108" s="1729">
        <f>SUM(C95:C107)</f>
        <v>27160</v>
      </c>
      <c r="D108" s="1729">
        <f t="shared" ref="D108:K108" si="3">SUM(D95:D107)</f>
        <v>49155</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3437600</v>
      </c>
      <c r="D109" s="1737">
        <f t="shared" si="4"/>
        <v>629431</v>
      </c>
      <c r="E109" s="1737">
        <f t="shared" si="4"/>
        <v>491575</v>
      </c>
      <c r="F109" s="1737">
        <f t="shared" si="4"/>
        <v>151440</v>
      </c>
      <c r="G109" s="1737">
        <f t="shared" si="4"/>
        <v>103595</v>
      </c>
      <c r="H109" s="1737">
        <f t="shared" si="4"/>
        <v>0</v>
      </c>
      <c r="I109" s="1737">
        <f t="shared" si="4"/>
        <v>1749</v>
      </c>
      <c r="J109" s="1737">
        <f t="shared" si="4"/>
        <v>50549</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217907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217907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9660</v>
      </c>
      <c r="D124" s="561"/>
      <c r="E124" s="468"/>
      <c r="F124" s="548"/>
      <c r="G124" s="468"/>
      <c r="H124" s="468"/>
      <c r="I124" s="468"/>
      <c r="J124" s="468"/>
      <c r="K124" s="468"/>
    </row>
    <row r="125" spans="1:11" ht="12.75" customHeight="1" x14ac:dyDescent="0.2">
      <c r="A125" s="463" t="s">
        <v>1521</v>
      </c>
      <c r="B125" s="562">
        <v>3105</v>
      </c>
      <c r="C125" s="466">
        <v>18134</v>
      </c>
      <c r="D125" s="561"/>
      <c r="E125" s="468"/>
      <c r="F125" s="466"/>
      <c r="G125" s="468"/>
      <c r="H125" s="468"/>
      <c r="I125" s="468"/>
      <c r="J125" s="468"/>
      <c r="K125" s="468"/>
    </row>
    <row r="126" spans="1:11" ht="12.75" customHeight="1" x14ac:dyDescent="0.2">
      <c r="A126" s="463" t="s">
        <v>922</v>
      </c>
      <c r="B126" s="562">
        <v>3110</v>
      </c>
      <c r="C126" s="551">
        <v>29401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126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57321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v>154</v>
      </c>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29832</v>
      </c>
      <c r="G151" s="467"/>
      <c r="H151" s="468"/>
      <c r="I151" s="468"/>
      <c r="J151" s="468"/>
      <c r="K151" s="468"/>
    </row>
    <row r="152" spans="1:11" ht="12.75" customHeight="1" x14ac:dyDescent="0.2">
      <c r="A152" s="463" t="s">
        <v>1117</v>
      </c>
      <c r="B152" s="562">
        <v>3510</v>
      </c>
      <c r="C152" s="551"/>
      <c r="D152" s="466"/>
      <c r="E152" s="561"/>
      <c r="F152" s="466">
        <v>110202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140034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58975</v>
      </c>
      <c r="D172" s="1744">
        <f t="shared" si="6"/>
        <v>0</v>
      </c>
      <c r="E172" s="1744">
        <f t="shared" si="6"/>
        <v>0</v>
      </c>
      <c r="F172" s="1744">
        <f t="shared" si="6"/>
        <v>140034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276882</v>
      </c>
      <c r="D173" s="1737">
        <f>SUM(D121,D172)</f>
        <v>0</v>
      </c>
      <c r="E173" s="1737">
        <f>SUM(E121,E172)</f>
        <v>0</v>
      </c>
      <c r="F173" s="1737">
        <f t="shared" ref="F173:K173" si="7">SUM(F121,F172)</f>
        <v>140034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14187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14187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4093</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4093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36460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36460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5475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60215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60215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3774697</v>
      </c>
      <c r="D275" s="1737">
        <f t="shared" si="12"/>
        <v>629431</v>
      </c>
      <c r="E275" s="1737">
        <f t="shared" si="12"/>
        <v>491575</v>
      </c>
      <c r="F275" s="1737">
        <f t="shared" si="12"/>
        <v>291474</v>
      </c>
      <c r="G275" s="1737">
        <f t="shared" si="12"/>
        <v>103595</v>
      </c>
      <c r="H275" s="1737">
        <f t="shared" si="12"/>
        <v>0</v>
      </c>
      <c r="I275" s="1737">
        <f t="shared" si="12"/>
        <v>1749</v>
      </c>
      <c r="J275" s="1737">
        <f t="shared" si="12"/>
        <v>50549</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29" activePane="bottomLeft" state="frozen"/>
      <selection activeCell="A38" sqref="A38:H38"/>
      <selection pane="bottomLeft" activeCell="A38" sqref="A38:H3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1528975</v>
      </c>
      <c r="D5" s="466">
        <v>300123</v>
      </c>
      <c r="E5" s="466">
        <v>110747</v>
      </c>
      <c r="F5" s="466">
        <v>114075</v>
      </c>
      <c r="G5" s="466">
        <v>8135</v>
      </c>
      <c r="H5" s="466"/>
      <c r="I5" s="467">
        <v>15843</v>
      </c>
      <c r="J5" s="467"/>
      <c r="K5" s="1693">
        <f>SUM(C5:J5)</f>
        <v>2077898</v>
      </c>
      <c r="L5" s="466">
        <v>2034225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250562</v>
      </c>
      <c r="D8" s="466">
        <v>9590</v>
      </c>
      <c r="E8" s="466">
        <v>7488</v>
      </c>
      <c r="F8" s="466">
        <v>4860</v>
      </c>
      <c r="G8" s="466"/>
      <c r="H8" s="466"/>
      <c r="I8" s="467"/>
      <c r="J8" s="467"/>
      <c r="K8" s="1693">
        <f t="shared" si="0"/>
        <v>272500</v>
      </c>
      <c r="L8" s="466">
        <v>295100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34497</v>
      </c>
      <c r="D14" s="466">
        <v>509</v>
      </c>
      <c r="E14" s="466">
        <v>5338</v>
      </c>
      <c r="F14" s="466">
        <v>11203</v>
      </c>
      <c r="G14" s="466"/>
      <c r="H14" s="466">
        <v>4728</v>
      </c>
      <c r="I14" s="467"/>
      <c r="J14" s="467"/>
      <c r="K14" s="1693">
        <f t="shared" si="0"/>
        <v>56275</v>
      </c>
      <c r="L14" s="466">
        <v>62200</v>
      </c>
    </row>
    <row r="15" spans="1:14" x14ac:dyDescent="0.2">
      <c r="A15" s="1526" t="s">
        <v>1021</v>
      </c>
      <c r="B15" s="615">
        <v>1600</v>
      </c>
      <c r="C15" s="466">
        <v>1175</v>
      </c>
      <c r="D15" s="466">
        <v>31</v>
      </c>
      <c r="E15" s="466"/>
      <c r="F15" s="466"/>
      <c r="G15" s="466"/>
      <c r="H15" s="466"/>
      <c r="I15" s="467"/>
      <c r="J15" s="467"/>
      <c r="K15" s="1693">
        <f t="shared" si="0"/>
        <v>1206</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8155</v>
      </c>
      <c r="D18" s="466">
        <v>215</v>
      </c>
      <c r="E18" s="466"/>
      <c r="F18" s="466"/>
      <c r="G18" s="466"/>
      <c r="H18" s="466"/>
      <c r="I18" s="467"/>
      <c r="J18" s="467"/>
      <c r="K18" s="1693">
        <f t="shared" si="0"/>
        <v>8370</v>
      </c>
      <c r="L18" s="466">
        <v>8420</v>
      </c>
    </row>
    <row r="19" spans="1:12" x14ac:dyDescent="0.2">
      <c r="A19" s="1526" t="s">
        <v>136</v>
      </c>
      <c r="B19" s="615">
        <v>1900</v>
      </c>
      <c r="C19" s="466">
        <v>887</v>
      </c>
      <c r="D19" s="466">
        <v>313</v>
      </c>
      <c r="E19" s="466"/>
      <c r="F19" s="466"/>
      <c r="G19" s="466"/>
      <c r="H19" s="466"/>
      <c r="I19" s="467"/>
      <c r="J19" s="467"/>
      <c r="K19" s="1693">
        <f t="shared" si="0"/>
        <v>1200</v>
      </c>
      <c r="L19" s="466">
        <v>1500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1824251</v>
      </c>
      <c r="D33" s="1692">
        <f t="shared" ref="D33:L33" si="1">SUM(D5:D32)</f>
        <v>310781</v>
      </c>
      <c r="E33" s="1692">
        <f t="shared" si="1"/>
        <v>123573</v>
      </c>
      <c r="F33" s="1692">
        <f t="shared" si="1"/>
        <v>130138</v>
      </c>
      <c r="G33" s="1692">
        <f t="shared" si="1"/>
        <v>8135</v>
      </c>
      <c r="H33" s="1692">
        <f t="shared" si="1"/>
        <v>4728</v>
      </c>
      <c r="I33" s="1692">
        <f t="shared" si="1"/>
        <v>15843</v>
      </c>
      <c r="J33" s="1692">
        <f t="shared" si="1"/>
        <v>0</v>
      </c>
      <c r="K33" s="1692">
        <f t="shared" si="1"/>
        <v>2417449</v>
      </c>
      <c r="L33" s="1692">
        <f t="shared" si="1"/>
        <v>2401445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39883</v>
      </c>
      <c r="D36" s="481">
        <v>3098</v>
      </c>
      <c r="E36" s="481"/>
      <c r="F36" s="481">
        <v>184</v>
      </c>
      <c r="G36" s="481"/>
      <c r="H36" s="481"/>
      <c r="I36" s="467"/>
      <c r="J36" s="467"/>
      <c r="K36" s="1693">
        <f t="shared" ref="K36:K41" si="2">SUM(C36:J36)</f>
        <v>43165</v>
      </c>
      <c r="L36" s="466">
        <v>43300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33854</v>
      </c>
      <c r="D38" s="466">
        <v>9835</v>
      </c>
      <c r="E38" s="466">
        <v>1122</v>
      </c>
      <c r="F38" s="466">
        <v>810</v>
      </c>
      <c r="G38" s="466"/>
      <c r="H38" s="466"/>
      <c r="I38" s="467"/>
      <c r="J38" s="467"/>
      <c r="K38" s="1693">
        <f t="shared" si="2"/>
        <v>45621</v>
      </c>
      <c r="L38" s="466">
        <v>48650</v>
      </c>
    </row>
    <row r="39" spans="1:14" x14ac:dyDescent="0.2">
      <c r="A39" s="1526" t="s">
        <v>208</v>
      </c>
      <c r="B39" s="615">
        <v>2140</v>
      </c>
      <c r="C39" s="466"/>
      <c r="D39" s="466"/>
      <c r="E39" s="466">
        <v>25350</v>
      </c>
      <c r="F39" s="466"/>
      <c r="G39" s="466"/>
      <c r="H39" s="466"/>
      <c r="I39" s="467"/>
      <c r="J39" s="467"/>
      <c r="K39" s="1693">
        <f t="shared" si="2"/>
        <v>25350</v>
      </c>
      <c r="L39" s="466">
        <v>27600</v>
      </c>
    </row>
    <row r="40" spans="1:14" x14ac:dyDescent="0.2">
      <c r="A40" s="1526" t="s">
        <v>209</v>
      </c>
      <c r="B40" s="615">
        <v>2150</v>
      </c>
      <c r="C40" s="466"/>
      <c r="D40" s="466"/>
      <c r="E40" s="466">
        <v>34490</v>
      </c>
      <c r="F40" s="466"/>
      <c r="G40" s="466"/>
      <c r="H40" s="466"/>
      <c r="I40" s="467"/>
      <c r="J40" s="467"/>
      <c r="K40" s="1693">
        <f t="shared" si="2"/>
        <v>34490</v>
      </c>
      <c r="L40" s="466">
        <v>50700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73737</v>
      </c>
      <c r="D42" s="1692">
        <f t="shared" ref="D42:L42" si="3">SUM(D36:D41)</f>
        <v>12933</v>
      </c>
      <c r="E42" s="1692">
        <f t="shared" si="3"/>
        <v>60962</v>
      </c>
      <c r="F42" s="1692">
        <f t="shared" si="3"/>
        <v>994</v>
      </c>
      <c r="G42" s="1692">
        <f t="shared" si="3"/>
        <v>0</v>
      </c>
      <c r="H42" s="1692">
        <f t="shared" si="3"/>
        <v>0</v>
      </c>
      <c r="I42" s="1692">
        <f t="shared" si="3"/>
        <v>0</v>
      </c>
      <c r="J42" s="1692">
        <f t="shared" si="3"/>
        <v>0</v>
      </c>
      <c r="K42" s="1692">
        <f t="shared" si="3"/>
        <v>148626</v>
      </c>
      <c r="L42" s="1692">
        <f t="shared" si="3"/>
        <v>170250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19482</v>
      </c>
      <c r="F44" s="481"/>
      <c r="G44" s="481"/>
      <c r="H44" s="481"/>
      <c r="I44" s="467"/>
      <c r="J44" s="467"/>
      <c r="K44" s="1694">
        <f>SUM(C44:J44)</f>
        <v>19482</v>
      </c>
      <c r="L44" s="481">
        <v>16910</v>
      </c>
    </row>
    <row r="45" spans="1:14" x14ac:dyDescent="0.2">
      <c r="A45" s="1526" t="s">
        <v>869</v>
      </c>
      <c r="B45" s="615">
        <v>2220</v>
      </c>
      <c r="C45" s="466">
        <v>17830</v>
      </c>
      <c r="D45" s="466"/>
      <c r="E45" s="466"/>
      <c r="F45" s="466">
        <v>8122</v>
      </c>
      <c r="G45" s="466"/>
      <c r="H45" s="466"/>
      <c r="I45" s="467"/>
      <c r="J45" s="467"/>
      <c r="K45" s="1694">
        <f>SUM(C45:J45)</f>
        <v>25952</v>
      </c>
      <c r="L45" s="466">
        <v>26125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17830</v>
      </c>
      <c r="D47" s="1692">
        <f t="shared" ref="D47:K47" si="4">SUM(D44:D46)</f>
        <v>0</v>
      </c>
      <c r="E47" s="1692">
        <f t="shared" si="4"/>
        <v>19482</v>
      </c>
      <c r="F47" s="1692">
        <f t="shared" si="4"/>
        <v>8122</v>
      </c>
      <c r="G47" s="1692">
        <f t="shared" si="4"/>
        <v>0</v>
      </c>
      <c r="H47" s="1692">
        <f t="shared" si="4"/>
        <v>0</v>
      </c>
      <c r="I47" s="1692">
        <f t="shared" si="4"/>
        <v>0</v>
      </c>
      <c r="J47" s="1692">
        <f t="shared" si="4"/>
        <v>0</v>
      </c>
      <c r="K47" s="1692">
        <f t="shared" si="4"/>
        <v>45434</v>
      </c>
      <c r="L47" s="1692">
        <f>SUM(L44:L46)</f>
        <v>43035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54951</v>
      </c>
      <c r="F49" s="481">
        <v>3144</v>
      </c>
      <c r="G49" s="481"/>
      <c r="H49" s="481"/>
      <c r="I49" s="467"/>
      <c r="J49" s="467"/>
      <c r="K49" s="1694">
        <f>SUM(C49:J49)</f>
        <v>58095</v>
      </c>
      <c r="L49" s="481">
        <v>61575</v>
      </c>
    </row>
    <row r="50" spans="1:14" x14ac:dyDescent="0.2">
      <c r="A50" s="1526" t="s">
        <v>872</v>
      </c>
      <c r="B50" s="615">
        <v>2320</v>
      </c>
      <c r="C50" s="466">
        <v>51050</v>
      </c>
      <c r="D50" s="466">
        <v>9530</v>
      </c>
      <c r="E50" s="466">
        <v>2261</v>
      </c>
      <c r="F50" s="466">
        <v>4738</v>
      </c>
      <c r="G50" s="466"/>
      <c r="H50" s="466"/>
      <c r="I50" s="467"/>
      <c r="J50" s="467"/>
      <c r="K50" s="1694">
        <f>SUM(C50:J50)</f>
        <v>67579</v>
      </c>
      <c r="L50" s="466">
        <v>67580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51050</v>
      </c>
      <c r="D53" s="1692">
        <f t="shared" ref="D53:L53" si="5">SUM(D49:D52)</f>
        <v>9530</v>
      </c>
      <c r="E53" s="1692">
        <f t="shared" si="5"/>
        <v>57212</v>
      </c>
      <c r="F53" s="1692">
        <f t="shared" si="5"/>
        <v>7882</v>
      </c>
      <c r="G53" s="1692">
        <f t="shared" si="5"/>
        <v>0</v>
      </c>
      <c r="H53" s="1692">
        <f t="shared" si="5"/>
        <v>0</v>
      </c>
      <c r="I53" s="1692">
        <f t="shared" si="5"/>
        <v>0</v>
      </c>
      <c r="J53" s="1692">
        <f t="shared" si="5"/>
        <v>0</v>
      </c>
      <c r="K53" s="1692">
        <f t="shared" si="5"/>
        <v>125674</v>
      </c>
      <c r="L53" s="1692">
        <f t="shared" si="5"/>
        <v>129155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322026</v>
      </c>
      <c r="D55" s="481">
        <v>37657</v>
      </c>
      <c r="E55" s="481">
        <v>2937</v>
      </c>
      <c r="F55" s="481">
        <v>2980</v>
      </c>
      <c r="G55" s="481"/>
      <c r="H55" s="481"/>
      <c r="I55" s="467"/>
      <c r="J55" s="467"/>
      <c r="K55" s="1694">
        <f>SUM(C55:J55)</f>
        <v>365600</v>
      </c>
      <c r="L55" s="481">
        <v>367215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322026</v>
      </c>
      <c r="D57" s="1696">
        <f t="shared" ref="D57:K57" si="6">SUM(D55:D56)</f>
        <v>37657</v>
      </c>
      <c r="E57" s="1696">
        <f t="shared" si="6"/>
        <v>2937</v>
      </c>
      <c r="F57" s="1696">
        <f t="shared" si="6"/>
        <v>2980</v>
      </c>
      <c r="G57" s="1696">
        <f t="shared" si="6"/>
        <v>0</v>
      </c>
      <c r="H57" s="1696">
        <f t="shared" si="6"/>
        <v>0</v>
      </c>
      <c r="I57" s="1696">
        <f t="shared" si="6"/>
        <v>0</v>
      </c>
      <c r="J57" s="1696">
        <f t="shared" si="6"/>
        <v>0</v>
      </c>
      <c r="K57" s="1696">
        <f t="shared" si="6"/>
        <v>365600</v>
      </c>
      <c r="L57" s="1692">
        <f>SUM(L55:L56)</f>
        <v>367215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122635</v>
      </c>
      <c r="D59" s="481">
        <v>15615</v>
      </c>
      <c r="E59" s="481"/>
      <c r="F59" s="481"/>
      <c r="G59" s="481"/>
      <c r="H59" s="481"/>
      <c r="I59" s="467"/>
      <c r="J59" s="467"/>
      <c r="K59" s="1694">
        <f t="shared" ref="K59:K64" si="7">SUM(C59:J59)</f>
        <v>138250</v>
      </c>
      <c r="L59" s="481">
        <v>138265</v>
      </c>
      <c r="M59" s="610"/>
      <c r="N59" s="610"/>
    </row>
    <row r="60" spans="1:14" s="343" customFormat="1" x14ac:dyDescent="0.2">
      <c r="A60" s="1526" t="s">
        <v>483</v>
      </c>
      <c r="B60" s="615">
        <v>2520</v>
      </c>
      <c r="C60" s="466"/>
      <c r="D60" s="466"/>
      <c r="E60" s="466">
        <v>1407</v>
      </c>
      <c r="F60" s="466"/>
      <c r="G60" s="466"/>
      <c r="H60" s="466"/>
      <c r="I60" s="467"/>
      <c r="J60" s="467"/>
      <c r="K60" s="1694">
        <f t="shared" si="7"/>
        <v>1407</v>
      </c>
      <c r="L60" s="466">
        <v>1500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304</v>
      </c>
      <c r="F63" s="466">
        <v>24791</v>
      </c>
      <c r="G63" s="466"/>
      <c r="H63" s="466"/>
      <c r="I63" s="467"/>
      <c r="J63" s="467"/>
      <c r="K63" s="1694">
        <f t="shared" si="7"/>
        <v>25095</v>
      </c>
      <c r="L63" s="466">
        <v>27870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122635</v>
      </c>
      <c r="D65" s="1692">
        <f t="shared" ref="D65:L65" si="8">SUM(D59:D64)</f>
        <v>15615</v>
      </c>
      <c r="E65" s="1692">
        <f t="shared" si="8"/>
        <v>1711</v>
      </c>
      <c r="F65" s="1692">
        <f t="shared" si="8"/>
        <v>24791</v>
      </c>
      <c r="G65" s="1692">
        <f t="shared" si="8"/>
        <v>0</v>
      </c>
      <c r="H65" s="1692">
        <f t="shared" si="8"/>
        <v>0</v>
      </c>
      <c r="I65" s="1692">
        <f t="shared" si="8"/>
        <v>0</v>
      </c>
      <c r="J65" s="1692">
        <f t="shared" si="8"/>
        <v>0</v>
      </c>
      <c r="K65" s="1692">
        <f t="shared" si="8"/>
        <v>164752</v>
      </c>
      <c r="L65" s="1692">
        <f t="shared" si="8"/>
        <v>167635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587278</v>
      </c>
      <c r="D74" s="1699">
        <f t="shared" ref="D74:K74" si="10">SUM(D42,D47,D53,D57,D65,D72,D73)</f>
        <v>75735</v>
      </c>
      <c r="E74" s="1699">
        <f t="shared" si="10"/>
        <v>142304</v>
      </c>
      <c r="F74" s="1699">
        <f t="shared" si="10"/>
        <v>44769</v>
      </c>
      <c r="G74" s="1699">
        <f t="shared" si="10"/>
        <v>0</v>
      </c>
      <c r="H74" s="1699">
        <f t="shared" si="10"/>
        <v>0</v>
      </c>
      <c r="I74" s="1699">
        <f t="shared" si="10"/>
        <v>0</v>
      </c>
      <c r="J74" s="1699">
        <f t="shared" si="10"/>
        <v>0</v>
      </c>
      <c r="K74" s="1699">
        <f t="shared" si="10"/>
        <v>850086</v>
      </c>
      <c r="L74" s="1699">
        <f>SUM(L42,L47,L53,L57,L65,L72,L73)</f>
        <v>877290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60967</v>
      </c>
      <c r="F79" s="617"/>
      <c r="G79" s="617"/>
      <c r="H79" s="466"/>
      <c r="I79" s="477"/>
      <c r="J79" s="477"/>
      <c r="K79" s="1693">
        <f t="shared" si="11"/>
        <v>60967</v>
      </c>
      <c r="L79" s="466">
        <v>58000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60967</v>
      </c>
      <c r="F84" s="617"/>
      <c r="G84" s="617"/>
      <c r="H84" s="1692">
        <f>SUM(H78:H83)</f>
        <v>0</v>
      </c>
      <c r="I84" s="477"/>
      <c r="J84" s="477"/>
      <c r="K84" s="1692">
        <f>SUM(K78:K83)</f>
        <v>60967</v>
      </c>
      <c r="L84" s="1692">
        <f>SUM(L78:L83)</f>
        <v>58000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96285</v>
      </c>
      <c r="I86" s="477"/>
      <c r="J86" s="477"/>
      <c r="K86" s="1699">
        <f t="shared" ref="K86:K98" si="12">H86</f>
        <v>96285</v>
      </c>
      <c r="L86" s="530">
        <v>140000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96285</v>
      </c>
      <c r="I92" s="477"/>
      <c r="J92" s="477"/>
      <c r="K92" s="1699">
        <f t="shared" si="12"/>
        <v>96285</v>
      </c>
      <c r="L92" s="1692">
        <f>SUM(L85:L91)</f>
        <v>140000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60967</v>
      </c>
      <c r="F102" s="617"/>
      <c r="G102" s="617"/>
      <c r="H102" s="1699">
        <f>SUM(H84,H92,H100,H101)</f>
        <v>96285</v>
      </c>
      <c r="I102" s="477"/>
      <c r="J102" s="477"/>
      <c r="K102" s="1699">
        <f>SUM(K84,K92,K100,K101)</f>
        <v>157252</v>
      </c>
      <c r="L102" s="1699">
        <f>SUM(L84,L92,L100,L101)</f>
        <v>198000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2411529</v>
      </c>
      <c r="D114" s="1692">
        <f t="shared" ref="D114:K114" si="13">SUM(D33,D74,D75,D102,D112,D113)</f>
        <v>386516</v>
      </c>
      <c r="E114" s="1692">
        <f t="shared" si="13"/>
        <v>326844</v>
      </c>
      <c r="F114" s="1692">
        <f t="shared" si="13"/>
        <v>174907</v>
      </c>
      <c r="G114" s="1692">
        <f t="shared" si="13"/>
        <v>8135</v>
      </c>
      <c r="H114" s="1692">
        <f>SUM(H33,H74,H75,H102,H112,H113)</f>
        <v>101013</v>
      </c>
      <c r="I114" s="1692">
        <f t="shared" si="13"/>
        <v>15843</v>
      </c>
      <c r="J114" s="1692">
        <f t="shared" si="13"/>
        <v>0</v>
      </c>
      <c r="K114" s="1692">
        <f t="shared" si="13"/>
        <v>3424787</v>
      </c>
      <c r="L114" s="1692">
        <f>SUM(L33,L74,L75,L102,L112,L113)</f>
        <v>3476735</v>
      </c>
    </row>
    <row r="115" spans="1:14" ht="13.5" thickTop="1" x14ac:dyDescent="0.2">
      <c r="A115" s="2199" t="s">
        <v>1053</v>
      </c>
      <c r="B115" s="2200"/>
      <c r="C115" s="619"/>
      <c r="D115" s="619"/>
      <c r="E115" s="619"/>
      <c r="F115" s="619"/>
      <c r="G115" s="619"/>
      <c r="H115" s="619"/>
      <c r="I115" s="619"/>
      <c r="J115" s="619"/>
      <c r="K115" s="1706">
        <f>'Revenues 9-14'!C275-'Expenditures 15-22'!K114</f>
        <v>349910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99836</v>
      </c>
      <c r="D124" s="466">
        <v>19226</v>
      </c>
      <c r="E124" s="466">
        <v>172101</v>
      </c>
      <c r="F124" s="466">
        <v>93778</v>
      </c>
      <c r="G124" s="466">
        <v>52398</v>
      </c>
      <c r="H124" s="466"/>
      <c r="I124" s="467">
        <v>5298</v>
      </c>
      <c r="J124" s="467"/>
      <c r="K124" s="1692">
        <f>SUM(C124:J124)</f>
        <v>442637</v>
      </c>
      <c r="L124" s="466">
        <v>439990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99836</v>
      </c>
      <c r="D127" s="1692">
        <f t="shared" ref="D127:L127" si="14">SUM(D122:D126)</f>
        <v>19226</v>
      </c>
      <c r="E127" s="1692">
        <f t="shared" si="14"/>
        <v>172101</v>
      </c>
      <c r="F127" s="1692">
        <f t="shared" si="14"/>
        <v>93778</v>
      </c>
      <c r="G127" s="1692">
        <f t="shared" si="14"/>
        <v>52398</v>
      </c>
      <c r="H127" s="1692">
        <f t="shared" si="14"/>
        <v>0</v>
      </c>
      <c r="I127" s="1692">
        <f t="shared" si="14"/>
        <v>5298</v>
      </c>
      <c r="J127" s="1692">
        <f t="shared" si="14"/>
        <v>0</v>
      </c>
      <c r="K127" s="1692">
        <f t="shared" si="14"/>
        <v>442637</v>
      </c>
      <c r="L127" s="1692">
        <f t="shared" si="14"/>
        <v>439990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99836</v>
      </c>
      <c r="D129" s="1699">
        <f t="shared" ref="D129:L129" si="15">SUM(D120,D127,D128)</f>
        <v>19226</v>
      </c>
      <c r="E129" s="1699">
        <f t="shared" si="15"/>
        <v>172101</v>
      </c>
      <c r="F129" s="1699">
        <f t="shared" si="15"/>
        <v>93778</v>
      </c>
      <c r="G129" s="1699">
        <f t="shared" si="15"/>
        <v>52398</v>
      </c>
      <c r="H129" s="1699">
        <f t="shared" si="15"/>
        <v>0</v>
      </c>
      <c r="I129" s="1699">
        <f t="shared" si="15"/>
        <v>5298</v>
      </c>
      <c r="J129" s="1699">
        <f t="shared" si="15"/>
        <v>0</v>
      </c>
      <c r="K129" s="1699">
        <f t="shared" si="15"/>
        <v>442637</v>
      </c>
      <c r="L129" s="1699">
        <f t="shared" si="15"/>
        <v>439990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162750</v>
      </c>
    </row>
    <row r="151" spans="1:14" ht="12.75" customHeight="1" thickTop="1" thickBot="1" x14ac:dyDescent="0.25">
      <c r="A151" s="2189" t="s">
        <v>641</v>
      </c>
      <c r="B151" s="2171"/>
      <c r="C151" s="1692">
        <f>SUM(C129,C130,C139,C149,C150)</f>
        <v>99836</v>
      </c>
      <c r="D151" s="1692">
        <f t="shared" ref="D151:K151" si="16">SUM(D129,D130,D139,D149,D150)</f>
        <v>19226</v>
      </c>
      <c r="E151" s="1692">
        <f t="shared" si="16"/>
        <v>172101</v>
      </c>
      <c r="F151" s="1692">
        <f t="shared" si="16"/>
        <v>93778</v>
      </c>
      <c r="G151" s="1692">
        <f t="shared" si="16"/>
        <v>52398</v>
      </c>
      <c r="H151" s="1692">
        <f t="shared" si="16"/>
        <v>0</v>
      </c>
      <c r="I151" s="1692">
        <f t="shared" si="16"/>
        <v>5298</v>
      </c>
      <c r="J151" s="1692">
        <f t="shared" si="16"/>
        <v>0</v>
      </c>
      <c r="K151" s="1692">
        <f t="shared" si="16"/>
        <v>442637</v>
      </c>
      <c r="L151" s="1692">
        <f>SUM(L129,L130,L139,L149,L150)</f>
        <v>602740</v>
      </c>
    </row>
    <row r="152" spans="1:14" ht="12.75" customHeight="1" thickTop="1" x14ac:dyDescent="0.2">
      <c r="A152" s="2192" t="s">
        <v>1240</v>
      </c>
      <c r="B152" s="2193"/>
      <c r="C152" s="619"/>
      <c r="D152" s="619"/>
      <c r="E152" s="619"/>
      <c r="F152" s="619"/>
      <c r="G152" s="619"/>
      <c r="H152" s="619"/>
      <c r="I152" s="619"/>
      <c r="J152" s="617"/>
      <c r="K152" s="1706">
        <f>'Revenues 9-14'!D275-'Expenditures 15-22'!K151</f>
        <v>186794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358646</v>
      </c>
      <c r="I169" s="617"/>
      <c r="J169" s="617"/>
      <c r="K169" s="1693">
        <f>SUM(C169:H169)</f>
        <v>358646</v>
      </c>
      <c r="L169" s="657">
        <v>107425</v>
      </c>
    </row>
    <row r="170" spans="1:14" ht="33.75" customHeight="1" x14ac:dyDescent="0.2">
      <c r="A170" s="670" t="s">
        <v>1769</v>
      </c>
      <c r="B170" s="672" t="s">
        <v>31</v>
      </c>
      <c r="C170" s="617"/>
      <c r="D170" s="617"/>
      <c r="E170" s="617"/>
      <c r="F170" s="617"/>
      <c r="G170" s="617"/>
      <c r="H170" s="569">
        <v>107424</v>
      </c>
      <c r="I170" s="617"/>
      <c r="J170" s="617"/>
      <c r="K170" s="1693">
        <f>SUM(C170:J170)</f>
        <v>107424</v>
      </c>
      <c r="L170" s="569">
        <v>358700</v>
      </c>
    </row>
    <row r="171" spans="1:14" ht="15.75" customHeight="1" x14ac:dyDescent="0.2">
      <c r="A171" s="622" t="s">
        <v>790</v>
      </c>
      <c r="B171" s="673" t="s">
        <v>86</v>
      </c>
      <c r="C171" s="617"/>
      <c r="D171" s="617"/>
      <c r="E171" s="466"/>
      <c r="F171" s="617"/>
      <c r="G171" s="617"/>
      <c r="H171" s="569">
        <v>1875</v>
      </c>
      <c r="I171" s="477"/>
      <c r="J171" s="617"/>
      <c r="K171" s="1693">
        <f>SUM(C171:J171)</f>
        <v>1875</v>
      </c>
      <c r="L171" s="569">
        <v>2000</v>
      </c>
    </row>
    <row r="172" spans="1:14" ht="12.75" customHeight="1" thickBot="1" x14ac:dyDescent="0.25">
      <c r="A172" s="1690" t="s">
        <v>659</v>
      </c>
      <c r="B172" s="1691" t="s">
        <v>513</v>
      </c>
      <c r="C172" s="617"/>
      <c r="D172" s="617"/>
      <c r="E172" s="1699">
        <f>SUM(E168,E169,E170,E171)</f>
        <v>0</v>
      </c>
      <c r="F172" s="617"/>
      <c r="G172" s="617"/>
      <c r="H172" s="1699">
        <f>SUM(H168,H169,H170,H171)</f>
        <v>467945</v>
      </c>
      <c r="I172" s="639"/>
      <c r="J172" s="617"/>
      <c r="K172" s="1699">
        <f>SUM(K168,K169,K170,K171)</f>
        <v>467945</v>
      </c>
      <c r="L172" s="1699">
        <f>SUM(L168,L169,L170,L171)</f>
        <v>468125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467945</v>
      </c>
      <c r="I174" s="639"/>
      <c r="J174" s="617"/>
      <c r="K174" s="1699">
        <f>SUM(K160,K172,K173)</f>
        <v>467945</v>
      </c>
      <c r="L174" s="1699">
        <f>SUM(L160,L172,L173)</f>
        <v>468125</v>
      </c>
    </row>
    <row r="175" spans="1:14" ht="13.5" thickTop="1" x14ac:dyDescent="0.2">
      <c r="A175" s="2199" t="s">
        <v>1053</v>
      </c>
      <c r="B175" s="2200"/>
      <c r="C175" s="617"/>
      <c r="D175" s="617"/>
      <c r="E175" s="617"/>
      <c r="F175" s="617"/>
      <c r="G175" s="617"/>
      <c r="H175" s="619"/>
      <c r="I175" s="617"/>
      <c r="J175" s="617"/>
      <c r="K175" s="1706">
        <f>'Revenues 9-14'!E275-'Expenditures 15-22'!K174</f>
        <v>23630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190482</v>
      </c>
      <c r="F182" s="466">
        <v>16678</v>
      </c>
      <c r="G182" s="466"/>
      <c r="H182" s="466"/>
      <c r="I182" s="467"/>
      <c r="J182" s="467"/>
      <c r="K182" s="1693">
        <f>SUM(C182:J182)</f>
        <v>207160</v>
      </c>
      <c r="L182" s="466">
        <v>245500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190482</v>
      </c>
      <c r="F184" s="1699">
        <f t="shared" si="17"/>
        <v>16678</v>
      </c>
      <c r="G184" s="1699">
        <f t="shared" si="17"/>
        <v>0</v>
      </c>
      <c r="H184" s="1699">
        <f t="shared" si="17"/>
        <v>0</v>
      </c>
      <c r="I184" s="1699">
        <f t="shared" si="17"/>
        <v>0</v>
      </c>
      <c r="J184" s="1699">
        <f t="shared" si="17"/>
        <v>0</v>
      </c>
      <c r="K184" s="1699">
        <f>SUM(K180,K182,K183)</f>
        <v>207160</v>
      </c>
      <c r="L184" s="1699">
        <f>SUM(L180, L182:L183)</f>
        <v>245500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190482</v>
      </c>
      <c r="F210" s="1692">
        <f>SUM(F184,F185)</f>
        <v>16678</v>
      </c>
      <c r="G210" s="1692">
        <f>SUM(G184,G185)</f>
        <v>0</v>
      </c>
      <c r="H210" s="1692">
        <f>SUM(H184,H185,H196,H208,H209)</f>
        <v>0</v>
      </c>
      <c r="I210" s="1692">
        <f>SUM(I184,I185)</f>
        <v>0</v>
      </c>
      <c r="J210" s="1692">
        <f>SUM(J184,J185)</f>
        <v>0</v>
      </c>
      <c r="K210" s="1693">
        <f>SUM(K184,K185,K196,K208,K209)</f>
        <v>207160</v>
      </c>
      <c r="L210" s="1692">
        <f>SUM(L184,L185,L196,L208,L209)</f>
        <v>245500</v>
      </c>
    </row>
    <row r="211" spans="1:14" ht="13.5" thickTop="1" x14ac:dyDescent="0.2">
      <c r="A211" s="2199" t="s">
        <v>1053</v>
      </c>
      <c r="B211" s="2200"/>
      <c r="C211" s="619"/>
      <c r="D211" s="619"/>
      <c r="E211" s="619"/>
      <c r="F211" s="619"/>
      <c r="G211" s="619"/>
      <c r="H211" s="619"/>
      <c r="I211" s="617"/>
      <c r="J211" s="617"/>
      <c r="K211" s="1706">
        <f>'Revenues 9-14'!F275-'Expenditures 15-22'!K210</f>
        <v>84314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22852</v>
      </c>
      <c r="E215" s="617"/>
      <c r="F215" s="617"/>
      <c r="G215" s="617"/>
      <c r="H215" s="617"/>
      <c r="I215" s="617"/>
      <c r="J215" s="617"/>
      <c r="K215" s="1693">
        <f>D215</f>
        <v>22852</v>
      </c>
      <c r="L215" s="466">
        <v>22690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21106</v>
      </c>
      <c r="E217" s="617"/>
      <c r="F217" s="617"/>
      <c r="G217" s="617"/>
      <c r="H217" s="617"/>
      <c r="I217" s="617"/>
      <c r="J217" s="617"/>
      <c r="K217" s="1693">
        <f t="shared" si="19"/>
        <v>21106</v>
      </c>
      <c r="L217" s="466">
        <v>23635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1206</v>
      </c>
      <c r="E223" s="617"/>
      <c r="F223" s="617"/>
      <c r="G223" s="617"/>
      <c r="H223" s="617"/>
      <c r="I223" s="617"/>
      <c r="J223" s="617"/>
      <c r="K223" s="1693">
        <f t="shared" si="19"/>
        <v>1206</v>
      </c>
      <c r="L223" s="466">
        <v>1650</v>
      </c>
    </row>
    <row r="224" spans="1:14" x14ac:dyDescent="0.2">
      <c r="A224" s="1526" t="s">
        <v>1021</v>
      </c>
      <c r="B224" s="615">
        <v>1600</v>
      </c>
      <c r="C224" s="617"/>
      <c r="D224" s="466">
        <v>17</v>
      </c>
      <c r="E224" s="617"/>
      <c r="F224" s="617"/>
      <c r="G224" s="617"/>
      <c r="H224" s="617"/>
      <c r="I224" s="617"/>
      <c r="J224" s="617"/>
      <c r="K224" s="1693">
        <f t="shared" si="19"/>
        <v>17</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118</v>
      </c>
      <c r="E227" s="617"/>
      <c r="F227" s="617"/>
      <c r="G227" s="617"/>
      <c r="H227" s="617"/>
      <c r="I227" s="617"/>
      <c r="J227" s="617"/>
      <c r="K227" s="1693">
        <f t="shared" si="19"/>
        <v>118</v>
      </c>
      <c r="L227" s="466">
        <v>100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45299</v>
      </c>
      <c r="E229" s="617"/>
      <c r="F229" s="617"/>
      <c r="G229" s="617"/>
      <c r="H229" s="617"/>
      <c r="I229" s="617"/>
      <c r="J229" s="617"/>
      <c r="K229" s="1692">
        <f>SUM(K215:K228)</f>
        <v>45299</v>
      </c>
      <c r="L229" s="1692">
        <f>SUM(L215:L228)</f>
        <v>48075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2371</v>
      </c>
      <c r="E232" s="617"/>
      <c r="F232" s="617"/>
      <c r="G232" s="617"/>
      <c r="H232" s="617"/>
      <c r="I232" s="617"/>
      <c r="J232" s="617"/>
      <c r="K232" s="1693">
        <f t="shared" ref="K232:K237" si="20">D232</f>
        <v>2371</v>
      </c>
      <c r="L232" s="466">
        <v>560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6148</v>
      </c>
      <c r="E234" s="617"/>
      <c r="F234" s="617"/>
      <c r="G234" s="617"/>
      <c r="H234" s="617"/>
      <c r="I234" s="617"/>
      <c r="J234" s="617"/>
      <c r="K234" s="1693">
        <f t="shared" si="20"/>
        <v>6148</v>
      </c>
      <c r="L234" s="466">
        <v>6705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8519</v>
      </c>
      <c r="E238" s="617"/>
      <c r="F238" s="617"/>
      <c r="G238" s="617"/>
      <c r="H238" s="617"/>
      <c r="I238" s="617"/>
      <c r="J238" s="617"/>
      <c r="K238" s="1692">
        <f>SUM(K232:K237)</f>
        <v>8519</v>
      </c>
      <c r="L238" s="1692">
        <f>SUM(L232:L237)</f>
        <v>7265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2596</v>
      </c>
      <c r="E241" s="617"/>
      <c r="F241" s="617"/>
      <c r="G241" s="617"/>
      <c r="H241" s="617"/>
      <c r="I241" s="617"/>
      <c r="J241" s="617"/>
      <c r="K241" s="1694">
        <f>D241</f>
        <v>2596</v>
      </c>
      <c r="L241" s="466">
        <v>3350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2596</v>
      </c>
      <c r="E243" s="617"/>
      <c r="F243" s="617"/>
      <c r="G243" s="617"/>
      <c r="H243" s="617"/>
      <c r="I243" s="617"/>
      <c r="J243" s="617"/>
      <c r="K243" s="1692">
        <f>SUM(K240:K242)</f>
        <v>2596</v>
      </c>
      <c r="L243" s="1692">
        <f>SUM(L240:L242)</f>
        <v>3350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642</v>
      </c>
      <c r="E246" s="617"/>
      <c r="F246" s="617"/>
      <c r="G246" s="617"/>
      <c r="H246" s="617"/>
      <c r="I246" s="617"/>
      <c r="J246" s="617"/>
      <c r="K246" s="1694">
        <f t="shared" ref="K246:K256" si="21">D246</f>
        <v>642</v>
      </c>
      <c r="L246" s="466">
        <v>750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642</v>
      </c>
      <c r="E257" s="617"/>
      <c r="F257" s="617"/>
      <c r="G257" s="617"/>
      <c r="H257" s="617"/>
      <c r="I257" s="617"/>
      <c r="J257" s="617"/>
      <c r="K257" s="1692">
        <f>SUM(K245:K256)</f>
        <v>642</v>
      </c>
      <c r="L257" s="1692">
        <f>SUM(L245:L256)</f>
        <v>750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20267</v>
      </c>
      <c r="E259" s="617"/>
      <c r="F259" s="617"/>
      <c r="G259" s="617"/>
      <c r="H259" s="617"/>
      <c r="I259" s="617"/>
      <c r="J259" s="617"/>
      <c r="K259" s="1694">
        <f>D259</f>
        <v>20267</v>
      </c>
      <c r="L259" s="481">
        <v>20500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20267</v>
      </c>
      <c r="E261" s="617"/>
      <c r="F261" s="617"/>
      <c r="G261" s="617"/>
      <c r="H261" s="617"/>
      <c r="I261" s="617"/>
      <c r="J261" s="617"/>
      <c r="K261" s="1692">
        <f>SUM(K259:K260)</f>
        <v>20267</v>
      </c>
      <c r="L261" s="1692">
        <f>SUM(L259:L260)</f>
        <v>20500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23138</v>
      </c>
      <c r="E263" s="617"/>
      <c r="F263" s="617"/>
      <c r="G263" s="617"/>
      <c r="H263" s="617"/>
      <c r="I263" s="617"/>
      <c r="J263" s="617"/>
      <c r="K263" s="1694">
        <f>D263</f>
        <v>23138</v>
      </c>
      <c r="L263" s="481">
        <v>23330</v>
      </c>
    </row>
    <row r="264" spans="1:14" x14ac:dyDescent="0.2">
      <c r="A264" s="1526" t="s">
        <v>483</v>
      </c>
      <c r="B264" s="686">
        <v>2520</v>
      </c>
      <c r="C264" s="617"/>
      <c r="D264" s="466"/>
      <c r="E264" s="617"/>
      <c r="F264" s="617"/>
      <c r="G264" s="617"/>
      <c r="H264" s="617"/>
      <c r="I264" s="617"/>
      <c r="J264" s="617"/>
      <c r="K264" s="1694">
        <f t="shared" ref="K264:K269" si="22">D264</f>
        <v>0</v>
      </c>
      <c r="L264" s="466">
        <v>21300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17419</v>
      </c>
      <c r="E266" s="617"/>
      <c r="F266" s="617"/>
      <c r="G266" s="617"/>
      <c r="H266" s="617"/>
      <c r="I266" s="617"/>
      <c r="J266" s="617"/>
      <c r="K266" s="1694">
        <f t="shared" si="22"/>
        <v>17419</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40557</v>
      </c>
      <c r="E270" s="617"/>
      <c r="F270" s="617"/>
      <c r="G270" s="617"/>
      <c r="H270" s="617"/>
      <c r="I270" s="617"/>
      <c r="J270" s="617"/>
      <c r="K270" s="1692">
        <f>SUM(K263:K269)</f>
        <v>40557</v>
      </c>
      <c r="L270" s="1692">
        <f>SUM(L263:L269)</f>
        <v>44630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72581</v>
      </c>
      <c r="E279" s="617"/>
      <c r="F279" s="617"/>
      <c r="G279" s="617"/>
      <c r="H279" s="617"/>
      <c r="I279" s="617"/>
      <c r="J279" s="617"/>
      <c r="K279" s="1699">
        <f>SUM(K238,K243,K257,K261,K270,K277,K278)</f>
        <v>72581</v>
      </c>
      <c r="L279" s="1699">
        <f>SUM(L238,L243,L257,L261,L270,L277,L278)</f>
        <v>76495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7995</v>
      </c>
      <c r="E283" s="617"/>
      <c r="F283" s="617"/>
      <c r="G283" s="617"/>
      <c r="H283" s="617"/>
      <c r="I283" s="617"/>
      <c r="J283" s="617"/>
      <c r="K283" s="1693">
        <f>D283</f>
        <v>7995</v>
      </c>
      <c r="L283" s="466">
        <v>7995</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7995</v>
      </c>
      <c r="E285" s="617"/>
      <c r="F285" s="617"/>
      <c r="G285" s="617"/>
      <c r="H285" s="617"/>
      <c r="I285" s="617"/>
      <c r="J285" s="617"/>
      <c r="K285" s="1692">
        <f>SUM(K282:K284)</f>
        <v>7995</v>
      </c>
      <c r="L285" s="1692">
        <f>SUM(L282:L284)</f>
        <v>7995</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125875</v>
      </c>
      <c r="E295" s="617"/>
      <c r="F295" s="617"/>
      <c r="G295" s="617"/>
      <c r="H295" s="1692">
        <f>H293</f>
        <v>0</v>
      </c>
      <c r="I295" s="617"/>
      <c r="J295" s="617"/>
      <c r="K295" s="1692">
        <f>SUM(K229,K279,K280,K285,K293,K294)</f>
        <v>125875</v>
      </c>
      <c r="L295" s="1692">
        <f>SUM(L229,L279,L280,L285,L293,L294)</f>
        <v>132565</v>
      </c>
    </row>
    <row r="296" spans="1:14" ht="13.5" thickTop="1" x14ac:dyDescent="0.2">
      <c r="A296" s="2199" t="s">
        <v>1053</v>
      </c>
      <c r="B296" s="2200"/>
      <c r="C296" s="617"/>
      <c r="D296" s="619"/>
      <c r="E296" s="617"/>
      <c r="F296" s="617"/>
      <c r="G296" s="617"/>
      <c r="H296" s="688"/>
      <c r="I296" s="617"/>
      <c r="J296" s="617"/>
      <c r="K296" s="1706">
        <f>'Revenues 9-14'!G275-'Expenditures 15-22'!K295</f>
        <v>-22280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v>41959</v>
      </c>
      <c r="G322" s="467"/>
      <c r="H322" s="467"/>
      <c r="I322" s="467"/>
      <c r="J322" s="467"/>
      <c r="K322" s="1693">
        <f t="shared" si="24"/>
        <v>41959</v>
      </c>
      <c r="L322" s="467">
        <v>49000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41959</v>
      </c>
      <c r="G330" s="1692">
        <f t="shared" si="25"/>
        <v>0</v>
      </c>
      <c r="H330" s="1692">
        <f t="shared" si="25"/>
        <v>0</v>
      </c>
      <c r="I330" s="1692">
        <f t="shared" si="25"/>
        <v>0</v>
      </c>
      <c r="J330" s="1692">
        <f t="shared" si="25"/>
        <v>0</v>
      </c>
      <c r="K330" s="1692">
        <f>SUM(K319:K329)</f>
        <v>41959</v>
      </c>
      <c r="L330" s="1692">
        <f>SUM(L319:L329)</f>
        <v>49000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41959</v>
      </c>
      <c r="G342" s="1692">
        <f>SUM(G330)</f>
        <v>0</v>
      </c>
      <c r="H342" s="1692">
        <f>SUM(H330,H334,H340)</f>
        <v>0</v>
      </c>
      <c r="I342" s="1692">
        <f>SUM(I330)</f>
        <v>0</v>
      </c>
      <c r="J342" s="1692">
        <f>SUM(J330)</f>
        <v>0</v>
      </c>
      <c r="K342" s="1692">
        <f>SUM(K330,K334,K340)</f>
        <v>41959</v>
      </c>
      <c r="L342" s="1699">
        <f>SUM(L330,L340,L341)</f>
        <v>49000</v>
      </c>
    </row>
    <row r="343" spans="1:14" ht="12.75" customHeight="1" thickTop="1" x14ac:dyDescent="0.2">
      <c r="A343" s="2185" t="s">
        <v>1053</v>
      </c>
      <c r="B343" s="2186"/>
      <c r="C343" s="617"/>
      <c r="D343" s="617"/>
      <c r="E343" s="617"/>
      <c r="F343" s="617"/>
      <c r="G343" s="617"/>
      <c r="H343" s="617"/>
      <c r="I343" s="617"/>
      <c r="J343" s="617"/>
      <c r="K343" s="1706">
        <f>'Revenues 9-14'!J275-'Expenditures 15-22'!K342</f>
        <v>8590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schemas.microsoft.com/office/2006/documentManagement/types"/>
    <ds:schemaRef ds:uri="6ce3111e-7420-4802-b50a-75d4e9a0b980"/>
    <ds:schemaRef ds:uri="http://purl.org/dc/elements/1.1/"/>
    <ds:schemaRef ds:uri="http://schemas.microsoft.com/office/infopath/2007/PartnerControls"/>
    <ds:schemaRef ds:uri="http://schemas.openxmlformats.org/package/2006/metadata/core-properties"/>
    <ds:schemaRef ds:uri="http://www.w3.org/XML/1998/namespace"/>
    <ds:schemaRef ds:uri="d21dc803-237d-4c68-8692-8d731fd29118"/>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2018-10-02T00:49:11Z</cp:lastPrinted>
  <dcterms:created xsi:type="dcterms:W3CDTF">2003-10-29T19:06:34Z</dcterms:created>
  <dcterms:modified xsi:type="dcterms:W3CDTF">2018-11-05T21:58:09Z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