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SPAF" sheetId="177" r:id="rId34"/>
    <sheet name="Sheet1" sheetId="184" r:id="rId35"/>
  </sheets>
  <definedNames>
    <definedName name="_xlnm.Print_Area" localSheetId="28">' SEFA'!$B$1:$M$46</definedName>
    <definedName name="_xlnm.Print_Area" localSheetId="29">'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F63" i="29" l="1"/>
  <c r="M19" i="3"/>
  <c r="G40" i="174" l="1"/>
  <c r="G38" i="174"/>
  <c r="L14" i="179"/>
  <c r="I27" i="183"/>
  <c r="F27" i="183"/>
  <c r="I25" i="183"/>
  <c r="F25" i="183"/>
  <c r="I21" i="183"/>
  <c r="F21" i="183"/>
  <c r="L14" i="183"/>
  <c r="L24" i="179"/>
  <c r="L25" i="179"/>
  <c r="L26" i="179"/>
  <c r="L27" i="179"/>
  <c r="L16" i="179"/>
  <c r="L24" i="183"/>
  <c r="L20" i="183"/>
  <c r="L19" i="183"/>
  <c r="L18" i="183"/>
  <c r="L17" i="183"/>
  <c r="L16"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E23" i="181"/>
  <c r="F23" i="181" s="1"/>
  <c r="G23" i="181" s="1"/>
  <c r="F22" i="181"/>
  <c r="G22" i="181" s="1"/>
  <c r="E22" i="18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2" i="179" l="1"/>
  <c r="L21" i="179"/>
  <c r="L19" i="179"/>
  <c r="L17" i="179"/>
  <c r="L15" i="179"/>
  <c r="L13"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D7764" i="106" s="1"/>
  <c r="J85" i="28"/>
  <c r="B7758" i="106" s="1"/>
  <c r="D7758" i="106" s="1"/>
  <c r="J88" i="28"/>
  <c r="K6" i="29"/>
  <c r="B7763" i="106" s="1"/>
  <c r="B7762" i="106"/>
  <c r="K12" i="12"/>
  <c r="K23" i="12"/>
  <c r="K24" i="12" s="1"/>
  <c r="J12" i="12"/>
  <c r="J21" i="12"/>
  <c r="B7727" i="106" s="1"/>
  <c r="D7727" i="106" s="1"/>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C259" i="5"/>
  <c r="B7761" i="106"/>
  <c r="D7761" i="106" s="1"/>
  <c r="L127" i="29"/>
  <c r="L129" i="29" s="1"/>
  <c r="L139" i="29"/>
  <c r="L149" i="29"/>
  <c r="I7" i="145"/>
  <c r="I6" i="145"/>
  <c r="D78" i="36"/>
  <c r="K75" i="29"/>
  <c r="F52" i="34" s="1"/>
  <c r="K130" i="29"/>
  <c r="B2805" i="106" s="1"/>
  <c r="D2805" i="106" s="1"/>
  <c r="K185" i="29"/>
  <c r="B2836" i="106" s="1"/>
  <c r="D2836" i="106" s="1"/>
  <c r="K122" i="29"/>
  <c r="E26" i="108" s="1"/>
  <c r="K67" i="29"/>
  <c r="K64" i="29"/>
  <c r="K59" i="29"/>
  <c r="B1126" i="106" s="1"/>
  <c r="D1126" i="106"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D1140" i="106"/>
  <c r="K73" i="29"/>
  <c r="B1142" i="106" s="1"/>
  <c r="D1142" i="106" s="1"/>
  <c r="K78" i="29"/>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c r="B5106" i="106"/>
  <c r="D5106" i="106" s="1"/>
  <c r="B5107" i="106"/>
  <c r="D5107" i="106" s="1"/>
  <c r="B5108" i="106"/>
  <c r="D5108" i="106" s="1"/>
  <c r="B5109" i="106"/>
  <c r="D5109" i="106" s="1"/>
  <c r="B5110" i="106"/>
  <c r="D5110" i="106" s="1"/>
  <c r="B5111" i="106"/>
  <c r="D5111" i="106" s="1"/>
  <c r="B5113" i="106"/>
  <c r="D5113" i="106" s="1"/>
  <c r="B5114" i="106"/>
  <c r="D5114" i="106"/>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c r="B6307" i="106"/>
  <c r="D6307" i="106" s="1"/>
  <c r="B6308" i="106"/>
  <c r="D6308" i="106" s="1"/>
  <c r="B6309" i="106"/>
  <c r="D6309" i="106" s="1"/>
  <c r="B6310" i="106"/>
  <c r="D6310" i="106" s="1"/>
  <c r="B6311" i="106"/>
  <c r="D6311" i="106" s="1"/>
  <c r="B6312" i="106"/>
  <c r="D6312" i="106" s="1"/>
  <c r="B6313" i="106"/>
  <c r="D6313" i="106" s="1"/>
  <c r="B6314" i="106"/>
  <c r="D6314" i="106"/>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c r="B6340" i="106"/>
  <c r="D6340" i="106" s="1"/>
  <c r="B6341" i="106"/>
  <c r="D6341" i="106" s="1"/>
  <c r="B6342" i="106"/>
  <c r="D6342" i="106" s="1"/>
  <c r="B6343" i="106"/>
  <c r="D6343" i="106" s="1"/>
  <c r="B6344" i="106"/>
  <c r="D6344" i="106" s="1"/>
  <c r="B6345" i="106"/>
  <c r="D6345" i="106" s="1"/>
  <c r="B6346" i="106"/>
  <c r="D6346" i="106" s="1"/>
  <c r="B6347" i="106"/>
  <c r="D6347" i="106"/>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c r="B6375" i="106"/>
  <c r="D6375" i="106" s="1"/>
  <c r="B6376" i="106"/>
  <c r="D6376" i="106" s="1"/>
  <c r="B6377" i="106"/>
  <c r="D6377" i="106" s="1"/>
  <c r="B6378" i="106"/>
  <c r="D6378" i="106" s="1"/>
  <c r="B6379" i="106"/>
  <c r="D6379" i="106" s="1"/>
  <c r="B6380" i="106"/>
  <c r="D6380" i="106" s="1"/>
  <c r="B6381" i="106"/>
  <c r="D6381" i="106" s="1"/>
  <c r="B6382" i="106"/>
  <c r="D6382" i="106"/>
  <c r="B6383" i="106"/>
  <c r="D6383" i="106" s="1"/>
  <c r="B6384" i="106"/>
  <c r="D6384" i="106" s="1"/>
  <c r="B6385" i="106"/>
  <c r="D6385" i="106" s="1"/>
  <c r="B6386" i="106"/>
  <c r="D6386" i="106" s="1"/>
  <c r="B6387" i="106"/>
  <c r="D6387" i="106" s="1"/>
  <c r="B6388" i="106"/>
  <c r="D6388" i="106" s="1"/>
  <c r="B6389" i="106"/>
  <c r="D6389" i="106" s="1"/>
  <c r="B6390" i="106"/>
  <c r="D6390" i="106"/>
  <c r="B6391" i="106"/>
  <c r="D6391" i="106" s="1"/>
  <c r="B6392" i="106"/>
  <c r="D6392" i="106" s="1"/>
  <c r="B6393" i="106"/>
  <c r="D6393" i="106" s="1"/>
  <c r="B6394" i="106"/>
  <c r="D6394" i="106" s="1"/>
  <c r="B6395" i="106"/>
  <c r="D6395" i="106" s="1"/>
  <c r="B6398" i="106"/>
  <c r="D6398" i="106" s="1"/>
  <c r="B6399" i="106"/>
  <c r="D6399" i="106" s="1"/>
  <c r="B6401" i="106"/>
  <c r="D6401" i="106"/>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c r="B6630" i="106"/>
  <c r="D6630" i="106" s="1"/>
  <c r="B6631" i="106"/>
  <c r="D6631" i="106" s="1"/>
  <c r="B6632" i="106"/>
  <c r="D6632" i="106" s="1"/>
  <c r="B6633" i="106"/>
  <c r="D6633" i="106" s="1"/>
  <c r="B6634" i="106"/>
  <c r="D6634" i="106" s="1"/>
  <c r="B6635" i="106"/>
  <c r="D6635" i="106" s="1"/>
  <c r="B6636" i="106"/>
  <c r="D6636" i="106" s="1"/>
  <c r="B6637" i="106"/>
  <c r="D6637" i="106"/>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c r="B6662" i="106"/>
  <c r="D6662" i="106" s="1"/>
  <c r="B6663" i="106"/>
  <c r="D6663" i="106" s="1"/>
  <c r="B6664" i="106"/>
  <c r="D6664" i="106" s="1"/>
  <c r="B6665" i="106"/>
  <c r="D6665" i="106" s="1"/>
  <c r="B6666" i="106"/>
  <c r="D6666" i="106" s="1"/>
  <c r="B6667" i="106"/>
  <c r="D6667" i="106" s="1"/>
  <c r="B6668" i="106"/>
  <c r="D6668" i="106" s="1"/>
  <c r="B6669" i="106"/>
  <c r="D6669" i="106"/>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c r="B6694" i="106"/>
  <c r="D6694" i="106" s="1"/>
  <c r="B6695" i="106"/>
  <c r="D6695" i="106" s="1"/>
  <c r="B6696" i="106"/>
  <c r="D6696" i="106" s="1"/>
  <c r="B6697" i="106"/>
  <c r="D6697" i="106" s="1"/>
  <c r="B6698" i="106"/>
  <c r="D6698" i="106" s="1"/>
  <c r="B6699" i="106"/>
  <c r="D6699" i="106" s="1"/>
  <c r="B6700" i="106"/>
  <c r="D6700" i="106" s="1"/>
  <c r="B6701" i="106"/>
  <c r="D6701" i="106"/>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7" i="108"/>
  <c r="G27" i="108"/>
  <c r="F31" i="108"/>
  <c r="F36" i="108"/>
  <c r="G28" i="108"/>
  <c r="D31" i="108"/>
  <c r="D36"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C57" i="34"/>
  <c r="D57" i="34"/>
  <c r="C61" i="34"/>
  <c r="C62" i="34"/>
  <c r="C63" i="34"/>
  <c r="D63" i="34"/>
  <c r="C64" i="34"/>
  <c r="F64" i="34"/>
  <c r="F66"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F127" i="34" s="1"/>
  <c r="G184" i="5"/>
  <c r="B5784" i="106" s="1"/>
  <c r="D5784" i="106" s="1"/>
  <c r="H184" i="5"/>
  <c r="B5908" i="106" s="1"/>
  <c r="D5908" i="106" s="1"/>
  <c r="K184" i="5"/>
  <c r="B6016" i="106" s="1"/>
  <c r="D6016"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G14" i="4"/>
  <c r="B2609" i="106" s="1"/>
  <c r="D2609" i="106" s="1"/>
  <c r="C14" i="4"/>
  <c r="B2558" i="106" s="1"/>
  <c r="D2558" i="106" s="1"/>
  <c r="B2633" i="106"/>
  <c r="D2633" i="106" s="1"/>
  <c r="N22" i="3"/>
  <c r="B283" i="106" s="1"/>
  <c r="D283" i="106" s="1"/>
  <c r="D7" i="118"/>
  <c r="D8" i="118"/>
  <c r="D9" i="118"/>
  <c r="H14" i="118"/>
  <c r="H19" i="118"/>
  <c r="H24" i="118"/>
  <c r="H28" i="118"/>
  <c r="D22" i="37"/>
  <c r="J22" i="37"/>
  <c r="L22" i="37"/>
  <c r="D24" i="37"/>
  <c r="B4270" i="106" s="1"/>
  <c r="D4270" i="106" s="1"/>
  <c r="L5" i="11"/>
  <c r="B2056" i="106" s="1"/>
  <c r="D2056" i="106" s="1"/>
  <c r="D9" i="7"/>
  <c r="B1767" i="106" s="1"/>
  <c r="D1767" i="106" s="1"/>
  <c r="F131" i="34"/>
  <c r="F111" i="34"/>
  <c r="B5599" i="106"/>
  <c r="D5599" i="106" s="1"/>
  <c r="B1746" i="106"/>
  <c r="D1746" i="106" s="1"/>
  <c r="D17" i="7"/>
  <c r="B4104" i="106" s="1"/>
  <c r="D4104" i="106" s="1"/>
  <c r="D15" i="7"/>
  <c r="B1772" i="106" s="1"/>
  <c r="D1772" i="106" s="1"/>
  <c r="K274" i="5" l="1"/>
  <c r="D5" i="4"/>
  <c r="B3406" i="106" s="1"/>
  <c r="D3406" i="106" s="1"/>
  <c r="B5658" i="106"/>
  <c r="D5658" i="106" s="1"/>
  <c r="I173" i="5"/>
  <c r="B4216" i="106" s="1"/>
  <c r="D4216" i="106" s="1"/>
  <c r="B5096" i="106"/>
  <c r="D5096" i="106" s="1"/>
  <c r="D109" i="5"/>
  <c r="L312" i="29"/>
  <c r="F49" i="34"/>
  <c r="F45" i="34"/>
  <c r="F41" i="34"/>
  <c r="J352" i="29"/>
  <c r="C342" i="29"/>
  <c r="B7216" i="106" s="1"/>
  <c r="D7216" i="106" s="1"/>
  <c r="J129" i="29"/>
  <c r="B7038" i="106" s="1"/>
  <c r="D7038" i="106" s="1"/>
  <c r="B1223" i="106"/>
  <c r="D1223" i="106" s="1"/>
  <c r="F136" i="34"/>
  <c r="L15" i="11"/>
  <c r="B3459" i="106" s="1"/>
  <c r="D3459" i="106" s="1"/>
  <c r="H44" i="4"/>
  <c r="I24" i="12"/>
  <c r="I26" i="12" s="1"/>
  <c r="B7741" i="106" s="1"/>
  <c r="D7741" i="106" s="1"/>
  <c r="B3170" i="106"/>
  <c r="D3170" i="106" s="1"/>
  <c r="H76" i="4"/>
  <c r="B3298" i="106" s="1"/>
  <c r="D3298" i="106" s="1"/>
  <c r="G26" i="108"/>
  <c r="F44" i="34"/>
  <c r="B3565" i="106"/>
  <c r="D3565" i="106" s="1"/>
  <c r="K41" i="3"/>
  <c r="F106" i="34"/>
  <c r="F128" i="34"/>
  <c r="D14" i="4"/>
  <c r="B2570" i="106" s="1"/>
  <c r="D2570" i="106" s="1"/>
  <c r="L367" i="29"/>
  <c r="F56" i="34"/>
  <c r="B6238" i="106"/>
  <c r="D6238" i="106" s="1"/>
  <c r="J77" i="4"/>
  <c r="B6262" i="106" s="1"/>
  <c r="D6262" i="106" s="1"/>
  <c r="B1124" i="106"/>
  <c r="D1124" i="106" s="1"/>
  <c r="F15" i="145"/>
  <c r="F19" i="145" s="1"/>
  <c r="B1274" i="106"/>
  <c r="D1274" i="106" s="1"/>
  <c r="D13" i="7"/>
  <c r="B3726" i="106" s="1"/>
  <c r="D3726" i="106" s="1"/>
  <c r="D4" i="7"/>
  <c r="B1760" i="106" s="1"/>
  <c r="D1760" i="106" s="1"/>
  <c r="F14" i="4"/>
  <c r="B2597" i="106" s="1"/>
  <c r="D2597" i="106" s="1"/>
  <c r="F130" i="34"/>
  <c r="J274" i="5"/>
  <c r="B7054" i="106" s="1"/>
  <c r="D7054" i="106" s="1"/>
  <c r="B3621" i="106"/>
  <c r="D3621" i="106" s="1"/>
  <c r="C367" i="29"/>
  <c r="B3622" i="106" s="1"/>
  <c r="D3622" i="106" s="1"/>
  <c r="B7733" i="106"/>
  <c r="D7733" i="106" s="1"/>
  <c r="K26" i="12"/>
  <c r="B7743" i="106" s="1"/>
  <c r="D7743" i="106" s="1"/>
  <c r="B5304" i="106"/>
  <c r="D5304" i="106" s="1"/>
  <c r="B3723" i="106"/>
  <c r="D3723" i="106" s="1"/>
  <c r="F21" i="8"/>
  <c r="H149" i="29"/>
  <c r="B1272" i="106" s="1"/>
  <c r="D1272" i="106" s="1"/>
  <c r="B7047" i="106"/>
  <c r="D7047" i="106" s="1"/>
  <c r="F71" i="34"/>
  <c r="G172" i="5"/>
  <c r="J210" i="29"/>
  <c r="B7072" i="106" s="1"/>
  <c r="D7072" i="106" s="1"/>
  <c r="F62" i="34"/>
  <c r="B3649" i="106"/>
  <c r="D3649" i="106" s="1"/>
  <c r="G367" i="29"/>
  <c r="B3650" i="106" s="1"/>
  <c r="D3650" i="106" s="1"/>
  <c r="B1139" i="106"/>
  <c r="D1139" i="106" s="1"/>
  <c r="D37" i="108"/>
  <c r="F37" i="108"/>
  <c r="K173" i="5"/>
  <c r="K6" i="4" s="1"/>
  <c r="B3570" i="106" s="1"/>
  <c r="D3570" i="106" s="1"/>
  <c r="H173" i="5"/>
  <c r="G15" i="4"/>
  <c r="B6032" i="106" s="1"/>
  <c r="D6032" i="106" s="1"/>
  <c r="D11" i="7"/>
  <c r="B1768" i="106" s="1"/>
  <c r="D1768" i="106" s="1"/>
  <c r="G5" i="4"/>
  <c r="B3409" i="106" s="1"/>
  <c r="D3409" i="106" s="1"/>
  <c r="E109" i="5"/>
  <c r="E4" i="4" s="1"/>
  <c r="B2630" i="106" s="1"/>
  <c r="D2630" i="106" s="1"/>
  <c r="B5334" i="106"/>
  <c r="D5334" i="106" s="1"/>
  <c r="B6848" i="106"/>
  <c r="D6848" i="106" s="1"/>
  <c r="F34" i="34"/>
  <c r="B1996" i="106"/>
  <c r="D1996" i="106" s="1"/>
  <c r="H365" i="29"/>
  <c r="K76" i="4"/>
  <c r="B3586" i="106" s="1"/>
  <c r="D3586" i="106" s="1"/>
  <c r="G210" i="29"/>
  <c r="E174" i="29"/>
  <c r="B1309" i="106" s="1"/>
  <c r="D1309" i="106" s="1"/>
  <c r="H342" i="29"/>
  <c r="D6103" i="106"/>
  <c r="L13" i="11"/>
  <c r="B2060" i="106" s="1"/>
  <c r="D2060" i="106" s="1"/>
  <c r="D69" i="36"/>
  <c r="G109" i="5"/>
  <c r="B6024" i="106" s="1"/>
  <c r="D6024" i="106" s="1"/>
  <c r="F19" i="7"/>
  <c r="B1807" i="106" s="1"/>
  <c r="D1807" i="106" s="1"/>
  <c r="K352" i="29"/>
  <c r="K13" i="4" s="1"/>
  <c r="B3572" i="106" s="1"/>
  <c r="D3572" i="106" s="1"/>
  <c r="L342" i="29"/>
  <c r="B1410" i="106"/>
  <c r="D1410" i="106" s="1"/>
  <c r="E29" i="108"/>
  <c r="G29" i="108"/>
  <c r="K184" i="29"/>
  <c r="F13" i="4" s="1"/>
  <c r="B2596" i="106" s="1"/>
  <c r="D2596" i="106" s="1"/>
  <c r="B1329" i="106"/>
  <c r="D1329" i="106" s="1"/>
  <c r="F61" i="34"/>
  <c r="I129" i="29"/>
  <c r="B7037" i="106" s="1"/>
  <c r="D7037" i="106" s="1"/>
  <c r="G39" i="108"/>
  <c r="G30" i="108"/>
  <c r="E30" i="108"/>
  <c r="F27" i="108"/>
  <c r="E15" i="145"/>
  <c r="F26" i="108"/>
  <c r="D26" i="108"/>
  <c r="F28" i="108"/>
  <c r="E28" i="108"/>
  <c r="F38" i="34"/>
  <c r="F35" i="34"/>
  <c r="D12" i="7"/>
  <c r="B1769" i="106" s="1"/>
  <c r="D1769" i="106" s="1"/>
  <c r="H109" i="5"/>
  <c r="G4" i="4"/>
  <c r="B2603" i="106" s="1"/>
  <c r="D2603" i="106" s="1"/>
  <c r="D7" i="7"/>
  <c r="B1763" i="106" s="1"/>
  <c r="D1763" i="106" s="1"/>
  <c r="B5356" i="106"/>
  <c r="D5356" i="106" s="1"/>
  <c r="D4" i="4"/>
  <c r="B2564" i="106" s="1"/>
  <c r="D2564" i="106" s="1"/>
  <c r="D5" i="7"/>
  <c r="B1761" i="106" s="1"/>
  <c r="D1761" i="106" s="1"/>
  <c r="C172" i="5"/>
  <c r="B5214" i="106" s="1"/>
  <c r="D5214" i="106" s="1"/>
  <c r="C109" i="5"/>
  <c r="B5121" i="106" s="1"/>
  <c r="D5121" i="106" s="1"/>
  <c r="B5066" i="106"/>
  <c r="D5066" i="106" s="1"/>
  <c r="D54" i="36"/>
  <c r="H33" i="118"/>
  <c r="B4268" i="106"/>
  <c r="D4268" i="106" s="1"/>
  <c r="H29" i="118"/>
  <c r="K28" i="118" s="1"/>
  <c r="O27" i="118" s="1"/>
  <c r="O29" i="118" s="1"/>
  <c r="D31"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7270" i="106"/>
  <c r="D41" i="108" l="1"/>
  <c r="E43" i="108" s="1"/>
  <c r="J367" i="29"/>
  <c r="B7245" i="106" s="1"/>
  <c r="D7245" i="106" s="1"/>
  <c r="B7235" i="106"/>
  <c r="D7235" i="106" s="1"/>
  <c r="D7254" i="106"/>
  <c r="G173" i="5"/>
  <c r="B5770" i="106"/>
  <c r="D5770" i="106" s="1"/>
  <c r="D7256" i="106"/>
  <c r="B3568" i="106"/>
  <c r="D3568" i="106" s="1"/>
  <c r="D52" i="36"/>
  <c r="D7253" i="106"/>
  <c r="B1365" i="106"/>
  <c r="D1365" i="106" s="1"/>
  <c r="F65" i="34"/>
  <c r="B1879" i="106"/>
  <c r="D1879" i="106" s="1"/>
  <c r="H22" i="37"/>
  <c r="D7252" i="106"/>
  <c r="D44" i="36"/>
  <c r="B5653" i="106"/>
  <c r="D5653" i="106" s="1"/>
  <c r="D7251" i="106"/>
  <c r="B3672" i="106"/>
  <c r="D3672" i="106" s="1"/>
  <c r="H367" i="29"/>
  <c r="B3660" i="106" s="1"/>
  <c r="D3660" i="106" s="1"/>
  <c r="B7242" i="106"/>
  <c r="D7242" i="106" s="1"/>
  <c r="D7250" i="106"/>
  <c r="F274" i="5"/>
  <c r="F275" i="5" s="1"/>
  <c r="B5720" i="106" s="1"/>
  <c r="D5720" i="106" s="1"/>
  <c r="H275" i="5"/>
  <c r="G15" i="145"/>
  <c r="B5906" i="106"/>
  <c r="D5906" i="106" s="1"/>
  <c r="H6" i="4"/>
  <c r="B2656" i="106" s="1"/>
  <c r="D2656" i="106" s="1"/>
  <c r="L16" i="11"/>
  <c r="B2061" i="106" s="1"/>
  <c r="D2061" i="106" s="1"/>
  <c r="K342" i="29"/>
  <c r="F13" i="34" s="1"/>
  <c r="B1317" i="106"/>
  <c r="D1317" i="106" s="1"/>
  <c r="I151" i="29"/>
  <c r="F59" i="34" s="1"/>
  <c r="L114" i="29"/>
  <c r="F41" i="108"/>
  <c r="G43" i="108" s="1"/>
  <c r="C114" i="29"/>
  <c r="B757" i="106" s="1"/>
  <c r="D757" i="106" s="1"/>
  <c r="B6025" i="106"/>
  <c r="D6025" i="106" s="1"/>
  <c r="H4" i="4"/>
  <c r="C173" i="5"/>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D7" i="4"/>
  <c r="B5507" i="106"/>
  <c r="D5507" i="106" s="1"/>
  <c r="B7298" i="106"/>
  <c r="B7299" i="106"/>
  <c r="F24" i="37" l="1"/>
  <c r="B5719" i="106"/>
  <c r="D5719" i="106" s="1"/>
  <c r="B5778" i="106"/>
  <c r="D5778" i="106" s="1"/>
  <c r="G6" i="4"/>
  <c r="B2604" i="106" s="1"/>
  <c r="D2604" i="106" s="1"/>
  <c r="J17" i="4"/>
  <c r="B7051" i="106"/>
  <c r="D7051" i="106" s="1"/>
  <c r="B1145" i="106"/>
  <c r="D1145" i="106" s="1"/>
  <c r="G41" i="108"/>
  <c r="G44" i="108" s="1"/>
  <c r="G45" i="108" s="1"/>
  <c r="E41" i="108"/>
  <c r="E44" i="108" s="1"/>
  <c r="E45" i="108" s="1"/>
  <c r="J8" i="4"/>
  <c r="B2655" i="106"/>
  <c r="D2655" i="106" s="1"/>
  <c r="H8" i="4"/>
  <c r="F8" i="4"/>
  <c r="D8" i="146"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J20" i="4" l="1"/>
  <c r="B6230" i="106" s="1"/>
  <c r="D6230" i="106" s="1"/>
  <c r="J19" i="4"/>
  <c r="B6229" i="106" s="1"/>
  <c r="D6229" i="106" s="1"/>
  <c r="B6227" i="106"/>
  <c r="D6227" i="106" s="1"/>
  <c r="B2658" i="106"/>
  <c r="D2658" i="106" s="1"/>
  <c r="H10" i="4"/>
  <c r="B4127" i="106" s="1"/>
  <c r="D4127" i="106" s="1"/>
  <c r="B2595" i="106"/>
  <c r="D2595" i="106" s="1"/>
  <c r="F10" i="4"/>
  <c r="B4125" i="106" s="1"/>
  <c r="D41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<sst xmlns="http://schemas.openxmlformats.org/spreadsheetml/2006/main" count="5182" uniqueCount="2166">
  <si>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</si>
  <si>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</si>
  <si>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</si>
  <si>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</si>
  <si>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</si>
  <si>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</si>
  <si>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</si>
  <si>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</si>
  <si>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</si>
  <si>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</si>
  <si>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</si>
  <si>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</si>
  <si>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</si>
  <si>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</si>
  <si>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</si>
  <si>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</si>
  <si>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</si>
  <si>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</si>
  <si>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</si>
  <si>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</si>
  <si>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</si>
  <si>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</si>
  <si>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</si>
  <si>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</si>
  <si>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</si>
  <si>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</si>
  <si>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</si>
  <si>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</si>
  <si>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</si>
  <si>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</si>
  <si>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</si>
  <si>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</si>
  <si>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</si>
  <si>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</si>
  <si>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</si>
  <si>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</si>
  <si>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</si>
  <si>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</si>
  <si>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</si>
  <si>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</si>
  <si>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</si>
  <si>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</si>
  <si>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</si>
  <si>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</si>
  <si>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</si>
  <si>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</si>
  <si>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</si>
  <si>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</si>
  <si>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</si>
  <si>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</si>
  <si>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</si>
  <si>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</si>
  <si>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</si>
  <si>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</si>
  <si>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</si>
  <si>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</si>
  <si>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</si>
  <si>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</si>
  <si>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</si>
  <si>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</si>
  <si>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</si>
  <si>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</si>
  <si>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</si>
  <si>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</si>
  <si>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</si>
  <si>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</si>
  <si>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</si>
  <si>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</si>
  <si>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</si>
  <si>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</si>
  <si>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</si>
  <si>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</si>
  <si>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</si>
  <si>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</si>
  <si>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</si>
  <si>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</si>
  <si>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</si>
  <si>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</si>
  <si>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</si>
  <si>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</si>
  <si>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</si>
  <si>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</si>
  <si>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</si>
  <si>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</si>
  <si>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</si>
  <si>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</si>
  <si>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</si>
  <si>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</si>
  <si>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</si>
  <si>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</si>
  <si>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</si>
  <si>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</si>
  <si>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</si>
  <si>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</si>
  <si>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</si>
  <si>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</si>
  <si>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</si>
  <si>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</si>
  <si>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</si>
  <si>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</si>
  <si>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</si>
  <si>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</si>
  <si>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</si>
  <si>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</si>
  <si>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</si>
  <si>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</si>
  <si>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</si>
  <si>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</si>
  <si>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</si>
  <si>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</si>
  <si>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</si>
  <si>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</si>
  <si>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</si>
  <si>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</si>
  <si>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</si>
  <si>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</si>
  <si>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</si>
  <si>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</si>
  <si>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</si>
  <si>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</si>
  <si>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</si>
  <si>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</si>
  <si>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</si>
  <si>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</si>
  <si>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</si>
  <si>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</si>
  <si>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</si>
  <si>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</si>
  <si>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</si>
  <si>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</si>
  <si>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</si>
  <si>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</si>
  <si>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</si>
  <si>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</si>
  <si>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</si>
  <si>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</si>
  <si>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</si>
  <si>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</si>
  <si>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</si>
  <si>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</si>
  <si>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</si>
  <si>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</si>
  <si>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</si>
  <si>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</si>
  <si>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</si>
  <si>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</si>
  <si>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</si>
  <si>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</si>
  <si>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</si>
  <si>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</si>
  <si>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</si>
  <si>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</si>
  <si>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</si>
  <si>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</si>
  <si>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</si>
  <si>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</si>
  <si>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</si>
  <si>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</si>
  <si>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</si>
  <si>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</si>
  <si>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</si>
  <si>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</si>
  <si>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</si>
  <si>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</si>
  <si>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</si>
  <si>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</si>
  <si>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</si>
  <si>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</si>
  <si>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</si>
  <si>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</si>
  <si>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</si>
  <si>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</si>
  <si>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</si>
  <si>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</si>
  <si>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</si>
  <si>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</si>
  <si>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</si>
  <si>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</si>
  <si>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</si>
  <si>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</si>
  <si>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</si>
  <si>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</si>
  <si>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</si>
  <si>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</si>
  <si>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</si>
  <si>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</si>
  <si>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</si>
  <si>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</si>
  <si>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</si>
  <si>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</si>
  <si>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</si>
  <si>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</si>
  <si>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</si>
  <si>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</si>
  <si>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</si>
  <si>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</si>
  <si>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</si>
  <si>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</si>
  <si>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</si>
  <si>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</si>
  <si>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</si>
  <si>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</si>
  <si>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</si>
  <si>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</si>
  <si>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</si>
  <si>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</si>
  <si>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</si>
  <si>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</si>
  <si>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</si>
  <si>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</si>
  <si>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</si>
  <si>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</si>
  <si>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</si>
  <si>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</si>
  <si>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</si>
  <si>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</si>
  <si>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</si>
  <si>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</si>
  <si>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</si>
  <si>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</si>
  <si>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</si>
  <si>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</si>
  <si>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</si>
  <si>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</si>
  <si>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</si>
  <si>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</si>
  <si>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</si>
  <si>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</si>
  <si>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</si>
  <si>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</si>
  <si>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</si>
  <si>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</si>
  <si>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</si>
  <si>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</si>
  <si>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</si>
  <si>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</si>
  <si>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</si>
  <si>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</si>
  <si>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</si>
  <si>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</si>
  <si>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</si>
  <si>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</si>
  <si>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</si>
  <si>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</si>
  <si>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</si>
  <si>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</si>
  <si>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</si>
  <si>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</si>
  <si>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</si>
  <si>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</si>
  <si>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</si>
  <si>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</si>
  <si>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</si>
  <si>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</si>
  <si>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</si>
  <si>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</si>
  <si>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</si>
  <si>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</si>
  <si>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</si>
  <si>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</si>
  <si>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</si>
  <si>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</si>
  <si>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</si>
  <si>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</si>
  <si>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</si>
  <si>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</si>
  <si>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</si>
  <si>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</si>
  <si>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</si>
  <si>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</si>
  <si>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</si>
  <si>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</si>
  <si>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</si>
  <si>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</si>
  <si>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</si>
  <si>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</si>
  <si>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</si>
  <si>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</si>
  <si>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</si>
  <si>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</si>
  <si>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</si>
  <si>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</si>
  <si>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</si>
  <si>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</si>
  <si>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</si>
  <si>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</si>
  <si>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</si>
  <si>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</si>
  <si>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</si>
  <si>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</si>
  <si>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</si>
  <si>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</si>
  <si>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</si>
  <si>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</si>
  <si>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</si>
  <si>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</si>
  <si>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</si>
  <si>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</si>
  <si>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</si>
  <si>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</si>
  <si>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</si>
  <si>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</si>
  <si>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</si>
  <si>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</si>
  <si>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</si>
  <si>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</si>
  <si>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</si>
  <si>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</si>
  <si>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</si>
  <si>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</si>
  <si>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</si>
  <si>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</si>
  <si>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</si>
  <si>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</si>
  <si>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</si>
  <si>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</si>
  <si>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</si>
  <si>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</si>
  <si>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</si>
  <si>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</si>
  <si>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</si>
  <si>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</si>
  <si>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</si>
  <si>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</si>
  <si>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</si>
  <si>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</si>
  <si>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</si>
  <si>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</si>
  <si>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</si>
  <si>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</si>
  <si>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</si>
  <si>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</si>
  <si>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</si>
  <si>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</si>
  <si>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</si>
  <si>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</si>
  <si>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</si>
  <si>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</si>
  <si>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</si>
  <si>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</si>
  <si>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</si>
  <si>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</si>
  <si>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</si>
  <si>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</si>
  <si>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</si>
  <si>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</si>
  <si>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</si>
  <si>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</si>
  <si>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</si>
  <si>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</si>
  <si>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</si>
  <si>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</si>
  <si>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</si>
  <si>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</si>
  <si>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</si>
  <si>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</si>
  <si>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</si>
  <si>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</si>
  <si>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</si>
  <si>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</si>
  <si>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</si>
  <si>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</si>
  <si>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</si>
  <si>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</si>
  <si>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</si>
  <si>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</si>
  <si>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</si>
  <si>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</si>
  <si>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</si>
  <si>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</si>
  <si>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</si>
  <si>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</si>
  <si>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</si>
  <si>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</si>
  <si>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</si>
  <si>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</si>
  <si>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</si>
  <si>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</si>
  <si>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</si>
  <si>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</si>
  <si>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</si>
  <si>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</si>
  <si>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</si>
  <si>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</si>
  <si>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</si>
  <si>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</si>
  <si>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</si>
  <si>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</si>
  <si>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</si>
  <si>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</si>
  <si>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</si>
  <si>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</si>
  <si>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</si>
  <si>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</si>
  <si>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</si>
  <si>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</si>
  <si>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</si>
  <si>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</si>
  <si>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</si>
  <si>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</si>
  <si>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</si>
  <si>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</si>
  <si>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</si>
  <si>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</si>
  <si>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</si>
  <si>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</si>
  <si>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</si>
  <si>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</si>
  <si>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</si>
  <si>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</si>
  <si>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</si>
  <si>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</si>
  <si>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</si>
  <si>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</si>
  <si>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</si>
  <si>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</si>
  <si>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</si>
  <si>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</si>
  <si>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</si>
  <si>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</si>
  <si>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</si>
  <si>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</si>
  <si>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</si>
  <si>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</si>
  <si>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</si>
  <si>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</si>
  <si>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</si>
  <si>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</si>
  <si>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</si>
  <si>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</si>
  <si>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</si>
  <si>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</si>
  <si>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</si>
  <si>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</si>
  <si>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</si>
  <si>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</si>
  <si>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</si>
  <si>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</si>
  <si>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</si>
  <si>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</si>
  <si>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</si>
  <si>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</si>
  <si>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</si>
  <si>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</si>
  <si>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</si>
  <si>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</si>
  <si>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</si>
  <si>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</si>
  <si>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</si>
  <si>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</si>
  <si>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</si>
  <si>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</si>
  <si>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</si>
  <si>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</si>
  <si>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</si>
  <si>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</si>
  <si>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</si>
  <si>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</si>
  <si>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</si>
  <si>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</si>
  <si>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</si>
  <si>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</si>
  <si>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</si>
  <si>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</si>
  <si>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</si>
  <si>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</si>
  <si>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</si>
  <si>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</si>
  <si>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</si>
  <si>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</si>
  <si>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</si>
  <si>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</si>
  <si>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</si>
  <si>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</si>
  <si>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</si>
  <si>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</si>
  <si>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</si>
  <si>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</si>
  <si>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</si>
  <si>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</si>
  <si>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</si>
  <si>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</si>
  <si>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</si>
  <si>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</si>
  <si>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</si>
  <si>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</si>
  <si>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</si>
  <si>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</si>
  <si>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</si>
  <si>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</si>
  <si>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</si>
  <si>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</si>
  <si>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</si>
  <si>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</si>
  <si>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</si>
  <si>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</si>
  <si>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</si>
  <si>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</si>
  <si>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</si>
  <si>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</si>
  <si>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</si>
  <si>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</si>
  <si>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</si>
  <si>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</si>
  <si>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</si>
  <si>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</si>
  <si>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</si>
  <si>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</si>
  <si>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</si>
  <si>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</si>
  <si>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</si>
  <si>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</si>
  <si>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</si>
  <si>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</si>
  <si>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</si>
  <si>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</si>
  <si>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</si>
  <si>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</si>
  <si>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</si>
  <si>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</si>
  <si>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</si>
  <si>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</si>
  <si>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</si>
  <si>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</si>
  <si>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</si>
  <si>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</si>
  <si>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</si>
  <si>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</si>
  <si>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</si>
  <si>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</si>
  <si>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</si>
  <si>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</si>
  <si>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</si>
  <si>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</si>
  <si>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</si>
  <si>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</si>
  <si>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</si>
  <si>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</si>
  <si>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</si>
  <si>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</si>
  <si>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</si>
  <si>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</si>
  <si>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</si>
  <si>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</si>
  <si>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</si>
  <si>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</si>
  <si>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</si>
  <si>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</si>
  <si>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</si>
  <si>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</si>
  <si>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</si>
  <si>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</si>
  <si>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</si>
  <si>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</si>
  <si>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</si>
  <si>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</si>
  <si>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</si>
  <si>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</si>
  <si>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</si>
  <si>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</si>
  <si>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</si>
  <si>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</si>
  <si>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</si>
  <si>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</si>
  <si>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</si>
  <si>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</si>
  <si>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</si>
  <si>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</si>
  <si>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</si>
  <si>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</si>
  <si>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</si>
  <si>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</si>
  <si>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</si>
  <si>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</si>
  <si>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</si>
  <si>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</si>
  <si>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</si>
  <si>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</si>
  <si>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</si>
  <si>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</si>
  <si>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</si>
  <si>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</si>
  <si>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</si>
  <si>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</si>
  <si>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</si>
  <si>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</si>
  <si>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</si>
  <si>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</si>
  <si>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</si>
  <si>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</si>
  <si>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</si>
  <si>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</si>
  <si>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</si>
  <si>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</si>
  <si>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</si>
  <si>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</si>
  <si>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</si>
  <si>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</si>
  <si>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</si>
  <si>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</si>
  <si>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</si>
  <si>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</si>
  <si>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</si>
  <si>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</si>
  <si>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</si>
  <si>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</si>
  <si>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</si>
  <si>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</si>
  <si>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</si>
  <si>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</si>
  <si>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</si>
  <si>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</si>
  <si>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</si>
  <si>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</si>
  <si>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</si>
  <si>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</si>
  <si>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</si>
  <si>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</si>
  <si>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</si>
  <si>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</si>
  <si>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</si>
  <si>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</si>
  <si>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</si>
  <si>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</si>
  <si>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</si>
  <si>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</si>
  <si>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</si>
  <si>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</si>
  <si>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</si>
  <si>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</si>
  <si>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</si>
  <si>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</si>
  <si>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</si>
  <si>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</si>
  <si>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</si>
  <si>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</si>
  <si>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</si>
  <si>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</si>
  <si>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</si>
  <si>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</si>
  <si>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</si>
  <si>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</si>
  <si>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</si>
  <si>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</si>
  <si>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</si>
  <si>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</si>
  <si>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</si>
  <si>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</si>
  <si>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</si>
  <si>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</si>
  <si>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</si>
  <si>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</si>
  <si>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</si>
  <si>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</si>
  <si>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</si>
  <si>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</si>
  <si>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</si>
  <si>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</si>
  <si>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</si>
  <si>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</si>
  <si>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</si>
  <si>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</si>
  <si>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</si>
  <si>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</si>
  <si>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</si>
  <si>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</si>
  <si>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</si>
  <si>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</si>
  <si>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</si>
  <si>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</si>
  <si>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</si>
  <si>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</si>
  <si>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</si>
  <si>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</si>
  <si>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</si>
  <si>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</si>
  <si>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</si>
  <si>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</si>
  <si>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</si>
  <si>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</si>
  <si>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</si>
  <si>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</si>
  <si>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</si>
  <si>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</si>
  <si>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</si>
  <si>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</si>
  <si>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</si>
  <si>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</si>
  <si>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</si>
  <si>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</si>
  <si>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</si>
  <si>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</si>
  <si>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</si>
  <si>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</si>
  <si>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</si>
  <si>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</si>
  <si>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</si>
  <si>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</si>
  <si>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</si>
  <si>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</si>
  <si>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</si>
  <si>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</si>
  <si>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</si>
  <si>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</si>
  <si>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</si>
  <si>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</si>
  <si>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</si>
  <si>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</si>
  <si>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</si>
  <si>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</si>
  <si>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</si>
  <si>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</si>
  <si>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</si>
  <si>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</si>
  <si>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</si>
  <si>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</si>
  <si>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</si>
  <si>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</si>
  <si>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</si>
  <si>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</si>
  <si>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</si>
  <si>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</si>
  <si>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</si>
  <si>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</si>
  <si>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</si>
  <si>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</si>
  <si>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</si>
  <si>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</si>
  <si>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</si>
  <si>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</si>
  <si>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</si>
  <si>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</si>
  <si>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</si>
  <si>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</si>
  <si>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</si>
  <si>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</si>
  <si>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</si>
  <si>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</si>
  <si>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</si>
  <si>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</si>
  <si>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</si>
  <si>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</si>
  <si>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</si>
  <si>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</si>
  <si>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</si>
  <si>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</si>
  <si>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</si>
  <si>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</si>
  <si>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</si>
  <si>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</si>
  <si>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</si>
  <si>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</si>
  <si>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</si>
  <si>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</si>
  <si>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</si>
  <si>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</si>
  <si>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</si>
  <si>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</si>
  <si>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</si>
  <si>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</si>
  <si>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</si>
  <si>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</si>
  <si>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</si>
  <si>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</si>
  <si>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</si>
  <si>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</si>
  <si>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</si>
  <si>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</si>
  <si>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</si>
  <si>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</si>
  <si>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</si>
  <si>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</si>
  <si>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</si>
  <si>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</si>
  <si>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</si>
  <si>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</si>
  <si>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</si>
  <si>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</si>
  <si>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</si>
  <si>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</si>
  <si>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</si>
  <si>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</si>
  <si>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</si>
  <si>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</si>
  <si>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</si>
  <si>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</si>
  <si>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</si>
  <si>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</si>
  <si>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</si>
  <si>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</si>
  <si>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</si>
  <si>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</si>
  <si>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</si>
  <si>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</si>
  <si>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</si>
  <si>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</si>
  <si>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</si>
  <si>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</si>
  <si>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</si>
  <si>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</si>
  <si>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</si>
  <si>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</si>
  <si>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</si>
  <si>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</si>
  <si>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</si>
  <si>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</si>
  <si>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</si>
  <si>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</si>
  <si>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</si>
  <si>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</si>
  <si>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</si>
  <si>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</si>
  <si>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</si>
  <si>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</si>
  <si>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</si>
  <si>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</si>
  <si>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</si>
  <si>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</si>
  <si>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</si>
  <si>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</si>
  <si>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</si>
  <si>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</si>
  <si>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</si>
  <si>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</si>
  <si>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</si>
  <si>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</si>
  <si>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</si>
  <si>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</si>
  <si>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</si>
  <si>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</si>
  <si>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</si>
  <si>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</si>
  <si>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</si>
  <si>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</si>
  <si>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</si>
  <si>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</si>
  <si>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</si>
  <si>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</si>
  <si>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</si>
  <si>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</si>
  <si>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</si>
  <si>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</si>
  <si>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</si>
  <si>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</si>
  <si>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</si>
  <si>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</si>
  <si>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</si>
  <si>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</si>
  <si>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</si>
  <si>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</si>
  <si>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</si>
  <si>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</si>
  <si>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</si>
  <si>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</si>
  <si>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</si>
  <si>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</si>
  <si>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</si>
  <si>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</si>
  <si>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</si>
  <si>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</si>
  <si>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</si>
  <si>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</si>
  <si>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</si>
  <si>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</si>
  <si>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</si>
  <si>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</si>
  <si>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</si>
  <si>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</si>
  <si>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</si>
  <si>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</si>
  <si>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</si>
  <si>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</si>
  <si>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</si>
  <si>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</si>
  <si>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</si>
  <si>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</si>
  <si>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</si>
  <si>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</si>
  <si>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</si>
  <si>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</si>
  <si>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</si>
  <si>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</si>
  <si>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</si>
  <si>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</si>
  <si>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</si>
  <si>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</si>
  <si>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</si>
  <si>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</si>
  <si>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</si>
  <si>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</si>
  <si>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</si>
  <si>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</si>
  <si>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</si>
  <si>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</si>
  <si>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</si>
  <si>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</si>
  <si>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</si>
  <si>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</si>
  <si>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</si>
  <si>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</si>
  <si>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</si>
  <si>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</si>
  <si>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</si>
  <si>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</si>
  <si>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</si>
  <si>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</si>
  <si>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</si>
  <si>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</si>
  <si>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</si>
  <si>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</si>
  <si>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</si>
  <si>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</si>
  <si>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</si>
  <si>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</si>
  <si>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</si>
  <si>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</si>
  <si>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</si>
  <si>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</si>
  <si>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</si>
  <si>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</si>
  <si>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</si>
  <si>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</si>
  <si>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</si>
  <si>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</si>
  <si>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</si>
  <si>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</si>
  <si>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</si>
  <si>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</si>
  <si>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</si>
  <si>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</si>
  <si>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</si>
  <si>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</si>
  <si>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</si>
  <si>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</si>
  <si>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</si>
  <si>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</si>
  <si>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</si>
  <si>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</si>
  <si>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</si>
  <si>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</si>
  <si>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</si>
  <si>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</si>
  <si>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</si>
  <si>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</si>
  <si>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</si>
  <si>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</si>
  <si>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</si>
  <si>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</si>
  <si>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</si>
  <si>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</si>
  <si>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</si>
  <si>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</si>
  <si>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</si>
  <si>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</si>
  <si>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</si>
  <si>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</si>
  <si>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</si>
  <si>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</si>
  <si>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</si>
  <si>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</si>
  <si>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</si>
  <si>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</si>
  <si>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</si>
  <si>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</si>
  <si>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</si>
  <si>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</si>
  <si>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</si>
  <si>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</si>
  <si>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</si>
  <si>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</si>
  <si>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</si>
  <si>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</si>
  <si>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</si>
  <si>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</si>
  <si>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</si>
  <si>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</si>
  <si>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</si>
  <si>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</si>
  <si>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</si>
  <si>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</si>
  <si>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</si>
  <si>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</si>
  <si>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</si>
  <si>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</si>
  <si>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</si>
  <si>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</si>
  <si>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</si>
  <si>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</si>
  <si>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</si>
  <si>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</si>
  <si>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</si>
  <si>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</si>
  <si>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</si>
  <si>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</si>
  <si>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</si>
  <si>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</si>
  <si>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</si>
  <si>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</si>
  <si>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</si>
  <si>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</si>
  <si>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</si>
  <si>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</si>
  <si>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</si>
  <si>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</si>
  <si>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</si>
  <si>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</si>
  <si>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</si>
  <si>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</si>
  <si>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</si>
  <si>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</si>
  <si>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</si>
  <si>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</si>
  <si>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</si>
  <si>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</si>
  <si>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</si>
  <si>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</si>
  <si>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</si>
  <si>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</si>
  <si>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</si>
  <si>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</si>
  <si>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</si>
  <si>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</si>
  <si>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</si>
  <si>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</si>
  <si>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</si>
  <si>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</si>
  <si>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</si>
  <si>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</si>
  <si>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</si>
  <si>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</si>
  <si>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</si>
  <si>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</si>
  <si>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</si>
  <si>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</si>
  <si>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</si>
  <si>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</si>
  <si>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</si>
  <si>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</si>
  <si>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</si>
  <si>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</si>
  <si>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</si>
  <si>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</si>
  <si>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</si>
  <si>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</si>
  <si>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</si>
  <si>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</si>
  <si>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</si>
  <si>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</si>
  <si>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</si>
  <si>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</si>
  <si>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</si>
  <si>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</si>
  <si>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</si>
  <si>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</si>
  <si>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</si>
  <si>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</si>
  <si>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</si>
  <si>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</si>
  <si>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</si>
  <si>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</si>
  <si>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</si>
  <si>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</si>
  <si>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</si>
  <si>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</si>
  <si>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</si>
  <si>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</si>
  <si>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</si>
  <si>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</si>
  <si>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</si>
  <si>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</si>
  <si>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</si>
  <si>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</si>
  <si>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</si>
  <si>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</si>
  <si>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</si>
  <si>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</si>
  <si>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</si>
  <si>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</si>
  <si>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</si>
  <si>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</si>
  <si>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</si>
  <si>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</si>
  <si>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</si>
  <si>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</si>
  <si>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</si>
  <si>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</si>
  <si>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</si>
  <si>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</si>
  <si>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</si>
  <si>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</si>
  <si>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</si>
  <si>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</si>
  <si>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</si>
  <si>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</si>
  <si>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</si>
  <si>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</si>
  <si>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</si>
  <si>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</si>
  <si>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</si>
  <si>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</si>
  <si>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</si>
  <si>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</si>
  <si>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</si>
  <si>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</si>
  <si>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</si>
  <si>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</si>
  <si>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</si>
  <si>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</si>
  <si>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</si>
  <si>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</si>
  <si>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</si>
  <si>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</si>
  <si>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</si>
  <si>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</si>
  <si>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</si>
  <si>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</si>
  <si>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</si>
  <si>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</si>
  <si>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</si>
  <si>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</si>
  <si>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</si>
  <si>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</si>
  <si>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</si>
  <si>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</si>
  <si>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</si>
  <si>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</si>
  <si>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</si>
  <si>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</si>
  <si>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</si>
  <si>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</si>
  <si>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</si>
  <si>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</si>
  <si>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</si>
  <si>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</si>
  <si>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</si>
  <si>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</si>
  <si>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</si>
  <si>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</si>
  <si>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</si>
  <si>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</si>
  <si>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</si>
  <si>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</si>
  <si>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</si>
  <si>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</si>
  <si>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</si>
  <si>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</si>
  <si>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</si>
  <si>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</si>
  <si>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</si>
  <si>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</si>
  <si>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</si>
  <si>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</si>
  <si>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</si>
  <si>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</si>
  <si>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</si>
  <si>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</si>
  <si>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</si>
  <si>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</si>
  <si>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</si>
  <si>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</si>
  <si>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</si>
  <si>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</si>
  <si>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</si>
  <si>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</si>
  <si>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</si>
  <si>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</si>
  <si>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</si>
  <si>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</si>
  <si>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</si>
  <si>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</si>
  <si>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</si>
  <si>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</si>
  <si>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</si>
  <si>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</si>
  <si>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</si>
  <si>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</si>
  <si>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</si>
  <si>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</si>
  <si>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</si>
  <si>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</si>
  <si>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</si>
  <si>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</si>
  <si>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</si>
  <si>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</si>
  <si>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</si>
  <si>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</si>
  <si>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</si>
  <si>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</si>
  <si>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</si>
  <si>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</si>
  <si>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</si>
  <si>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</si>
  <si>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</si>
  <si>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</si>
  <si>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</si>
  <si>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</si>
  <si>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</si>
  <si>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</si>
  <si>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</si>
  <si>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</si>
  <si>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</si>
  <si>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</si>
  <si>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</si>
  <si>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</si>
  <si>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</si>
  <si>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</si>
  <si>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</si>
  <si>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</si>
  <si>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</si>
  <si>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</si>
  <si>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</si>
  <si>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</si>
  <si>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</si>
  <si>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</si>
  <si>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</si>
  <si>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</si>
  <si>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</si>
  <si>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</si>
  <si>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</si>
  <si>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</si>
  <si>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</si>
  <si>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</si>
  <si>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</si>
  <si>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</si>
  <si>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</si>
  <si>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</si>
  <si>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</si>
  <si>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</si>
  <si>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</si>
  <si>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</si>
  <si>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</si>
  <si>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</si>
  <si>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</si>
  <si>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</si>
  <si>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</si>
  <si>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</si>
  <si>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</si>
  <si>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</si>
  <si>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</si>
  <si>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</si>
  <si>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</si>
  <si>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</si>
  <si>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</si>
  <si>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</si>
  <si>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</si>
  <si>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</si>
  <si>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</si>
  <si>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</si>
  <si>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</si>
  <si>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</si>
  <si>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</si>
  <si>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</si>
  <si>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</si>
  <si>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</si>
  <si>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</si>
  <si>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</si>
  <si>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</si>
  <si>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</si>
  <si>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</si>
  <si>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</si>
  <si>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</si>
  <si>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</si>
  <si>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</si>
  <si>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</si>
  <si>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</si>
  <si>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</si>
  <si>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</si>
  <si>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</si>
  <si>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</si>
  <si>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</si>
  <si>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</si>
  <si>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</si>
  <si>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</si>
  <si>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</si>
  <si>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</si>
  <si>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</si>
  <si>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</si>
  <si>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</si>
  <si>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</si>
  <si>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</si>
  <si>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</si>
  <si>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</si>
  <si>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</si>
  <si>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</si>
  <si>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</si>
  <si>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</si>
  <si>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</si>
  <si>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</si>
  <si>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</si>
  <si>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</si>
  <si>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</si>
  <si>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</si>
  <si>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</si>
  <si>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</si>
  <si>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</si>
  <si>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</si>
  <si>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</si>
  <si>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</si>
  <si>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</si>
  <si>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</si>
  <si>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</si>
  <si>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</si>
  <si>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</si>
  <si>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</si>
  <si>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</si>
  <si>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</si>
  <si>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</si>
  <si>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</si>
  <si>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</si>
  <si>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</si>
  <si>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</si>
  <si>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</si>
  <si>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</si>
  <si>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</si>
  <si>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</si>
  <si>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</si>
  <si>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</si>
  <si>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</si>
  <si>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</si>
  <si>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</si>
  <si>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</si>
  <si>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</si>
  <si>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</si>
  <si>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</si>
  <si>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</si>
  <si>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</si>
  <si>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</si>
  <si>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</si>
  <si>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</si>
  <si>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</si>
  <si>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</si>
  <si>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</si>
  <si>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</si>
  <si>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</si>
  <si>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</si>
  <si>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</si>
  <si>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</si>
  <si>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</si>
  <si>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</si>
  <si>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</si>
  <si>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</si>
  <si>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</si>
  <si>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</si>
  <si>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</si>
  <si>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</si>
  <si>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</si>
  <si>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</si>
  <si>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</si>
  <si>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</si>
  <si>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</si>
  <si>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</si>
  <si>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</si>
  <si>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</si>
  <si>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</si>
  <si>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</si>
  <si>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</si>
  <si>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</si>
  <si>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</si>
  <si>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</si>
  <si>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</si>
  <si>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</si>
  <si>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</si>
  <si>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</si>
  <si>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</si>
  <si>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</si>
  <si>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</si>
  <si>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</si>
  <si>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</si>
  <si>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</si>
  <si>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</si>
  <si>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</si>
  <si>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</si>
  <si>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</si>
  <si>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</si>
  <si>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</si>
  <si>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</si>
  <si>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</si>
  <si>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</si>
  <si>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</si>
  <si>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</si>
  <si>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</si>
  <si>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</si>
  <si>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</si>
  <si>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</si>
  <si>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</si>
  <si>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</si>
  <si>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</si>
  <si>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</si>
  <si>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</si>
  <si>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</si>
  <si>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</si>
  <si>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</si>
  <si>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</si>
  <si>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</si>
  <si>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</si>
  <si>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</si>
  <si>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</si>
  <si>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</si>
  <si>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</si>
  <si>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</si>
  <si>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</si>
  <si>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</si>
  <si>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</si>
  <si>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</si>
  <si>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</si>
  <si>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</si>
  <si>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</si>
  <si>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</si>
  <si>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</si>
  <si>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</si>
  <si>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</si>
  <si>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</si>
  <si>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</si>
  <si>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</si>
  <si>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</si>
  <si>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</si>
  <si>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</si>
  <si>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</si>
  <si>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</si>
  <si>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</si>
  <si>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</si>
  <si>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</si>
  <si>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</si>
  <si>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</si>
  <si>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</si>
  <si>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</si>
  <si>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</si>
  <si>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</si>
  <si>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</si>
  <si>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</si>
  <si>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</si>
  <si>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</si>
  <si>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</si>
  <si>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</si>
  <si>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</si>
  <si>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</si>
  <si>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</si>
  <si>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</si>
  <si>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</si>
  <si>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</si>
  <si>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</si>
  <si>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</si>
  <si>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</si>
  <si>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</si>
  <si>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</si>
  <si>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</si>
  <si>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</si>
  <si>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</si>
  <si>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</si>
  <si>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</si>
  <si>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</si>
  <si>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</si>
  <si>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</si>
  <si>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</si>
  <si>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</si>
  <si>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</si>
  <si>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</si>
  <si>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</si>
  <si>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</si>
  <si>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</si>
  <si>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</si>
  <si>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</si>
  <si>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</si>
  <si>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</si>
  <si>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</si>
  <si>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</si>
  <si>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</si>
  <si>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</si>
  <si>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</si>
  <si>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</si>
  <si>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</si>
  <si>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</si>
  <si>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</si>
  <si>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</si>
  <si>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</si>
  <si>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</si>
  <si>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</si>
  <si>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</si>
  <si>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</si>
  <si>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</si>
  <si>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</si>
  <si>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</si>
  <si>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</si>
  <si>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</si>
  <si>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</si>
  <si>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</si>
  <si>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</si>
  <si>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</si>
  <si>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</si>
  <si>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</si>
  <si>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</si>
  <si>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</si>
  <si>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</si>
  <si>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</si>
  <si>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</si>
  <si>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</si>
  <si>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</si>
  <si>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</si>
  <si>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</si>
  <si>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</si>
  <si>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</si>
  <si>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</si>
  <si>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</si>
  <si>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</si>
  <si>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</si>
  <si>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</si>
  <si>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</si>
  <si>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</si>
  <si>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</si>
  <si>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</si>
  <si>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</si>
  <si>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</si>
  <si>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</si>
  <si>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</si>
  <si>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</si>
  <si>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</si>
  <si>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</si>
  <si>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</si>
  <si>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</si>
  <si>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</si>
  <si>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</si>
  <si>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</si>
  <si>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</si>
  <si>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</si>
  <si>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</si>
  <si>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</si>
  <si>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</si>
  <si>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</si>
  <si>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</si>
  <si>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</si>
  <si>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</si>
  <si>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</si>
  <si>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</si>
  <si>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</si>
  <si>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</si>
  <si>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</si>
  <si>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</si>
  <si>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</si>
  <si>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</si>
  <si>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</si>
  <si>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</si>
  <si>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</si>
  <si>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</si>
  <si>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</si>
  <si>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</si>
  <si>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</si>
  <si>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</si>
  <si>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</si>
  <si>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</si>
  <si>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</si>
  <si>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</si>
  <si>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</si>
  <si>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</si>
  <si>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</si>
  <si>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</si>
  <si>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</si>
  <si>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</si>
  <si>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</si>
  <si>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</si>
  <si>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</si>
  <si>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</si>
  <si>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</si>
  <si>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</si>
  <si>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</si>
  <si>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</si>
  <si>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</si>
  <si>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</si>
  <si>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</si>
  <si>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</si>
  <si>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</si>
  <si>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</si>
  <si>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</si>
  <si>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</si>
  <si>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</si>
  <si>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</si>
  <si>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</si>
  <si>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</si>
  <si>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</si>
  <si>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</si>
  <si>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</si>
  <si>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</si>
  <si>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</si>
  <si>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</si>
  <si>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</si>
  <si>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</si>
  <si>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</si>
  <si>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</si>
  <si>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</si>
  <si>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</si>
  <si>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</si>
  <si>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</si>
  <si>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</si>
  <si>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</si>
  <si>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</si>
  <si>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</si>
  <si>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</si>
  <si>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</si>
  <si>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</si>
  <si>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</si>
  <si>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</si>
  <si>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</si>
  <si>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</si>
  <si>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</si>
  <si>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</si>
  <si>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</si>
  <si>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</si>
  <si>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</si>
  <si>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</si>
  <si>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</si>
  <si>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</si>
  <si>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</si>
  <si>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</si>
  <si>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</si>
  <si>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</si>
  <si>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</si>
  <si>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</si>
  <si>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</si>
  <si>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</si>
  <si>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</si>
  <si>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</si>
  <si>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</si>
  <si>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</si>
  <si>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</si>
  <si>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</si>
  <si>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</si>
  <si>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</si>
  <si>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</si>
  <si>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</si>
  <si>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</si>
  <si>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</si>
  <si>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</si>
  <si>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</si>
  <si>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</si>
  <si>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</si>
  <si>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</si>
  <si>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</si>
  <si>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</si>
  <si>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</si>
  <si>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</si>
  <si>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</si>
  <si>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</si>
  <si>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</si>
  <si>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</si>
  <si>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</si>
  <si>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</si>
  <si>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</si>
  <si>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</si>
  <si>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</si>
  <si>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</si>
  <si>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</si>
  <si>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</si>
  <si>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</si>
  <si>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</si>
  <si>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</si>
  <si>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</si>
  <si>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</si>
  <si>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</si>
  <si>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</si>
  <si>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</si>
  <si>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</si>
  <si>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</si>
  <si>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</si>
  <si>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</si>
  <si>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</si>
  <si>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</si>
  <si>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</si>
  <si>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</si>
  <si>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</si>
  <si>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</si>
  <si>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</si>
  <si>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</si>
  <si>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</si>
  <si>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</si>
  <si>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</si>
  <si>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</si>
  <si>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</si>
  <si>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</si>
  <si>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</si>
  <si>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</si>
  <si>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</si>
  <si>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</si>
  <si>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</si>
  <si>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</si>
  <si>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</si>
  <si>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</si>
  <si>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</si>
  <si>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</si>
  <si>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</si>
  <si>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</si>
  <si>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</si>
  <si>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</si>
  <si>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</si>
  <si>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</si>
  <si>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</si>
  <si>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</si>
  <si>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</si>
  <si>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</si>
  <si>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</si>
  <si>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</si>
  <si>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</si>
  <si>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</si>
  <si>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</si>
  <si>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</si>
  <si>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</si>
  <si>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</si>
  <si>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</si>
  <si>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</si>
  <si>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</si>
  <si>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</si>
  <si>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</si>
  <si>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</si>
  <si>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</si>
  <si>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</si>
  <si>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</si>
  <si>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</si>
  <si>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</si>
  <si>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</si>
  <si>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</si>
  <si>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</si>
  <si>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</si>
  <si>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</si>
  <si>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</si>
  <si>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</si>
  <si>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</si>
  <si>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</si>
  <si>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</si>
  <si>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</si>
  <si>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</si>
  <si>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</si>
  <si>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</si>
  <si>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</si>
  <si>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</si>
  <si>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</si>
  <si>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</si>
  <si>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</si>
  <si>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</si>
  <si>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</si>
  <si>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</si>
  <si>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</si>
  <si>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</si>
  <si>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</si>
  <si>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</si>
  <si>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</si>
  <si>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</si>
  <si>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</si>
  <si>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</si>
  <si>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</si>
  <si>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</si>
  <si>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</si>
  <si>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</si>
  <si>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</si>
  <si>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</si>
  <si>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</si>
  <si>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</si>
  <si>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</si>
  <si>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</si>
  <si>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</si>
  <si>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</si>
  <si>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</si>
  <si>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</si>
  <si>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</si>
  <si>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</si>
  <si>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</si>
  <si>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</si>
  <si>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</si>
  <si>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</si>
  <si>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</si>
  <si>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</si>
  <si>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</si>
  <si>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</si>
  <si>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</si>
  <si>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</si>
  <si>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</si>
  <si>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</si>
  <si>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</si>
  <si>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</si>
  <si>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</si>
  <si>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</si>
  <si>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</si>
  <si>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</si>
  <si>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</si>
  <si>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</si>
  <si>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</si>
  <si>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</si>
  <si>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</si>
  <si>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</si>
  <si>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</si>
  <si>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</si>
  <si>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</si>
  <si>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</si>
  <si>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</si>
  <si>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</si>
  <si>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</si>
  <si>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</si>
  <si>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</si>
  <si>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</si>
  <si>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</si>
  <si>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</si>
  <si>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</si>
  <si>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</si>
  <si>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</si>
  <si>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</si>
  <si>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</si>
  <si>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</si>
  <si>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</si>
  <si>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</si>
  <si>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</si>
  <si>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</si>
  <si>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</si>
  <si>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</si>
  <si>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</si>
  <si>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</si>
  <si>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</si>
  <si>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</si>
  <si>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</si>
  <si>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</si>
  <si>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</si>
  <si>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</si>
  <si>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</si>
  <si>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</si>
  <si>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</si>
  <si>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</si>
  <si>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</si>
  <si>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</si>
  <si>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</si>
  <si>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</si>
  <si>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</si>
  <si>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</si>
  <si>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</si>
  <si>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</si>
  <si>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</si>
  <si>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</si>
  <si>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</si>
  <si>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</si>
  <si>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</si>
  <si>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</si>
  <si>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</si>
  <si>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</si>
  <si>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</si>
  <si>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</si>
  <si>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</si>
  <si>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</si>
  <si>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</si>
  <si>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</si>
  <si>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</si>
  <si>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</si>
  <si>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</si>
  <si>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</si>
  <si>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</si>
  <si>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</si>
  <si>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</si>
  <si>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</si>
  <si>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</si>
  <si>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</si>
  <si>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</si>
  <si>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</si>
  <si>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</si>
  <si>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</si>
  <si>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</si>
  <si>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</si>
  <si>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</si>
  <si>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</si>
  <si>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</si>
  <si>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</si>
  <si>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</si>
  <si>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</si>
  <si>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</si>
  <si>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</si>
  <si>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</si>
  <si>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</si>
  <si>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</si>
  <si>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</si>
  <si>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</si>
  <si>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</si>
  <si>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</si>
  <si>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</si>
  <si>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</si>
  <si>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</si>
  <si>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</si>
  <si>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</si>
  <si>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</si>
  <si>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</si>
  <si>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</si>
  <si>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</si>
  <si>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</si>
  <si>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</si>
  <si>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</si>
  <si>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</si>
  <si>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</si>
  <si>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</si>
  <si>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</si>
  <si>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</si>
  <si>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</si>
  <si>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</si>
  <si>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</si>
  <si>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</si>
  <si>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</si>
  <si>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</si>
  <si>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</si>
  <si>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</si>
  <si>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</si>
  <si>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</si>
  <si>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</si>
  <si>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</si>
  <si>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</si>
  <si>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</si>
  <si>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</si>
  <si>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</si>
  <si>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</si>
  <si>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</si>
  <si>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</si>
  <si>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</si>
  <si>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</si>
  <si>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</si>
  <si>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</si>
  <si>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</si>
  <si>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</si>
  <si>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</si>
  <si>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</si>
  <si>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</si>
  <si>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</si>
  <si>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</si>
  <si>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</si>
  <si>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</si>
  <si>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</si>
  <si>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</si>
  <si>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</si>
  <si>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</si>
  <si>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</si>
  <si>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</si>
  <si>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</si>
  <si>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</si>
  <si>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</si>
  <si>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</si>
  <si>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</si>
  <si>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</si>
  <si>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</si>
  <si>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</si>
  <si>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</si>
  <si>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</si>
  <si>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</si>
  <si>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</si>
  <si>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</si>
  <si>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</si>
  <si>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</si>
  <si>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</si>
  <si>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</si>
  <si>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</si>
  <si>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</si>
  <si>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</si>
  <si>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</si>
  <si>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</si>
  <si>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</si>
  <si>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</si>
  <si>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</si>
  <si>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</si>
  <si>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</si>
  <si>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</si>
  <si>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</si>
  <si>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</si>
  <si>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</si>
  <si>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</si>
  <si>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</si>
  <si>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</si>
  <si>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</si>
  <si>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</si>
  <si>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</si>
  <si>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</si>
  <si>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</si>
  <si>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</si>
  <si>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</si>
  <si>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</si>
  <si>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</si>
  <si>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</si>
  <si>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</si>
  <si>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</si>
  <si>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</si>
  <si>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</si>
  <si>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</si>
  <si>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</si>
  <si>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</si>
  <si>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</si>
  <si>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</si>
  <si>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</si>
  <si>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</si>
  <si>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</si>
  <si>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</si>
  <si>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</si>
  <si>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</si>
  <si>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</si>
  <si>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</si>
  <si>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</si>
  <si>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</si>
  <si>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</si>
  <si>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</si>
  <si>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</si>
  <si>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</si>
  <si>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</si>
  <si>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</si>
  <si>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</si>
  <si>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</si>
  <si>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</si>
  <si>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</si>
  <si>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</si>
  <si>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</si>
  <si>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</si>
  <si>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</si>
  <si>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</si>
  <si>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</si>
  <si>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</si>
  <si>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</si>
  <si>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</si>
  <si>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</si>
  <si>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</si>
  <si>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</si>
  <si>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</si>
  <si>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</si>
  <si>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</si>
  <si>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</si>
  <si>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</si>
  <si>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</si>
  <si>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</si>
  <si>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</si>
  <si>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</si>
  <si>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</si>
  <si>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</si>
  <si>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</si>
  <si>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</si>
  <si>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</si>
  <si>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</si>
  <si>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</si>
  <si>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</si>
  <si>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</si>
  <si>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</si>
  <si>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</si>
  <si>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</si>
  <si>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</si>
  <si>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</si>
  <si>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</si>
  <si>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</si>
  <si>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</si>
  <si>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</si>
  <si>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</si>
  <si>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</si>
  <si>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</si>
  <si>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</si>
  <si>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</si>
  <si>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</si>
  <si>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</si>
  <si>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</si>
  <si>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</si>
  <si>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</si>
  <si>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</si>
  <si>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</si>
  <si>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</si>
  <si>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</si>
  <si>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</si>
  <si>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</si>
  <si>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</si>
  <si>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</si>
  <si>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</si>
  <si>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</si>
  <si>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</si>
  <si>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</si>
  <si>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</si>
  <si>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</si>
  <si>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</si>
  <si>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</si>
  <si>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</si>
  <si>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</si>
  <si>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</si>
  <si>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</si>
  <si>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</si>
  <si>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</si>
  <si>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</si>
  <si>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</si>
  <si>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</si>
  <si>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Lake</t>
  </si>
  <si>
    <t>11315 W. Wadsworth Road</t>
  </si>
  <si>
    <t xml:space="preserve">Beach Park  </t>
  </si>
  <si>
    <t>Evans, Marshall and Pease, PC</t>
  </si>
  <si>
    <t>Jeffery M. Rollefson, CPA</t>
  </si>
  <si>
    <t>1875 Hicks Road</t>
  </si>
  <si>
    <t xml:space="preserve">Rolling Meadows </t>
  </si>
  <si>
    <t>Illinois</t>
  </si>
  <si>
    <t>847-221-5700</t>
  </si>
  <si>
    <t>847-221-5701</t>
  </si>
  <si>
    <t>060-003973</t>
  </si>
  <si>
    <t>jeff@empcpa.com</t>
  </si>
  <si>
    <r>
      <t xml:space="preserve">The accompanying Schedule of Expenditures of Federal Awards includes the federal grant activity of Beach Park CCSD No. 3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t>
    </r>
    <r>
      <rPr>
        <sz val="9"/>
        <rFont val="Calibri"/>
        <family val="2"/>
        <scheme val="minor"/>
      </rPr>
      <t>financial statements.</t>
    </r>
  </si>
  <si>
    <t>none</t>
  </si>
  <si>
    <t>no</t>
  </si>
  <si>
    <t>US DEPARTMENT OF EDUCATION</t>
  </si>
  <si>
    <t>Passed through the Illinois State Board of Education</t>
  </si>
  <si>
    <t>Title I low income</t>
  </si>
  <si>
    <t>17-4300-00</t>
  </si>
  <si>
    <t>18-4300-00</t>
  </si>
  <si>
    <t>proj end 8/31</t>
  </si>
  <si>
    <t>Title II Teacher quality</t>
  </si>
  <si>
    <t>17-4932-00</t>
  </si>
  <si>
    <t>18-4932-00</t>
  </si>
  <si>
    <t>Title III LIPLEP</t>
  </si>
  <si>
    <t>17-4909-00</t>
  </si>
  <si>
    <t>18-4909-00</t>
  </si>
  <si>
    <t>Title III limited english</t>
  </si>
  <si>
    <t>17-4905-00</t>
  </si>
  <si>
    <t>18-4905-00</t>
  </si>
  <si>
    <t>IDEA room and board</t>
  </si>
  <si>
    <t>17-4625-00</t>
  </si>
  <si>
    <t>n/a</t>
  </si>
  <si>
    <t>Passed through the Special Education District of Lake County</t>
  </si>
  <si>
    <t xml:space="preserve">IDEA - Preschool </t>
  </si>
  <si>
    <t>17-4600-00</t>
  </si>
  <si>
    <t>18-4600-00</t>
  </si>
  <si>
    <t>IDEA-flow through</t>
  </si>
  <si>
    <t>17-4620-00</t>
  </si>
  <si>
    <t>18-4620-00</t>
  </si>
  <si>
    <t>US DEPARTMENT OF AGRICULTURE</t>
  </si>
  <si>
    <t>National School Lunch (M)</t>
  </si>
  <si>
    <t>17-4210-00</t>
  </si>
  <si>
    <t>18-4210-00</t>
  </si>
  <si>
    <t>Title IVA  student support and enrichment</t>
  </si>
  <si>
    <t>18-4400-00</t>
  </si>
  <si>
    <t xml:space="preserve">   TOTAL US DEPARETMENT OF EDUCATION</t>
  </si>
  <si>
    <t>proj end 9/30</t>
  </si>
  <si>
    <t>Special Milk (M)</t>
  </si>
  <si>
    <t>17-4215-00</t>
  </si>
  <si>
    <t>18-4215-00</t>
  </si>
  <si>
    <t>fy18</t>
  </si>
  <si>
    <t>Commodities - non cash (M)</t>
  </si>
  <si>
    <t>School breakfast (M)</t>
  </si>
  <si>
    <t>17-4220-00</t>
  </si>
  <si>
    <t>18-4220-00</t>
  </si>
  <si>
    <t xml:space="preserve">   TOTAL US DEPARTMENT OF AGRICULTURE</t>
  </si>
  <si>
    <t>US DEPARTMENT OF HEALTH AND HUMAN SERVICES</t>
  </si>
  <si>
    <t>Passed through the Illinois Department of Healthcare and Family Services</t>
  </si>
  <si>
    <t>Medicaid matching outreach</t>
  </si>
  <si>
    <t>18-4991-00</t>
  </si>
  <si>
    <t xml:space="preserve">   TOTAL US DEPARTMENT OF HEALTH AND HUMAN SERVICES</t>
  </si>
  <si>
    <t xml:space="preserve">     TOTAL FEDERAL AWARDS</t>
  </si>
  <si>
    <t>QUALIFIED</t>
  </si>
  <si>
    <t>X</t>
  </si>
  <si>
    <t>NATIONAL SCHOOL LUNCH</t>
  </si>
  <si>
    <t>COMMODITIES</t>
  </si>
  <si>
    <t xml:space="preserve">SCHOOL BREAKFAST </t>
  </si>
  <si>
    <t>SPECIAL MILK</t>
  </si>
  <si>
    <t>NONE</t>
  </si>
  <si>
    <t>GO Capital Appreciation Bonds 2004</t>
  </si>
  <si>
    <t>Capital Leases</t>
  </si>
  <si>
    <t>Various</t>
  </si>
  <si>
    <t>SEDOL</t>
  </si>
  <si>
    <t>Operations and Maintenance Fund</t>
  </si>
  <si>
    <t>40-2550-300</t>
  </si>
  <si>
    <t>20-2540-300</t>
  </si>
  <si>
    <t>40-2550-400</t>
  </si>
  <si>
    <t>10-2560-300</t>
  </si>
  <si>
    <t>Durham</t>
  </si>
  <si>
    <t>GTS Landscaping</t>
  </si>
  <si>
    <t>Alpha Building Maintenance</t>
  </si>
  <si>
    <t>Palatine Oil Company</t>
  </si>
  <si>
    <t>Preferred Meal Service</t>
  </si>
  <si>
    <t>Techstar</t>
  </si>
  <si>
    <t>Integrys</t>
  </si>
  <si>
    <t>Unmodified</t>
  </si>
  <si>
    <t>Beach Park CCSD 3</t>
  </si>
  <si>
    <t>10-1000-300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</si>
</sst>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62" fillId="0" borderId="22" xfId="3" applyNumberFormat="1" applyFont="1" applyBorder="1" applyAlignment="1" applyProtection="1">
      <alignment horizontal="left" vertical="center" wrapText="1"/>
      <protection locked="0"/>
    </xf>
    <xf numFmtId="3" fontId="71" fillId="0" borderId="22" xfId="3" applyNumberFormat="1" applyFont="1" applyBorder="1" applyAlignment="1" applyProtection="1">
      <alignment horizontal="left" vertical="center" wrapText="1"/>
      <protection locked="0"/>
    </xf>
    <xf numFmtId="3" fontId="62" fillId="0" borderId="22"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3" fontId="85" fillId="0" borderId="22" xfId="3" applyNumberFormat="1" applyFont="1" applyBorder="1" applyAlignment="1" applyProtection="1">
      <alignment horizontal="left" vertical="center" wrapText="1"/>
      <protection locked="0"/>
    </xf>
    <xf numFmtId="3" fontId="85" fillId="0" borderId="22" xfId="3" applyNumberFormat="1"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1922319</xdr:colOff>
          <xdr:row>3</xdr:row>
          <xdr:rowOff>147205</xdr:rowOff>
        </xdr:from>
        <xdr:to>
          <xdr:col>1</xdr:col>
          <xdr:colOff>2833255</xdr:colOff>
          <xdr:row>8</xdr:row>
          <xdr:rowOff>20782</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3013364</xdr:colOff>
          <xdr:row>3</xdr:row>
          <xdr:rowOff>164522</xdr:rowOff>
        </xdr:from>
        <xdr:to>
          <xdr:col>1</xdr:col>
          <xdr:colOff>3924300</xdr:colOff>
          <xdr:row>8</xdr:row>
          <xdr:rowOff>38099</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121228</xdr:colOff>
          <xdr:row>3</xdr:row>
          <xdr:rowOff>147205</xdr:rowOff>
        </xdr:from>
        <xdr:to>
          <xdr:col>3</xdr:col>
          <xdr:colOff>426028</xdr:colOff>
          <xdr:row>8</xdr:row>
          <xdr:rowOff>20781</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7" t="s">
        <v>425</v>
      </c>
      <c r="J1" s="2008"/>
      <c r="K1" s="2008"/>
      <c r="L1" s="2008"/>
      <c r="M1" s="2008"/>
      <c r="N1" s="2008"/>
      <c r="O1" s="2008"/>
      <c r="P1" s="2008"/>
      <c r="Q1" s="2008"/>
      <c r="R1" s="2008"/>
      <c r="S1" s="2008"/>
    </row>
    <row r="2" spans="1:28" ht="12" customHeight="1" x14ac:dyDescent="0.2">
      <c r="A2" s="47" t="s">
        <v>1684</v>
      </c>
      <c r="D2" s="48"/>
      <c r="I2" s="2009" t="s">
        <v>1036</v>
      </c>
      <c r="J2" s="2008"/>
      <c r="K2" s="2008"/>
      <c r="L2" s="2008"/>
      <c r="M2" s="2008"/>
      <c r="N2" s="2008"/>
      <c r="O2" s="2008"/>
      <c r="P2" s="2008"/>
      <c r="Q2" s="2008"/>
      <c r="R2" s="2008"/>
      <c r="S2" s="2008"/>
    </row>
    <row r="3" spans="1:28" ht="12" customHeight="1" x14ac:dyDescent="0.2">
      <c r="A3" s="155" t="s">
        <v>1685</v>
      </c>
      <c r="B3" s="156"/>
      <c r="C3" s="156"/>
      <c r="D3" s="157"/>
      <c r="I3" s="2009" t="s">
        <v>54</v>
      </c>
      <c r="J3" s="2008"/>
      <c r="K3" s="2008"/>
      <c r="L3" s="2008"/>
      <c r="M3" s="2008"/>
      <c r="N3" s="2008"/>
      <c r="O3" s="2008"/>
      <c r="P3" s="2008"/>
      <c r="Q3" s="2008"/>
      <c r="R3" s="2008"/>
      <c r="S3" s="2008"/>
    </row>
    <row r="4" spans="1:28" ht="12" customHeight="1" x14ac:dyDescent="0.2">
      <c r="A4" s="37"/>
      <c r="I4" s="2009" t="s">
        <v>545</v>
      </c>
      <c r="J4" s="2008"/>
      <c r="K4" s="2008"/>
      <c r="L4" s="2008"/>
      <c r="M4" s="2008"/>
      <c r="N4" s="2008"/>
      <c r="O4" s="2008"/>
      <c r="P4" s="2008"/>
      <c r="Q4" s="2008"/>
      <c r="R4" s="2008"/>
      <c r="S4" s="2008"/>
    </row>
    <row r="5" spans="1:28" ht="14.1" customHeight="1" x14ac:dyDescent="0.2">
      <c r="B5" s="104" t="s">
        <v>2076</v>
      </c>
      <c r="C5" s="26" t="s">
        <v>966</v>
      </c>
      <c r="D5" s="84"/>
      <c r="E5" s="84"/>
      <c r="H5" s="38"/>
      <c r="I5" s="2017" t="s">
        <v>701</v>
      </c>
      <c r="J5" s="2016"/>
      <c r="K5" s="2016"/>
      <c r="L5" s="2016"/>
      <c r="M5" s="2016"/>
      <c r="N5" s="2016"/>
      <c r="O5" s="2016"/>
      <c r="P5" s="2016"/>
      <c r="Q5" s="2016"/>
      <c r="R5" s="2016"/>
      <c r="S5" s="2016"/>
    </row>
    <row r="6" spans="1:28" ht="14.1" customHeight="1" x14ac:dyDescent="0.2">
      <c r="B6" s="104"/>
      <c r="C6" s="26" t="s">
        <v>967</v>
      </c>
      <c r="D6" s="84"/>
      <c r="E6" s="84"/>
      <c r="I6" s="2015" t="s">
        <v>938</v>
      </c>
      <c r="J6" s="2016"/>
      <c r="K6" s="2016"/>
      <c r="L6" s="2016"/>
      <c r="M6" s="2016"/>
      <c r="N6" s="2016"/>
      <c r="O6" s="2016"/>
      <c r="P6" s="2016"/>
      <c r="Q6" s="2016"/>
      <c r="R6" s="2016"/>
      <c r="S6" s="2016"/>
    </row>
    <row r="7" spans="1:28" ht="12.2" customHeight="1" x14ac:dyDescent="0.2">
      <c r="I7" s="2010">
        <v>43281</v>
      </c>
      <c r="J7" s="2011"/>
      <c r="K7" s="2011"/>
      <c r="L7" s="2011"/>
      <c r="M7" s="2011"/>
      <c r="N7" s="2011"/>
      <c r="O7" s="2011"/>
      <c r="P7" s="2011"/>
      <c r="Q7" s="2011"/>
      <c r="R7" s="2011"/>
      <c r="S7" s="201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2" t="s">
        <v>695</v>
      </c>
      <c r="J9" s="2013"/>
      <c r="K9" s="2013"/>
      <c r="L9" s="2013"/>
      <c r="M9" s="2013"/>
      <c r="N9" s="2013"/>
      <c r="O9" s="2013"/>
      <c r="P9" s="2013"/>
      <c r="Q9" s="2013"/>
      <c r="R9" s="2013"/>
      <c r="S9" s="2014"/>
      <c r="T9" s="2028" t="s">
        <v>554</v>
      </c>
      <c r="U9" s="2029"/>
      <c r="V9" s="2029"/>
      <c r="W9" s="2029"/>
      <c r="X9" s="2029"/>
      <c r="Y9" s="2029"/>
      <c r="Z9" s="2029"/>
      <c r="AA9" s="2030"/>
    </row>
    <row r="10" spans="1:28" ht="13.5" customHeight="1" x14ac:dyDescent="0.2">
      <c r="A10" s="2035" t="s">
        <v>696</v>
      </c>
      <c r="B10" s="2036"/>
      <c r="C10" s="2036"/>
      <c r="D10" s="2036"/>
      <c r="E10" s="2036"/>
      <c r="F10" s="2036"/>
      <c r="G10" s="2036"/>
      <c r="H10" s="2037"/>
      <c r="I10" s="29"/>
      <c r="J10" s="30"/>
      <c r="K10" s="28"/>
      <c r="R10" s="30"/>
      <c r="S10" s="30"/>
      <c r="T10" s="2031"/>
      <c r="U10" s="2016"/>
      <c r="V10" s="2016"/>
      <c r="W10" s="2016"/>
      <c r="X10" s="2016"/>
      <c r="Y10" s="2016"/>
      <c r="Z10" s="2016"/>
      <c r="AA10" s="2022"/>
    </row>
    <row r="11" spans="1:28" ht="14.25" customHeight="1" x14ac:dyDescent="0.2">
      <c r="A11" s="2038" t="s">
        <v>1012</v>
      </c>
      <c r="B11" s="2039"/>
      <c r="C11" s="2039"/>
      <c r="D11" s="2039"/>
      <c r="E11" s="2039"/>
      <c r="F11" s="2039"/>
      <c r="G11" s="2039"/>
      <c r="H11" s="2040"/>
      <c r="I11" s="27"/>
      <c r="J11" s="74"/>
      <c r="K11" s="27"/>
      <c r="O11" s="148" t="s">
        <v>2076</v>
      </c>
      <c r="P11" s="100" t="s">
        <v>210</v>
      </c>
      <c r="Q11" s="30"/>
      <c r="R11" s="28"/>
      <c r="S11" s="27"/>
      <c r="T11" s="2032"/>
      <c r="U11" s="2033"/>
      <c r="V11" s="2033"/>
      <c r="W11" s="2033"/>
      <c r="X11" s="2033"/>
      <c r="Y11" s="2033"/>
      <c r="Z11" s="2033"/>
      <c r="AA11" s="203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2">
        <v>34049003004</v>
      </c>
      <c r="B13" s="2043"/>
      <c r="C13" s="2043"/>
      <c r="D13" s="2043"/>
      <c r="E13" s="2043"/>
      <c r="F13" s="2043"/>
      <c r="G13" s="2043"/>
      <c r="H13" s="2044"/>
      <c r="I13" s="31"/>
      <c r="J13" s="30"/>
      <c r="K13" s="28"/>
      <c r="L13" s="30"/>
      <c r="M13" s="30"/>
      <c r="N13" s="30"/>
      <c r="O13" s="30"/>
      <c r="P13" s="30"/>
      <c r="Q13" s="30"/>
      <c r="R13" s="30"/>
      <c r="S13" s="30"/>
      <c r="T13" s="2047" t="s">
        <v>2080</v>
      </c>
      <c r="U13" s="2048"/>
      <c r="V13" s="2048"/>
      <c r="W13" s="2048"/>
      <c r="X13" s="2048"/>
      <c r="Y13" s="2049"/>
      <c r="Z13" s="2049"/>
      <c r="AA13" s="205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1" t="s">
        <v>2077</v>
      </c>
      <c r="B15" s="2045"/>
      <c r="C15" s="2045"/>
      <c r="D15" s="2045"/>
      <c r="E15" s="2045"/>
      <c r="F15" s="2045"/>
      <c r="G15" s="2045"/>
      <c r="H15" s="2046"/>
      <c r="T15" s="2051" t="s">
        <v>2081</v>
      </c>
      <c r="U15" s="1995"/>
      <c r="V15" s="1995"/>
      <c r="W15" s="1995"/>
      <c r="X15" s="1995"/>
      <c r="Y15" s="2052"/>
      <c r="Z15" s="2052"/>
      <c r="AA15" s="205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1" t="s">
        <v>2164</v>
      </c>
      <c r="B17" s="2002"/>
      <c r="C17" s="2002"/>
      <c r="D17" s="2002"/>
      <c r="E17" s="2002"/>
      <c r="F17" s="2002"/>
      <c r="G17" s="2002"/>
      <c r="H17" s="2027"/>
      <c r="T17" s="2058" t="s">
        <v>2082</v>
      </c>
      <c r="U17" s="2059"/>
      <c r="V17" s="2059"/>
      <c r="W17" s="2059"/>
      <c r="X17" s="2059"/>
      <c r="Y17" s="2059"/>
      <c r="Z17" s="2059"/>
      <c r="AA17" s="2060"/>
    </row>
    <row r="18" spans="1:27" ht="13.5" customHeight="1" x14ac:dyDescent="0.2">
      <c r="A18" s="85" t="s">
        <v>551</v>
      </c>
      <c r="B18" s="76"/>
      <c r="C18" s="72"/>
      <c r="D18" s="76"/>
      <c r="E18" s="76"/>
      <c r="F18" s="76"/>
      <c r="G18" s="76"/>
      <c r="H18" s="56"/>
      <c r="I18" s="2026" t="s">
        <v>697</v>
      </c>
      <c r="J18" s="1977"/>
      <c r="K18" s="1977"/>
      <c r="L18" s="1977"/>
      <c r="M18" s="1977"/>
      <c r="N18" s="1977"/>
      <c r="O18" s="1977"/>
      <c r="P18" s="1977"/>
      <c r="Q18" s="1977"/>
      <c r="R18" s="1977"/>
      <c r="S18" s="1978"/>
      <c r="T18" s="85" t="s">
        <v>735</v>
      </c>
      <c r="U18" s="51"/>
      <c r="V18" s="72"/>
      <c r="W18" s="50"/>
      <c r="X18" s="85" t="s">
        <v>284</v>
      </c>
      <c r="Y18" s="81"/>
      <c r="Z18" s="159" t="s">
        <v>698</v>
      </c>
      <c r="AA18" s="46"/>
    </row>
    <row r="19" spans="1:27" ht="13.5" customHeight="1" x14ac:dyDescent="0.2">
      <c r="A19" s="2041" t="s">
        <v>2078</v>
      </c>
      <c r="B19" s="1987"/>
      <c r="C19" s="1987"/>
      <c r="D19" s="1987"/>
      <c r="E19" s="1987"/>
      <c r="F19" s="1987"/>
      <c r="G19" s="1987"/>
      <c r="H19" s="1967"/>
      <c r="I19" s="30"/>
      <c r="J19" s="99"/>
      <c r="K19" s="40"/>
      <c r="L19" s="38"/>
      <c r="M19" s="112" t="s">
        <v>333</v>
      </c>
      <c r="P19" s="27"/>
      <c r="Q19" s="27"/>
      <c r="R19" s="27"/>
      <c r="S19" s="31"/>
      <c r="T19" s="2041" t="s">
        <v>2083</v>
      </c>
      <c r="U19" s="1966"/>
      <c r="V19" s="1966"/>
      <c r="W19" s="1967"/>
      <c r="X19" s="2056" t="s">
        <v>2084</v>
      </c>
      <c r="Y19" s="2057"/>
      <c r="Z19" s="2054">
        <v>60008</v>
      </c>
      <c r="AA19" s="205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5" t="s">
        <v>2079</v>
      </c>
      <c r="B21" s="1966"/>
      <c r="C21" s="1966"/>
      <c r="D21" s="1966"/>
      <c r="E21" s="1966"/>
      <c r="F21" s="1966"/>
      <c r="G21" s="1966"/>
      <c r="H21" s="1967"/>
      <c r="I21" s="2021" t="s">
        <v>699</v>
      </c>
      <c r="J21" s="2016"/>
      <c r="K21" s="2016"/>
      <c r="L21" s="2016"/>
      <c r="M21" s="2016"/>
      <c r="N21" s="2016"/>
      <c r="O21" s="2016"/>
      <c r="P21" s="2016"/>
      <c r="Q21" s="2016"/>
      <c r="R21" s="2016"/>
      <c r="S21" s="2022"/>
      <c r="T21" s="2065" t="s">
        <v>2085</v>
      </c>
      <c r="U21" s="2066"/>
      <c r="V21" s="2066"/>
      <c r="W21" s="2066"/>
      <c r="X21" s="2071" t="s">
        <v>2086</v>
      </c>
      <c r="Y21" s="2072"/>
      <c r="Z21" s="2072"/>
      <c r="AA21" s="2073"/>
    </row>
    <row r="22" spans="1:27" ht="13.5" customHeight="1" x14ac:dyDescent="0.2">
      <c r="A22" s="87" t="s">
        <v>552</v>
      </c>
      <c r="B22" s="59"/>
      <c r="C22" s="59"/>
      <c r="D22" s="59"/>
      <c r="E22" s="59"/>
      <c r="F22" s="59"/>
      <c r="G22" s="59"/>
      <c r="H22" s="60"/>
      <c r="I22" s="2023" t="s">
        <v>1504</v>
      </c>
      <c r="J22" s="2024"/>
      <c r="K22" s="2024"/>
      <c r="L22" s="2024"/>
      <c r="M22" s="2024"/>
      <c r="N22" s="2024"/>
      <c r="O22" s="2024"/>
      <c r="P22" s="2024"/>
      <c r="Q22" s="2024"/>
      <c r="R22" s="2024"/>
      <c r="S22" s="2025"/>
      <c r="T22" s="85" t="s">
        <v>1596</v>
      </c>
      <c r="U22" s="51"/>
      <c r="V22" s="72"/>
      <c r="W22" s="51"/>
      <c r="X22" s="160" t="s">
        <v>1385</v>
      </c>
      <c r="Z22" s="45"/>
      <c r="AA22" s="46"/>
    </row>
    <row r="23" spans="1:27" ht="13.5" customHeight="1" x14ac:dyDescent="0.2">
      <c r="A23" s="2018"/>
      <c r="B23" s="2019"/>
      <c r="C23" s="2019"/>
      <c r="D23" s="2019"/>
      <c r="E23" s="2019"/>
      <c r="F23" s="2019"/>
      <c r="G23" s="2019"/>
      <c r="H23" s="2020"/>
      <c r="T23" s="2001" t="s">
        <v>2087</v>
      </c>
      <c r="U23" s="2064"/>
      <c r="V23" s="2064"/>
      <c r="W23" s="2064"/>
      <c r="X23" s="2068">
        <v>43466</v>
      </c>
      <c r="Y23" s="2069"/>
      <c r="Z23" s="2069"/>
      <c r="AA23" s="2070"/>
    </row>
    <row r="24" spans="1:27" ht="14.1" customHeight="1" x14ac:dyDescent="0.2">
      <c r="A24" s="88" t="s">
        <v>698</v>
      </c>
      <c r="B24" s="49"/>
      <c r="C24" s="49"/>
      <c r="D24" s="49"/>
      <c r="E24" s="49"/>
      <c r="F24" s="49"/>
      <c r="G24" s="49"/>
      <c r="H24" s="61"/>
      <c r="J24" s="1988">
        <f>IF(B5="x",IF(AUDITCHECK!D29="AFR form Incomplete.","",IF(AUDITCHECK!D29="Deficit reduction plan is required.","School District must complete a deficit reduction plan in the 2018-2019 Budget",)),"")</f>
        <v>0</v>
      </c>
      <c r="K24" s="1988"/>
      <c r="L24" s="1988"/>
      <c r="M24" s="1988"/>
      <c r="N24" s="1988"/>
      <c r="O24" s="1988"/>
      <c r="P24" s="1988"/>
      <c r="Q24" s="1988"/>
      <c r="R24" s="1988"/>
      <c r="S24" s="1989"/>
      <c r="T24" s="105" t="s">
        <v>552</v>
      </c>
      <c r="U24" s="106"/>
      <c r="V24" s="106"/>
      <c r="W24" s="106"/>
      <c r="X24" s="107"/>
      <c r="Y24" s="107"/>
      <c r="Z24" s="107"/>
      <c r="AA24" s="108"/>
    </row>
    <row r="25" spans="1:27" ht="14.1" customHeight="1" x14ac:dyDescent="0.2">
      <c r="A25" s="1965">
        <v>60099</v>
      </c>
      <c r="B25" s="1966"/>
      <c r="C25" s="1966"/>
      <c r="D25" s="1966"/>
      <c r="E25" s="1966"/>
      <c r="F25" s="1966"/>
      <c r="G25" s="1966"/>
      <c r="H25" s="1967"/>
      <c r="I25" s="113"/>
      <c r="J25" s="1990"/>
      <c r="K25" s="1990"/>
      <c r="L25" s="1990"/>
      <c r="M25" s="1990"/>
      <c r="N25" s="1990"/>
      <c r="O25" s="1990"/>
      <c r="P25" s="1990"/>
      <c r="Q25" s="1990"/>
      <c r="R25" s="1990"/>
      <c r="S25" s="1991"/>
      <c r="T25" s="2061" t="s">
        <v>2088</v>
      </c>
      <c r="U25" s="2062"/>
      <c r="V25" s="2062"/>
      <c r="W25" s="2062"/>
      <c r="X25" s="2062"/>
      <c r="Y25" s="2062"/>
      <c r="Z25" s="2062"/>
      <c r="AA25" s="20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6" t="s">
        <v>1591</v>
      </c>
      <c r="J27" s="1977"/>
      <c r="K27" s="1977"/>
      <c r="L27" s="1977"/>
      <c r="M27" s="1977"/>
      <c r="N27" s="1977"/>
      <c r="O27" s="1977"/>
      <c r="P27" s="1977"/>
      <c r="Q27" s="1977"/>
      <c r="R27" s="1977"/>
      <c r="S27" s="197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2076</v>
      </c>
      <c r="C29" s="124" t="s">
        <v>874</v>
      </c>
      <c r="D29" s="114"/>
      <c r="E29" s="136"/>
      <c r="F29" s="141" t="s">
        <v>1383</v>
      </c>
      <c r="G29" s="114"/>
      <c r="I29" s="54"/>
      <c r="J29" s="148" t="s">
        <v>2076</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2076</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7"/>
      <c r="Q35" s="1966"/>
      <c r="R35" s="196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1"/>
      <c r="B38" s="2002"/>
      <c r="C38" s="2002"/>
      <c r="D38" s="2002"/>
      <c r="E38" s="2002"/>
      <c r="F38" s="1966"/>
      <c r="G38" s="1966"/>
      <c r="H38" s="1967"/>
      <c r="I38" s="1994"/>
      <c r="J38" s="1995"/>
      <c r="K38" s="1995"/>
      <c r="L38" s="1995"/>
      <c r="M38" s="1995"/>
      <c r="N38" s="1995"/>
      <c r="O38" s="1995"/>
      <c r="P38" s="1996"/>
      <c r="Q38" s="1996"/>
      <c r="R38" s="1996"/>
      <c r="S38" s="1997"/>
      <c r="T38" s="2051"/>
      <c r="U38" s="1995"/>
      <c r="V38" s="1995"/>
      <c r="W38" s="1995"/>
      <c r="X38" s="1996"/>
      <c r="Y38" s="1996"/>
      <c r="Z38" s="1996"/>
      <c r="AA38" s="1997"/>
    </row>
    <row r="39" spans="1:27" ht="12" customHeight="1" x14ac:dyDescent="0.2">
      <c r="A39" s="1971" t="s">
        <v>552</v>
      </c>
      <c r="B39" s="1972"/>
      <c r="C39" s="72"/>
      <c r="D39" s="69"/>
      <c r="E39" s="69"/>
      <c r="F39" s="79"/>
      <c r="G39" s="69"/>
      <c r="H39" s="56"/>
      <c r="I39" s="1971" t="s">
        <v>552</v>
      </c>
      <c r="J39" s="1972"/>
      <c r="K39" s="1972"/>
      <c r="L39" s="1972"/>
      <c r="M39" s="1972"/>
      <c r="N39" s="67"/>
      <c r="O39" s="72"/>
      <c r="P39" s="72"/>
      <c r="Q39" s="78"/>
      <c r="R39" s="72"/>
      <c r="S39" s="56"/>
      <c r="T39" s="72" t="s">
        <v>552</v>
      </c>
      <c r="U39" s="51"/>
      <c r="V39" s="72"/>
      <c r="W39" s="50"/>
      <c r="X39" s="78"/>
      <c r="Y39" s="45"/>
      <c r="Z39" s="45"/>
      <c r="AA39" s="46"/>
    </row>
    <row r="40" spans="1:27" ht="13.5" customHeight="1" x14ac:dyDescent="0.2">
      <c r="A40" s="1979"/>
      <c r="B40" s="1980"/>
      <c r="C40" s="1981"/>
      <c r="D40" s="1981"/>
      <c r="E40" s="1981"/>
      <c r="F40" s="1982"/>
      <c r="G40" s="1982"/>
      <c r="H40" s="1983"/>
      <c r="I40" s="2004"/>
      <c r="J40" s="2005"/>
      <c r="K40" s="2005"/>
      <c r="L40" s="2005"/>
      <c r="M40" s="2005"/>
      <c r="N40" s="2005"/>
      <c r="O40" s="2005"/>
      <c r="P40" s="2005"/>
      <c r="Q40" s="2005"/>
      <c r="R40" s="2005"/>
      <c r="S40" s="2006"/>
      <c r="T40" s="2004"/>
      <c r="U40" s="2067"/>
      <c r="V40" s="2005"/>
      <c r="W40" s="2005"/>
      <c r="X40" s="2005"/>
      <c r="Y40" s="2005"/>
      <c r="Z40" s="2005"/>
      <c r="AA40" s="200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3"/>
      <c r="B42" s="1985"/>
      <c r="C42" s="1986"/>
      <c r="D42" s="1984"/>
      <c r="E42" s="1985"/>
      <c r="F42" s="1985"/>
      <c r="G42" s="1985"/>
      <c r="H42" s="1986"/>
      <c r="I42" s="1968"/>
      <c r="J42" s="1969"/>
      <c r="K42" s="1969"/>
      <c r="L42" s="1969"/>
      <c r="M42" s="1969"/>
      <c r="N42" s="1969"/>
      <c r="O42" s="1970"/>
      <c r="P42" s="2003"/>
      <c r="Q42" s="1969"/>
      <c r="R42" s="1969"/>
      <c r="S42" s="1970"/>
      <c r="T42" s="1968"/>
      <c r="U42" s="1969"/>
      <c r="V42" s="1969"/>
      <c r="W42" s="1970"/>
      <c r="X42" s="2003"/>
      <c r="Y42" s="1969"/>
      <c r="Z42" s="1969"/>
      <c r="AA42" s="197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8"/>
      <c r="B44" s="1999"/>
      <c r="C44" s="1999"/>
      <c r="D44" s="1999"/>
      <c r="E44" s="1999"/>
      <c r="F44" s="1999"/>
      <c r="G44" s="1999"/>
      <c r="H44" s="2000"/>
      <c r="I44" s="1973"/>
      <c r="J44" s="1974"/>
      <c r="K44" s="1974"/>
      <c r="L44" s="1974"/>
      <c r="M44" s="1974"/>
      <c r="N44" s="1974"/>
      <c r="O44" s="1974"/>
      <c r="P44" s="1974"/>
      <c r="Q44" s="1974"/>
      <c r="R44" s="1974"/>
      <c r="S44" s="1975"/>
      <c r="T44" s="1973"/>
      <c r="U44" s="1992"/>
      <c r="V44" s="1992"/>
      <c r="W44" s="1992"/>
      <c r="X44" s="1992"/>
      <c r="Y44" s="1992"/>
      <c r="Z44" s="1974"/>
      <c r="AA44" s="197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X26" sqref="X2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7" t="s">
        <v>1904</v>
      </c>
      <c r="B2" s="1550" t="s">
        <v>2036</v>
      </c>
      <c r="C2" s="715" t="s">
        <v>1909</v>
      </c>
      <c r="D2" s="715" t="s">
        <v>1910</v>
      </c>
      <c r="E2" s="715" t="s">
        <v>1911</v>
      </c>
      <c r="F2" s="715" t="s">
        <v>1912</v>
      </c>
    </row>
    <row r="3" spans="1:6" ht="12" customHeight="1" x14ac:dyDescent="0.2">
      <c r="A3" s="2208"/>
      <c r="B3" s="1547"/>
      <c r="C3" s="1548"/>
      <c r="D3" s="1549" t="s">
        <v>274</v>
      </c>
      <c r="E3" s="1548"/>
      <c r="F3" s="1549" t="s">
        <v>275</v>
      </c>
    </row>
    <row r="4" spans="1:6" ht="13.7" customHeight="1" x14ac:dyDescent="0.2">
      <c r="A4" s="716" t="s">
        <v>1217</v>
      </c>
      <c r="B4" s="1771">
        <f>'Revenues 9-14'!C5</f>
        <v>11350514</v>
      </c>
      <c r="C4" s="1546">
        <v>6033100</v>
      </c>
      <c r="D4" s="1774">
        <f>B4-C4</f>
        <v>5317414</v>
      </c>
      <c r="E4" s="1546">
        <v>11617002</v>
      </c>
      <c r="F4" s="1774">
        <f>E4-C4</f>
        <v>5583902</v>
      </c>
    </row>
    <row r="5" spans="1:6" ht="13.7" customHeight="1" x14ac:dyDescent="0.2">
      <c r="A5" s="716" t="s">
        <v>925</v>
      </c>
      <c r="B5" s="1772">
        <f>'Revenues 9-14'!D5</f>
        <v>1661738</v>
      </c>
      <c r="C5" s="585">
        <v>859264</v>
      </c>
      <c r="D5" s="1775">
        <f t="shared" ref="D5:D18" si="0">B5-C5</f>
        <v>802474</v>
      </c>
      <c r="E5" s="585">
        <v>1654551</v>
      </c>
      <c r="F5" s="1775">
        <f>E5-C5</f>
        <v>795287</v>
      </c>
    </row>
    <row r="6" spans="1:6" ht="13.7" customHeight="1" x14ac:dyDescent="0.2">
      <c r="A6" s="716" t="s">
        <v>431</v>
      </c>
      <c r="B6" s="1772">
        <f>'Revenues 9-14'!E5</f>
        <v>2913345</v>
      </c>
      <c r="C6" s="585">
        <v>1558628</v>
      </c>
      <c r="D6" s="1775">
        <f t="shared" si="0"/>
        <v>1354717</v>
      </c>
      <c r="E6" s="585">
        <v>3001207</v>
      </c>
      <c r="F6" s="1775">
        <f t="shared" ref="F6:F18" si="1">E6-C6</f>
        <v>1442579</v>
      </c>
    </row>
    <row r="7" spans="1:6" ht="13.7" customHeight="1" x14ac:dyDescent="0.2">
      <c r="A7" s="716" t="s">
        <v>157</v>
      </c>
      <c r="B7" s="1772">
        <f>'Revenues 9-14'!F5</f>
        <v>1435287</v>
      </c>
      <c r="C7" s="585">
        <v>617429</v>
      </c>
      <c r="D7" s="1775">
        <f t="shared" si="0"/>
        <v>817858</v>
      </c>
      <c r="E7" s="585">
        <v>1188887</v>
      </c>
      <c r="F7" s="1775">
        <f t="shared" si="1"/>
        <v>571458</v>
      </c>
    </row>
    <row r="8" spans="1:6" ht="13.7" customHeight="1" x14ac:dyDescent="0.2">
      <c r="A8" s="716" t="s">
        <v>1241</v>
      </c>
      <c r="B8" s="1772">
        <f>'Revenues 9-14'!G5</f>
        <v>24074</v>
      </c>
      <c r="C8" s="585">
        <v>6319</v>
      </c>
      <c r="D8" s="1775">
        <f t="shared" si="0"/>
        <v>17755</v>
      </c>
      <c r="E8" s="585">
        <v>12167</v>
      </c>
      <c r="F8" s="1775">
        <f t="shared" si="1"/>
        <v>5848</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33236</v>
      </c>
      <c r="C10" s="585">
        <v>17186</v>
      </c>
      <c r="D10" s="1775">
        <f t="shared" si="0"/>
        <v>16050</v>
      </c>
      <c r="E10" s="585">
        <v>33093</v>
      </c>
      <c r="F10" s="1775">
        <f t="shared" si="1"/>
        <v>15907</v>
      </c>
    </row>
    <row r="11" spans="1:6" x14ac:dyDescent="0.2">
      <c r="A11" s="716" t="s">
        <v>429</v>
      </c>
      <c r="B11" s="1772">
        <f>'Revenues 9-14'!J5</f>
        <v>289213</v>
      </c>
      <c r="C11" s="585">
        <v>151383</v>
      </c>
      <c r="D11" s="1775">
        <f t="shared" si="0"/>
        <v>137830</v>
      </c>
      <c r="E11" s="585">
        <v>291495</v>
      </c>
      <c r="F11" s="1775">
        <f t="shared" si="1"/>
        <v>140112</v>
      </c>
    </row>
    <row r="12" spans="1:6" ht="13.7" customHeight="1" x14ac:dyDescent="0.2">
      <c r="A12" s="716" t="s">
        <v>159</v>
      </c>
      <c r="B12" s="1772">
        <f>'Revenues 9-14'!K5</f>
        <v>33035</v>
      </c>
      <c r="C12" s="585">
        <v>16985</v>
      </c>
      <c r="D12" s="1775">
        <f t="shared" si="0"/>
        <v>16050</v>
      </c>
      <c r="E12" s="585">
        <v>32704</v>
      </c>
      <c r="F12" s="1775">
        <f t="shared" si="1"/>
        <v>15719</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1225286</v>
      </c>
      <c r="C14" s="585">
        <v>649168</v>
      </c>
      <c r="D14" s="1775">
        <f t="shared" si="0"/>
        <v>576118</v>
      </c>
      <c r="E14" s="585">
        <v>1250001</v>
      </c>
      <c r="F14" s="1775">
        <f t="shared" si="1"/>
        <v>600833</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774230</v>
      </c>
      <c r="C16" s="585">
        <v>402844</v>
      </c>
      <c r="D16" s="1775">
        <f t="shared" si="0"/>
        <v>371386</v>
      </c>
      <c r="E16" s="585">
        <v>775693</v>
      </c>
      <c r="F16" s="1775">
        <f t="shared" si="1"/>
        <v>372849</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24175</v>
      </c>
      <c r="C18" s="585">
        <v>12489</v>
      </c>
      <c r="D18" s="1775">
        <f t="shared" si="0"/>
        <v>11686</v>
      </c>
      <c r="E18" s="585">
        <v>24047</v>
      </c>
      <c r="F18" s="1775">
        <f t="shared" si="1"/>
        <v>11558</v>
      </c>
    </row>
    <row r="19" spans="1:6" ht="13.7" customHeight="1" thickBot="1" x14ac:dyDescent="0.25">
      <c r="A19" s="1776" t="s">
        <v>1223</v>
      </c>
      <c r="B19" s="1773">
        <f>SUM(B4:B18)</f>
        <v>19764133</v>
      </c>
      <c r="C19" s="1773">
        <f>SUM(C4:C18)</f>
        <v>10324795</v>
      </c>
      <c r="D19" s="1773">
        <f>SUM(D4:D18)</f>
        <v>9439338</v>
      </c>
      <c r="E19" s="1773">
        <f>SUM(E4:E18)</f>
        <v>19880847</v>
      </c>
      <c r="F19" s="1773">
        <f>SUM(F4:F18)</f>
        <v>9556052</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X26" sqref="X2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9" t="s">
        <v>650</v>
      </c>
      <c r="B1" s="2227"/>
      <c r="C1" s="722"/>
    </row>
    <row r="2" spans="1:7" ht="33.75" x14ac:dyDescent="0.2">
      <c r="A2" s="2234" t="s">
        <v>1904</v>
      </c>
      <c r="B2" s="2235"/>
      <c r="C2" s="1909" t="s">
        <v>2037</v>
      </c>
      <c r="D2" s="724" t="s">
        <v>2044</v>
      </c>
      <c r="E2" s="724" t="s">
        <v>2045</v>
      </c>
      <c r="F2" s="1909" t="s">
        <v>2038</v>
      </c>
    </row>
    <row r="3" spans="1:7" ht="15.75" customHeight="1" x14ac:dyDescent="0.2">
      <c r="A3" s="2236" t="s">
        <v>1176</v>
      </c>
      <c r="B3" s="2237"/>
      <c r="C3" s="2230"/>
      <c r="D3" s="2231"/>
      <c r="E3" s="2231"/>
      <c r="F3" s="2232"/>
    </row>
    <row r="4" spans="1:7" ht="12.75" customHeight="1" thickBot="1" x14ac:dyDescent="0.25">
      <c r="A4" s="2224" t="s">
        <v>651</v>
      </c>
      <c r="B4" s="2225"/>
      <c r="C4" s="581"/>
      <c r="D4" s="581"/>
      <c r="E4" s="581"/>
      <c r="F4" s="1777">
        <f>SUM(C4+D4)-E4</f>
        <v>0</v>
      </c>
    </row>
    <row r="5" spans="1:7" ht="15.75" customHeight="1" thickTop="1" x14ac:dyDescent="0.2">
      <c r="A5" s="2228" t="s">
        <v>1172</v>
      </c>
      <c r="B5" s="2223"/>
      <c r="C5" s="2217"/>
      <c r="D5" s="2218"/>
      <c r="E5" s="2218"/>
      <c r="F5" s="2219"/>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0" t="s">
        <v>652</v>
      </c>
      <c r="B15" s="2221"/>
      <c r="C15" s="1777">
        <f>SUM(C6:C14)</f>
        <v>0</v>
      </c>
      <c r="D15" s="1777">
        <f>SUM(D6:D14)</f>
        <v>0</v>
      </c>
      <c r="E15" s="1777">
        <f>SUM(E6:E14)</f>
        <v>0</v>
      </c>
      <c r="F15" s="1777">
        <f>SUM(F6:F14)</f>
        <v>0</v>
      </c>
      <c r="G15" s="552"/>
    </row>
    <row r="16" spans="1:7" s="202" customFormat="1" ht="15.75" customHeight="1" thickTop="1" x14ac:dyDescent="0.2">
      <c r="A16" s="2233" t="s">
        <v>1173</v>
      </c>
      <c r="B16" s="2223"/>
      <c r="C16" s="2217"/>
      <c r="D16" s="2218"/>
      <c r="E16" s="2218"/>
      <c r="F16" s="2219"/>
    </row>
    <row r="17" spans="1:11" ht="12.75" customHeight="1" thickBot="1" x14ac:dyDescent="0.25">
      <c r="A17" s="2215" t="s">
        <v>66</v>
      </c>
      <c r="B17" s="2216"/>
      <c r="C17" s="727"/>
      <c r="D17" s="585"/>
      <c r="E17" s="727"/>
      <c r="F17" s="1777">
        <f>SUM(C17+D17)-E17</f>
        <v>0</v>
      </c>
    </row>
    <row r="18" spans="1:11" ht="12.75" customHeight="1" thickTop="1" thickBot="1" x14ac:dyDescent="0.25">
      <c r="A18" s="2215" t="s">
        <v>6</v>
      </c>
      <c r="B18" s="2216"/>
      <c r="C18" s="727"/>
      <c r="D18" s="585"/>
      <c r="E18" s="727"/>
      <c r="F18" s="1777">
        <f>SUM(C18+D18)-E18</f>
        <v>0</v>
      </c>
    </row>
    <row r="19" spans="1:11" ht="12.75" customHeight="1" thickTop="1" thickBot="1" x14ac:dyDescent="0.25">
      <c r="A19" s="2215" t="s">
        <v>406</v>
      </c>
      <c r="B19" s="2216"/>
      <c r="C19" s="727"/>
      <c r="D19" s="585"/>
      <c r="E19" s="727"/>
      <c r="F19" s="1777">
        <f>SUM(C19+D19)-E19</f>
        <v>0</v>
      </c>
    </row>
    <row r="20" spans="1:11" ht="12.75" customHeight="1" thickTop="1" thickBot="1" x14ac:dyDescent="0.25">
      <c r="A20" s="2215" t="s">
        <v>468</v>
      </c>
      <c r="B20" s="2216"/>
      <c r="C20" s="727"/>
      <c r="D20" s="585"/>
      <c r="E20" s="727"/>
      <c r="F20" s="1777">
        <f>SUM(C20+D20)-E20</f>
        <v>0</v>
      </c>
    </row>
    <row r="21" spans="1:11" ht="14.25" thickTop="1" thickBot="1" x14ac:dyDescent="0.25">
      <c r="A21" s="2220" t="s">
        <v>653</v>
      </c>
      <c r="B21" s="2221"/>
      <c r="C21" s="1777">
        <f>SUM(C17:C20)</f>
        <v>0</v>
      </c>
      <c r="D21" s="1777">
        <f>SUM(D17:D20)</f>
        <v>0</v>
      </c>
      <c r="E21" s="1777">
        <f>SUM(E17:E20)</f>
        <v>0</v>
      </c>
      <c r="F21" s="1777">
        <f>SUM(F17:F20)</f>
        <v>0</v>
      </c>
      <c r="G21" s="552"/>
    </row>
    <row r="22" spans="1:11" ht="15.75" customHeight="1" thickTop="1" x14ac:dyDescent="0.2">
      <c r="A22" s="2222" t="s">
        <v>1174</v>
      </c>
      <c r="B22" s="2223"/>
      <c r="C22" s="2217"/>
      <c r="D22" s="2218"/>
      <c r="E22" s="2218"/>
      <c r="F22" s="2219"/>
    </row>
    <row r="23" spans="1:11" ht="13.5" thickBot="1" x14ac:dyDescent="0.25">
      <c r="A23" s="2224" t="s">
        <v>654</v>
      </c>
      <c r="B23" s="2225"/>
      <c r="C23" s="581"/>
      <c r="D23" s="581"/>
      <c r="E23" s="581"/>
      <c r="F23" s="1777">
        <f>SUM(C23+D23)-E23</f>
        <v>0</v>
      </c>
      <c r="G23" s="552"/>
    </row>
    <row r="24" spans="1:11" ht="15.75" customHeight="1" thickTop="1" x14ac:dyDescent="0.2">
      <c r="A24" s="2222" t="s">
        <v>1175</v>
      </c>
      <c r="B24" s="2223"/>
      <c r="C24" s="2217"/>
      <c r="D24" s="2218"/>
      <c r="E24" s="2218"/>
      <c r="F24" s="2219"/>
    </row>
    <row r="25" spans="1:11" ht="13.5" thickBot="1" x14ac:dyDescent="0.25">
      <c r="A25" s="2224" t="s">
        <v>655</v>
      </c>
      <c r="B25" s="2225"/>
      <c r="C25" s="581"/>
      <c r="D25" s="581"/>
      <c r="E25" s="581"/>
      <c r="F25" s="1777">
        <f>SUM(C25+D25)-E25</f>
        <v>0</v>
      </c>
      <c r="G25" s="552"/>
    </row>
    <row r="26" spans="1:11" ht="15.75" customHeight="1" thickTop="1" x14ac:dyDescent="0.2">
      <c r="A26" s="2228" t="s">
        <v>678</v>
      </c>
      <c r="B26" s="2223"/>
      <c r="C26" s="728"/>
      <c r="D26" s="728"/>
      <c r="E26" s="728"/>
      <c r="F26" s="729"/>
    </row>
    <row r="27" spans="1:11" ht="13.5" thickBot="1" x14ac:dyDescent="0.25">
      <c r="A27" s="2220" t="s">
        <v>1130</v>
      </c>
      <c r="B27" s="2221"/>
      <c r="C27" s="585"/>
      <c r="D27" s="585"/>
      <c r="E27" s="585"/>
      <c r="F27" s="1777">
        <f>SUM(C27+D27)-E27</f>
        <v>0</v>
      </c>
      <c r="G27" s="552"/>
    </row>
    <row r="28" spans="1:11" ht="7.5" customHeight="1" thickTop="1" x14ac:dyDescent="0.2">
      <c r="A28" s="594"/>
    </row>
    <row r="29" spans="1:11" ht="23.25" customHeight="1" x14ac:dyDescent="0.2">
      <c r="A29" s="2226" t="s">
        <v>603</v>
      </c>
      <c r="B29" s="2227"/>
      <c r="C29" s="730"/>
      <c r="D29" s="730"/>
      <c r="E29" s="730"/>
      <c r="F29" s="730"/>
      <c r="G29" s="730"/>
      <c r="H29" s="730"/>
      <c r="I29" s="730"/>
      <c r="J29" s="730"/>
    </row>
    <row r="30" spans="1:11" ht="33.75" x14ac:dyDescent="0.2">
      <c r="A30" s="1551" t="s">
        <v>1131</v>
      </c>
      <c r="B30" s="731" t="s">
        <v>1186</v>
      </c>
      <c r="C30" s="1910" t="s">
        <v>604</v>
      </c>
      <c r="D30" s="1910" t="s">
        <v>1772</v>
      </c>
      <c r="E30" s="1910" t="s">
        <v>2039</v>
      </c>
      <c r="F30" s="1910" t="s">
        <v>2040</v>
      </c>
      <c r="G30" s="1910" t="s">
        <v>2043</v>
      </c>
      <c r="H30" s="1910" t="s">
        <v>2041</v>
      </c>
      <c r="I30" s="1910" t="s">
        <v>2042</v>
      </c>
      <c r="J30" s="1911" t="s">
        <v>2</v>
      </c>
      <c r="K30" s="732"/>
    </row>
    <row r="31" spans="1:11" ht="12" customHeight="1" x14ac:dyDescent="0.2">
      <c r="A31" s="733" t="s">
        <v>2147</v>
      </c>
      <c r="B31" s="734">
        <v>38175</v>
      </c>
      <c r="C31" s="735">
        <v>4204781</v>
      </c>
      <c r="D31" s="736">
        <v>6</v>
      </c>
      <c r="E31" s="735">
        <v>3178219</v>
      </c>
      <c r="F31" s="735"/>
      <c r="G31" s="735"/>
      <c r="H31" s="735">
        <v>879925</v>
      </c>
      <c r="I31" s="1778">
        <f>((E31+F31)-H31)+G31</f>
        <v>2298294</v>
      </c>
      <c r="J31" s="735">
        <v>539768</v>
      </c>
      <c r="K31" s="737"/>
    </row>
    <row r="32" spans="1:11" ht="12" customHeight="1" x14ac:dyDescent="0.2">
      <c r="A32" s="733" t="s">
        <v>2148</v>
      </c>
      <c r="B32" s="734" t="s">
        <v>2149</v>
      </c>
      <c r="C32" s="735"/>
      <c r="D32" s="736">
        <v>7</v>
      </c>
      <c r="E32" s="735">
        <v>194808</v>
      </c>
      <c r="F32" s="735"/>
      <c r="G32" s="735"/>
      <c r="H32" s="735">
        <v>56859</v>
      </c>
      <c r="I32" s="1778">
        <f>((E32+F32)-H32)+G32</f>
        <v>137949</v>
      </c>
      <c r="J32" s="735">
        <v>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4204781</v>
      </c>
      <c r="D49" s="746"/>
      <c r="E49" s="1778">
        <f t="shared" ref="E49:J49" si="2">SUM(E31:E48)</f>
        <v>3373027</v>
      </c>
      <c r="F49" s="1778">
        <f t="shared" si="2"/>
        <v>0</v>
      </c>
      <c r="G49" s="1778">
        <f t="shared" si="2"/>
        <v>0</v>
      </c>
      <c r="H49" s="1778">
        <f t="shared" si="2"/>
        <v>936784</v>
      </c>
      <c r="I49" s="1778">
        <f t="shared" si="2"/>
        <v>2436243</v>
      </c>
      <c r="J49" s="1778">
        <f t="shared" si="2"/>
        <v>539768</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09" t="s">
        <v>605</v>
      </c>
      <c r="C52" s="2210"/>
      <c r="D52" s="2210"/>
      <c r="E52" s="750" t="s">
        <v>900</v>
      </c>
      <c r="F52" s="2211"/>
      <c r="G52" s="2212"/>
      <c r="H52" s="737"/>
      <c r="I52" s="737"/>
      <c r="J52" s="747"/>
    </row>
    <row r="53" spans="1:11" ht="11.25" customHeight="1" x14ac:dyDescent="0.2">
      <c r="A53" s="751" t="s">
        <v>969</v>
      </c>
      <c r="B53" s="752" t="s">
        <v>1008</v>
      </c>
      <c r="C53" s="747"/>
      <c r="D53" s="738"/>
      <c r="E53" s="750" t="s">
        <v>518</v>
      </c>
      <c r="F53" s="2213"/>
      <c r="G53" s="2214"/>
      <c r="H53" s="737"/>
      <c r="I53" s="737"/>
      <c r="J53" s="747"/>
    </row>
    <row r="54" spans="1:11" ht="11.25" customHeight="1" x14ac:dyDescent="0.2">
      <c r="A54" s="753" t="s">
        <v>970</v>
      </c>
      <c r="B54" s="748" t="s">
        <v>1009</v>
      </c>
      <c r="C54" s="747"/>
      <c r="D54" s="738"/>
      <c r="E54" s="750" t="s">
        <v>519</v>
      </c>
      <c r="F54" s="2213"/>
      <c r="G54" s="221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X26" sqref="X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911</v>
      </c>
      <c r="B1" s="2239"/>
      <c r="C1" s="2239"/>
      <c r="D1" s="2239"/>
      <c r="E1" s="2239"/>
      <c r="F1" s="2239"/>
      <c r="G1" s="2240"/>
      <c r="H1" s="1552"/>
      <c r="I1" s="761"/>
      <c r="J1" s="433"/>
    </row>
    <row r="2" spans="1:11" ht="26.25" x14ac:dyDescent="0.2">
      <c r="A2" s="2257" t="s">
        <v>1776</v>
      </c>
      <c r="B2" s="2258"/>
      <c r="C2" s="2258"/>
      <c r="D2" s="2258"/>
      <c r="E2" s="2259"/>
      <c r="F2" s="762" t="s">
        <v>960</v>
      </c>
      <c r="G2" s="763" t="s">
        <v>1773</v>
      </c>
      <c r="H2" s="763" t="s">
        <v>430</v>
      </c>
      <c r="I2" s="763" t="s">
        <v>1220</v>
      </c>
      <c r="J2" s="763" t="s">
        <v>1918</v>
      </c>
      <c r="K2" s="763" t="s">
        <v>140</v>
      </c>
    </row>
    <row r="3" spans="1:11" x14ac:dyDescent="0.2">
      <c r="A3" s="2260" t="s">
        <v>1698</v>
      </c>
      <c r="B3" s="2261"/>
      <c r="C3" s="2261"/>
      <c r="D3" s="2261"/>
      <c r="E3" s="2262"/>
      <c r="F3" s="764"/>
      <c r="G3" s="765"/>
      <c r="H3" s="765"/>
      <c r="I3" s="765"/>
      <c r="J3" s="766"/>
      <c r="K3" s="766"/>
    </row>
    <row r="4" spans="1:11" x14ac:dyDescent="0.2">
      <c r="A4" s="2263" t="s">
        <v>387</v>
      </c>
      <c r="B4" s="2264"/>
      <c r="C4" s="2264"/>
      <c r="D4" s="2264"/>
      <c r="E4" s="2210"/>
      <c r="F4" s="767"/>
      <c r="G4" s="768"/>
      <c r="H4" s="769"/>
      <c r="I4" s="768"/>
      <c r="J4" s="770"/>
      <c r="K4" s="770"/>
    </row>
    <row r="5" spans="1:11" x14ac:dyDescent="0.2">
      <c r="A5" s="2241" t="s">
        <v>1129</v>
      </c>
      <c r="B5" s="2242"/>
      <c r="C5" s="2242"/>
      <c r="D5" s="2242"/>
      <c r="E5" s="2243"/>
      <c r="F5" s="771" t="s">
        <v>903</v>
      </c>
      <c r="G5" s="772"/>
      <c r="H5" s="765">
        <v>1225286</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1" t="s">
        <v>1919</v>
      </c>
      <c r="B10" s="2242"/>
      <c r="C10" s="2242"/>
      <c r="D10" s="2242"/>
      <c r="E10" s="2244"/>
      <c r="F10" s="784" t="s">
        <v>917</v>
      </c>
      <c r="G10" s="783"/>
      <c r="H10" s="785"/>
      <c r="I10" s="765"/>
      <c r="J10" s="766"/>
      <c r="K10" s="766"/>
    </row>
    <row r="11" spans="1:11" x14ac:dyDescent="0.2">
      <c r="A11" s="2241" t="s">
        <v>162</v>
      </c>
      <c r="B11" s="2242"/>
      <c r="C11" s="2242"/>
      <c r="D11" s="2242"/>
      <c r="E11" s="2243"/>
      <c r="F11" s="771" t="s">
        <v>907</v>
      </c>
      <c r="G11" s="772"/>
      <c r="H11" s="765"/>
      <c r="I11" s="765"/>
      <c r="J11" s="766"/>
      <c r="K11" s="774"/>
    </row>
    <row r="12" spans="1:11" ht="13.5" thickBot="1" x14ac:dyDescent="0.25">
      <c r="A12" s="2268" t="s">
        <v>961</v>
      </c>
      <c r="B12" s="2269"/>
      <c r="C12" s="2269"/>
      <c r="D12" s="2269"/>
      <c r="E12" s="2270"/>
      <c r="F12" s="1779"/>
      <c r="G12" s="1780">
        <f>SUM(G5:G11)</f>
        <v>0</v>
      </c>
      <c r="H12" s="1780">
        <f>SUM(H5:H11)</f>
        <v>1225286</v>
      </c>
      <c r="I12" s="1780">
        <f>SUM(I5:I11)</f>
        <v>0</v>
      </c>
      <c r="J12" s="1780">
        <f>SUM(J5:J11)</f>
        <v>0</v>
      </c>
      <c r="K12" s="1780">
        <f>SUM(K5:K11)</f>
        <v>0</v>
      </c>
    </row>
    <row r="13" spans="1:11" ht="13.5" thickTop="1" x14ac:dyDescent="0.2">
      <c r="A13" s="2265" t="s">
        <v>388</v>
      </c>
      <c r="B13" s="2266"/>
      <c r="C13" s="2266"/>
      <c r="D13" s="2266"/>
      <c r="E13" s="2267"/>
      <c r="F13" s="786"/>
      <c r="G13" s="787"/>
      <c r="H13" s="788"/>
      <c r="I13" s="789"/>
      <c r="J13" s="789"/>
      <c r="K13" s="789"/>
    </row>
    <row r="14" spans="1:11" x14ac:dyDescent="0.2">
      <c r="A14" s="2248" t="s">
        <v>476</v>
      </c>
      <c r="B14" s="2248"/>
      <c r="C14" s="2248"/>
      <c r="D14" s="2248"/>
      <c r="E14" s="2249"/>
      <c r="F14" s="790" t="s">
        <v>909</v>
      </c>
      <c r="G14" s="783"/>
      <c r="H14" s="765">
        <v>1225286</v>
      </c>
      <c r="I14" s="772"/>
      <c r="J14" s="774"/>
      <c r="K14" s="766"/>
    </row>
    <row r="15" spans="1:11" x14ac:dyDescent="0.2">
      <c r="A15" s="2242" t="s">
        <v>4</v>
      </c>
      <c r="B15" s="2242"/>
      <c r="C15" s="2242"/>
      <c r="D15" s="2242"/>
      <c r="E15" s="2243"/>
      <c r="F15" s="790" t="s">
        <v>910</v>
      </c>
      <c r="G15" s="772"/>
      <c r="H15" s="765"/>
      <c r="I15" s="765"/>
      <c r="J15" s="766"/>
      <c r="K15" s="766"/>
    </row>
    <row r="16" spans="1:11" x14ac:dyDescent="0.2">
      <c r="A16" s="2242" t="s">
        <v>316</v>
      </c>
      <c r="B16" s="2242"/>
      <c r="C16" s="2242"/>
      <c r="D16" s="2242"/>
      <c r="E16" s="2243"/>
      <c r="F16" s="790" t="s">
        <v>980</v>
      </c>
      <c r="G16" s="773"/>
      <c r="H16" s="768"/>
      <c r="I16" s="768"/>
      <c r="J16" s="770"/>
      <c r="K16" s="770"/>
    </row>
    <row r="17" spans="1:11" x14ac:dyDescent="0.2">
      <c r="A17" s="2273" t="s">
        <v>992</v>
      </c>
      <c r="B17" s="2273"/>
      <c r="C17" s="2273"/>
      <c r="D17" s="2273"/>
      <c r="E17" s="2274"/>
      <c r="F17" s="791"/>
      <c r="G17" s="792"/>
      <c r="H17" s="793"/>
      <c r="I17" s="793"/>
      <c r="J17" s="794"/>
      <c r="K17" s="795"/>
    </row>
    <row r="18" spans="1:11" x14ac:dyDescent="0.2">
      <c r="A18" s="2252" t="s">
        <v>386</v>
      </c>
      <c r="B18" s="2253"/>
      <c r="C18" s="2253"/>
      <c r="D18" s="2253"/>
      <c r="E18" s="2254"/>
      <c r="F18" s="790" t="s">
        <v>989</v>
      </c>
      <c r="G18" s="783"/>
      <c r="H18" s="783"/>
      <c r="I18" s="783"/>
      <c r="J18" s="766"/>
      <c r="K18" s="796"/>
    </row>
    <row r="19" spans="1:11" ht="21.75" customHeight="1" x14ac:dyDescent="0.2">
      <c r="A19" s="2250" t="s">
        <v>1915</v>
      </c>
      <c r="B19" s="2250"/>
      <c r="C19" s="2250"/>
      <c r="D19" s="2250"/>
      <c r="E19" s="2251"/>
      <c r="F19" s="790" t="s">
        <v>990</v>
      </c>
      <c r="G19" s="783"/>
      <c r="H19" s="783"/>
      <c r="I19" s="783"/>
      <c r="J19" s="766"/>
      <c r="K19" s="796"/>
    </row>
    <row r="20" spans="1:11" x14ac:dyDescent="0.2">
      <c r="A20" s="2252" t="s">
        <v>1920</v>
      </c>
      <c r="B20" s="2253"/>
      <c r="C20" s="2253"/>
      <c r="D20" s="2253"/>
      <c r="E20" s="2254"/>
      <c r="F20" s="790" t="s">
        <v>991</v>
      </c>
      <c r="G20" s="783"/>
      <c r="H20" s="783"/>
      <c r="I20" s="783"/>
      <c r="J20" s="766"/>
      <c r="K20" s="796"/>
    </row>
    <row r="21" spans="1:11" ht="13.5" thickBot="1" x14ac:dyDescent="0.25">
      <c r="A21" s="2271" t="s">
        <v>659</v>
      </c>
      <c r="B21" s="2271"/>
      <c r="C21" s="2271"/>
      <c r="D21" s="2271"/>
      <c r="E21" s="2271"/>
      <c r="F21" s="1781"/>
      <c r="G21" s="793"/>
      <c r="H21" s="797"/>
      <c r="I21" s="797"/>
      <c r="J21" s="1782">
        <f>SUM(J18:J20)</f>
        <v>0</v>
      </c>
      <c r="K21" s="794"/>
    </row>
    <row r="22" spans="1:11" ht="13.5" thickTop="1" x14ac:dyDescent="0.2">
      <c r="A22" s="2242" t="s">
        <v>1921</v>
      </c>
      <c r="B22" s="2242"/>
      <c r="C22" s="2242"/>
      <c r="D22" s="2242"/>
      <c r="E22" s="2243"/>
      <c r="F22" s="790" t="s">
        <v>917</v>
      </c>
      <c r="G22" s="783"/>
      <c r="H22" s="765"/>
      <c r="I22" s="765"/>
      <c r="J22" s="798"/>
      <c r="K22" s="766"/>
    </row>
    <row r="23" spans="1:11" ht="13.5" thickBot="1" x14ac:dyDescent="0.25">
      <c r="A23" s="2272" t="s">
        <v>962</v>
      </c>
      <c r="B23" s="2271"/>
      <c r="C23" s="2271"/>
      <c r="D23" s="2271"/>
      <c r="E23" s="2271"/>
      <c r="F23" s="1783"/>
      <c r="G23" s="1780">
        <f>SUM(G14:G16,G21,G22)</f>
        <v>0</v>
      </c>
      <c r="H23" s="1780">
        <f>SUM(H14:H16,H21,H22)</f>
        <v>1225286</v>
      </c>
      <c r="I23" s="1780">
        <f>SUM(I14:I16,I21,I22)</f>
        <v>0</v>
      </c>
      <c r="J23" s="1780">
        <f>SUM(J14:J16,J21,J22)</f>
        <v>0</v>
      </c>
      <c r="K23" s="1780">
        <f>SUM(K14:K16,K21,K22)</f>
        <v>0</v>
      </c>
    </row>
    <row r="24" spans="1:11" ht="14.25" thickTop="1" thickBot="1" x14ac:dyDescent="0.25">
      <c r="A24" s="2272" t="s">
        <v>2025</v>
      </c>
      <c r="B24" s="2271"/>
      <c r="C24" s="2271"/>
      <c r="D24" s="2271"/>
      <c r="E24" s="2271"/>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2035</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5"/>
      <c r="I31" s="2246"/>
      <c r="J31" s="2246"/>
      <c r="K31" s="2246"/>
    </row>
    <row r="32" spans="1:11" x14ac:dyDescent="0.2">
      <c r="A32" s="810"/>
      <c r="B32" s="237"/>
      <c r="C32" s="237"/>
      <c r="D32" s="237"/>
      <c r="E32" s="806"/>
      <c r="F32" s="812" t="s">
        <v>561</v>
      </c>
      <c r="G32" s="765"/>
      <c r="H32" s="2247"/>
      <c r="I32" s="2246"/>
      <c r="J32" s="2246"/>
      <c r="K32" s="2246"/>
    </row>
    <row r="33" spans="1:11" ht="1.5" customHeight="1" x14ac:dyDescent="0.2">
      <c r="A33" s="813" t="s">
        <v>1231</v>
      </c>
      <c r="B33" s="364"/>
      <c r="C33" s="364"/>
      <c r="D33" s="364"/>
      <c r="E33" s="364"/>
      <c r="F33" s="364"/>
      <c r="G33" s="814"/>
      <c r="H33" s="2247"/>
      <c r="I33" s="2246"/>
      <c r="J33" s="2246"/>
      <c r="K33" s="2246"/>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2" t="s">
        <v>562</v>
      </c>
      <c r="B41" s="2255"/>
      <c r="C41" s="2255"/>
      <c r="D41" s="2255"/>
      <c r="E41" s="2255"/>
      <c r="F41" s="225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1916</v>
      </c>
      <c r="B46" s="408" t="s">
        <v>1774</v>
      </c>
    </row>
    <row r="47" spans="1:11" s="824" customFormat="1" ht="12.75" customHeight="1" x14ac:dyDescent="0.2">
      <c r="A47" s="822"/>
      <c r="B47" s="823" t="s">
        <v>1775</v>
      </c>
      <c r="E47" s="823"/>
      <c r="K47" s="825"/>
    </row>
    <row r="48" spans="1:11" ht="12.75" customHeight="1" x14ac:dyDescent="0.2">
      <c r="A48" s="1554"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X26" sqref="X2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2034</v>
      </c>
      <c r="B1" s="2278"/>
      <c r="C1" s="2279"/>
      <c r="D1" s="827"/>
      <c r="E1" s="828"/>
      <c r="F1" s="828"/>
      <c r="G1" s="829"/>
      <c r="H1" s="830"/>
      <c r="I1" s="831"/>
      <c r="J1" s="2275"/>
      <c r="K1" s="2276"/>
      <c r="L1" s="2276"/>
    </row>
    <row r="2" spans="1:14" ht="69.75" customHeight="1" x14ac:dyDescent="0.2">
      <c r="A2" s="832" t="s">
        <v>1777</v>
      </c>
      <c r="B2" s="833" t="s">
        <v>396</v>
      </c>
      <c r="C2" s="834" t="s">
        <v>2029</v>
      </c>
      <c r="D2" s="834" t="s">
        <v>2026</v>
      </c>
      <c r="E2" s="834" t="s">
        <v>2027</v>
      </c>
      <c r="F2" s="834" t="s">
        <v>2028</v>
      </c>
      <c r="G2" s="834" t="s">
        <v>626</v>
      </c>
      <c r="H2" s="834" t="s">
        <v>2030</v>
      </c>
      <c r="I2" s="834" t="s">
        <v>2031</v>
      </c>
      <c r="J2" s="834" t="s">
        <v>2046</v>
      </c>
      <c r="K2" s="834" t="s">
        <v>2032</v>
      </c>
      <c r="L2" s="834" t="s">
        <v>2033</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967984</v>
      </c>
      <c r="D5" s="842"/>
      <c r="E5" s="842"/>
      <c r="F5" s="1782">
        <f>(C5+D5)-E5</f>
        <v>967984</v>
      </c>
      <c r="G5" s="838"/>
      <c r="H5" s="843"/>
      <c r="I5" s="843"/>
      <c r="J5" s="843"/>
      <c r="K5" s="794"/>
      <c r="L5" s="1791">
        <f>F5-K5</f>
        <v>967984</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52142204</v>
      </c>
      <c r="D8" s="845">
        <v>11861</v>
      </c>
      <c r="E8" s="845"/>
      <c r="F8" s="1782">
        <f>(C8+D8)-E8</f>
        <v>52154065</v>
      </c>
      <c r="G8" s="844">
        <v>50</v>
      </c>
      <c r="H8" s="766">
        <v>28842812</v>
      </c>
      <c r="I8" s="766">
        <v>766113</v>
      </c>
      <c r="J8" s="766"/>
      <c r="K8" s="1791">
        <f>(H8+I8)-J8</f>
        <v>29608925</v>
      </c>
      <c r="L8" s="1791">
        <f>F8-K8</f>
        <v>22545140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590394</v>
      </c>
      <c r="D10" s="847"/>
      <c r="E10" s="847"/>
      <c r="F10" s="1786">
        <f>(C10+D10)-E10</f>
        <v>590394</v>
      </c>
      <c r="G10" s="844">
        <v>20</v>
      </c>
      <c r="H10" s="848">
        <v>223409</v>
      </c>
      <c r="I10" s="848">
        <v>19052</v>
      </c>
      <c r="J10" s="848"/>
      <c r="K10" s="1791">
        <f>(H10+I10)-J10</f>
        <v>242461</v>
      </c>
      <c r="L10" s="1791">
        <f>F10-K10</f>
        <v>347933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2191103</v>
      </c>
      <c r="D12" s="845">
        <v>75324</v>
      </c>
      <c r="E12" s="845"/>
      <c r="F12" s="1782">
        <f>(C12+D12)-E12</f>
        <v>2266427</v>
      </c>
      <c r="G12" s="844">
        <v>10</v>
      </c>
      <c r="H12" s="766">
        <v>1686156</v>
      </c>
      <c r="I12" s="766">
        <v>140084</v>
      </c>
      <c r="J12" s="766"/>
      <c r="K12" s="1791">
        <f>(H12+I12)-J12</f>
        <v>1826240</v>
      </c>
      <c r="L12" s="1791">
        <f>F12-K12</f>
        <v>440187</v>
      </c>
    </row>
    <row r="13" spans="1:14" ht="14.25" thickTop="1" thickBot="1" x14ac:dyDescent="0.25">
      <c r="A13" s="849" t="s">
        <v>1184</v>
      </c>
      <c r="B13" s="841">
        <v>252</v>
      </c>
      <c r="C13" s="845">
        <v>50079</v>
      </c>
      <c r="D13" s="845"/>
      <c r="E13" s="845"/>
      <c r="F13" s="1782">
        <f>(C13+D13)-E13</f>
        <v>50079</v>
      </c>
      <c r="G13" s="844">
        <v>5</v>
      </c>
      <c r="H13" s="766">
        <v>50079</v>
      </c>
      <c r="I13" s="766"/>
      <c r="J13" s="766"/>
      <c r="K13" s="1791">
        <f>(H13+I13)-J13</f>
        <v>50079</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55941764</v>
      </c>
      <c r="D16" s="1782">
        <f>SUM(D3,D5:D6,D8:D10,D12:D15)</f>
        <v>87185</v>
      </c>
      <c r="E16" s="1782">
        <f>SUM(E3,E5:E6,E8:E10,E12:E15)</f>
        <v>0</v>
      </c>
      <c r="F16" s="1782">
        <f>SUM(F3,F5:F6,F8:F10,F12:F15)</f>
        <v>56028949</v>
      </c>
      <c r="G16" s="844"/>
      <c r="H16" s="1782">
        <f>SUM(H3,H6,H8:H10,H12:H14,)</f>
        <v>30802456</v>
      </c>
      <c r="I16" s="1782">
        <f>SUM(I3,I6,I8:I10,I12:I14,)</f>
        <v>925249</v>
      </c>
      <c r="J16" s="1782">
        <f>SUM(J3,J6,J8:J10,J12:J14,)</f>
        <v>0</v>
      </c>
      <c r="K16" s="1782">
        <f>(H16+I16)-J16</f>
        <v>31727705</v>
      </c>
      <c r="L16" s="1782">
        <f>F16-K16</f>
        <v>24301244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127280</v>
      </c>
      <c r="G17" s="838">
        <v>10</v>
      </c>
      <c r="H17" s="770"/>
      <c r="I17" s="1791">
        <f>F17/G17</f>
        <v>12728</v>
      </c>
      <c r="J17" s="770"/>
      <c r="K17" s="796"/>
      <c r="L17" s="796"/>
    </row>
    <row r="18" spans="1:12" ht="14.25" thickTop="1" thickBot="1" x14ac:dyDescent="0.25">
      <c r="A18" s="1789" t="s">
        <v>706</v>
      </c>
      <c r="B18" s="1790"/>
      <c r="C18" s="772"/>
      <c r="D18" s="772"/>
      <c r="E18" s="772"/>
      <c r="F18" s="851"/>
      <c r="G18" s="852"/>
      <c r="H18" s="774"/>
      <c r="I18" s="1782">
        <f>SUM(I16,I17)</f>
        <v>937977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14" activePane="bottomLeft" state="frozen"/>
      <selection activeCell="X26" sqref="X26"/>
      <selection pane="bottomLeft" activeCell="X26" sqref="X2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3" t="s">
        <v>1699</v>
      </c>
      <c r="B1" s="2284"/>
      <c r="C1" s="2284"/>
      <c r="D1" s="2284"/>
      <c r="E1" s="2284"/>
      <c r="F1" s="2285"/>
      <c r="G1" s="856"/>
    </row>
    <row r="2" spans="1:7" ht="15" customHeight="1" thickBot="1" x14ac:dyDescent="0.25">
      <c r="A2" s="2286" t="s">
        <v>498</v>
      </c>
      <c r="B2" s="2287"/>
      <c r="C2" s="2287"/>
      <c r="D2" s="2287"/>
      <c r="E2" s="2287"/>
      <c r="F2" s="228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9"/>
      <c r="B5" s="2290"/>
      <c r="C5" s="2290"/>
      <c r="D5" s="2290"/>
      <c r="E5" s="2290"/>
      <c r="F5" s="2290"/>
    </row>
    <row r="6" spans="1:7" ht="13.5" customHeight="1" thickBot="1" x14ac:dyDescent="0.25">
      <c r="A6" s="2280" t="s">
        <v>1166</v>
      </c>
      <c r="B6" s="2281"/>
      <c r="C6" s="2281"/>
      <c r="D6" s="2281"/>
      <c r="E6" s="2281"/>
      <c r="F6" s="228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21696039</v>
      </c>
      <c r="G8" s="866"/>
    </row>
    <row r="9" spans="1:7" x14ac:dyDescent="0.2">
      <c r="A9" s="870" t="s">
        <v>480</v>
      </c>
      <c r="B9" s="871" t="s">
        <v>1988</v>
      </c>
      <c r="C9" s="872"/>
      <c r="D9" s="870" t="s">
        <v>522</v>
      </c>
      <c r="E9" s="869"/>
      <c r="F9" s="1935">
        <f>'Expenditures 15-22'!K151</f>
        <v>1578713</v>
      </c>
      <c r="G9" s="873"/>
    </row>
    <row r="10" spans="1:7" x14ac:dyDescent="0.2">
      <c r="A10" s="870" t="s">
        <v>520</v>
      </c>
      <c r="B10" s="871" t="s">
        <v>1989</v>
      </c>
      <c r="C10" s="872"/>
      <c r="D10" s="870" t="s">
        <v>522</v>
      </c>
      <c r="E10" s="869"/>
      <c r="F10" s="1935">
        <f>'Expenditures 15-22'!K174</f>
        <v>2969658</v>
      </c>
      <c r="G10" s="873"/>
    </row>
    <row r="11" spans="1:7" x14ac:dyDescent="0.2">
      <c r="A11" s="870" t="s">
        <v>481</v>
      </c>
      <c r="B11" s="871" t="s">
        <v>1990</v>
      </c>
      <c r="C11" s="872"/>
      <c r="D11" s="870" t="s">
        <v>522</v>
      </c>
      <c r="E11" s="869"/>
      <c r="F11" s="1935">
        <f>'Expenditures 15-22'!K210</f>
        <v>2213608</v>
      </c>
      <c r="G11" s="873"/>
    </row>
    <row r="12" spans="1:7" x14ac:dyDescent="0.2">
      <c r="A12" s="870" t="s">
        <v>482</v>
      </c>
      <c r="B12" s="871" t="s">
        <v>1991</v>
      </c>
      <c r="C12" s="872"/>
      <c r="D12" s="870" t="s">
        <v>522</v>
      </c>
      <c r="E12" s="869"/>
      <c r="F12" s="1935">
        <f>'Expenditures 15-22'!K295</f>
        <v>681789</v>
      </c>
      <c r="G12" s="873"/>
    </row>
    <row r="13" spans="1:7" x14ac:dyDescent="0.2">
      <c r="A13" s="870" t="s">
        <v>108</v>
      </c>
      <c r="B13" s="871" t="s">
        <v>1992</v>
      </c>
      <c r="C13" s="872"/>
      <c r="D13" s="870" t="s">
        <v>522</v>
      </c>
      <c r="E13" s="869"/>
      <c r="F13" s="1935">
        <f>'Expenditures 15-22'!K342</f>
        <v>175066</v>
      </c>
      <c r="G13" s="874"/>
    </row>
    <row r="14" spans="1:7" ht="12" customHeight="1" thickBot="1" x14ac:dyDescent="0.25">
      <c r="A14" s="1792"/>
      <c r="B14" s="1793"/>
      <c r="C14" s="1794"/>
      <c r="D14" s="1795" t="s">
        <v>522</v>
      </c>
      <c r="E14" s="1796" t="s">
        <v>1015</v>
      </c>
      <c r="F14" s="1797">
        <f>SUM(F8:F13)</f>
        <v>29314873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165576</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8551</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289342</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17015</v>
      </c>
      <c r="G52" s="866"/>
    </row>
    <row r="53" spans="1:7" x14ac:dyDescent="0.2">
      <c r="A53" s="870" t="s">
        <v>479</v>
      </c>
      <c r="B53" s="870" t="s">
        <v>1551</v>
      </c>
      <c r="C53" s="890">
        <f>'Expenditures 15-22'!B102</f>
        <v>4000</v>
      </c>
      <c r="D53" s="889" t="str">
        <f>'Expenditures 15-22'!A102</f>
        <v>Total Payments to Other Govt Units</v>
      </c>
      <c r="E53" s="869"/>
      <c r="F53" s="1939">
        <f>'Expenditures 15-22'!K102</f>
        <v>1418382</v>
      </c>
      <c r="G53" s="866"/>
    </row>
    <row r="54" spans="1:7" x14ac:dyDescent="0.2">
      <c r="A54" s="870" t="s">
        <v>479</v>
      </c>
      <c r="B54" s="870" t="s">
        <v>1552</v>
      </c>
      <c r="C54" s="890" t="s">
        <v>1039</v>
      </c>
      <c r="D54" s="886" t="s">
        <v>1157</v>
      </c>
      <c r="E54" s="869"/>
      <c r="F54" s="1939">
        <f>'Expenditures 15-22'!G114</f>
        <v>75324</v>
      </c>
      <c r="G54" s="866"/>
    </row>
    <row r="55" spans="1:7" x14ac:dyDescent="0.2">
      <c r="A55" s="870" t="s">
        <v>479</v>
      </c>
      <c r="B55" s="870" t="s">
        <v>1553</v>
      </c>
      <c r="C55" s="890" t="s">
        <v>1039</v>
      </c>
      <c r="D55" s="886" t="s">
        <v>309</v>
      </c>
      <c r="E55" s="869"/>
      <c r="F55" s="1939">
        <f>'Expenditures 15-22'!I114</f>
        <v>112132</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11861</v>
      </c>
      <c r="G58" s="866"/>
    </row>
    <row r="59" spans="1:7" x14ac:dyDescent="0.2">
      <c r="A59" s="894" t="s">
        <v>480</v>
      </c>
      <c r="B59" s="857" t="s">
        <v>1995</v>
      </c>
      <c r="C59" s="895" t="s">
        <v>1039</v>
      </c>
      <c r="D59" s="857" t="s">
        <v>309</v>
      </c>
      <c r="F59" s="1942">
        <f>'Expenditures 15-22'!I151</f>
        <v>15148</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936784</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3050115</v>
      </c>
      <c r="G76" s="866"/>
    </row>
    <row r="77" spans="1:8" s="894" customFormat="1" ht="12" customHeight="1" thickTop="1" thickBot="1" x14ac:dyDescent="0.25">
      <c r="A77" s="1801"/>
      <c r="B77" s="1798"/>
      <c r="C77" s="1794"/>
      <c r="D77" s="1799" t="s">
        <v>2011</v>
      </c>
      <c r="E77" s="1796"/>
      <c r="F77" s="1802">
        <f>(F14-F76)</f>
        <v>26264758</v>
      </c>
      <c r="G77" s="870"/>
    </row>
    <row r="78" spans="1:8" s="894" customFormat="1" ht="12" customHeight="1" thickTop="1" x14ac:dyDescent="0.2">
      <c r="A78" s="1803"/>
      <c r="B78" s="1798"/>
      <c r="C78" s="1794"/>
      <c r="D78" s="1799" t="s">
        <v>2058</v>
      </c>
      <c r="E78" s="1796"/>
      <c r="F78" s="899">
        <v>2039.4</v>
      </c>
      <c r="G78" s="900"/>
      <c r="H78" s="870"/>
    </row>
    <row r="79" spans="1:8" s="894" customFormat="1" ht="12" customHeight="1" thickBot="1" x14ac:dyDescent="0.25">
      <c r="A79" s="1804"/>
      <c r="B79" s="1798"/>
      <c r="C79" s="1794"/>
      <c r="D79" s="1799" t="s">
        <v>2012</v>
      </c>
      <c r="E79" s="1796" t="s">
        <v>1015</v>
      </c>
      <c r="F79" s="1805">
        <f>IF(F78&gt;0,F77/F78," Complete Line 78")</f>
        <v>12878.669216436207</v>
      </c>
      <c r="G79" s="870"/>
    </row>
    <row r="80" spans="1:8" s="894" customFormat="1" ht="8.25" customHeight="1" thickTop="1" x14ac:dyDescent="0.2">
      <c r="A80" s="901"/>
      <c r="B80" s="870"/>
      <c r="C80" s="872"/>
      <c r="D80" s="902"/>
      <c r="E80" s="869"/>
      <c r="F80" s="903"/>
      <c r="G80" s="870"/>
    </row>
    <row r="81" spans="1:7" s="894" customFormat="1" ht="12" thickBot="1" x14ac:dyDescent="0.25">
      <c r="A81" s="2280" t="s">
        <v>1167</v>
      </c>
      <c r="B81" s="2281"/>
      <c r="C81" s="2281"/>
      <c r="D81" s="2281"/>
      <c r="E81" s="2281"/>
      <c r="F81" s="228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14712</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102419</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10009</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611198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151380</v>
      </c>
      <c r="G107" s="913"/>
    </row>
    <row r="108" spans="1:7" x14ac:dyDescent="0.2">
      <c r="A108" s="909" t="s">
        <v>479</v>
      </c>
      <c r="B108" s="909" t="s">
        <v>844</v>
      </c>
      <c r="C108" s="921">
        <f>'Revenues 9-14'!B145</f>
        <v>3360</v>
      </c>
      <c r="D108" s="912" t="str">
        <f>'Revenues 9-14'!A145</f>
        <v>State Free Lunch &amp; Breakfast</v>
      </c>
      <c r="E108" s="907"/>
      <c r="F108" s="1811">
        <f>'Revenues 9-14'!C145</f>
        <v>19526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1641982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3143</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1113174</v>
      </c>
      <c r="G129" s="931"/>
    </row>
    <row r="130" spans="1:7" x14ac:dyDescent="0.2">
      <c r="A130" s="928" t="s">
        <v>689</v>
      </c>
      <c r="B130" s="928" t="s">
        <v>804</v>
      </c>
      <c r="C130" s="933">
        <v>4300</v>
      </c>
      <c r="D130" s="934" t="str">
        <f>'Revenues 9-14'!A211</f>
        <v>Total Title I</v>
      </c>
      <c r="E130" s="907"/>
      <c r="F130" s="1811">
        <f>SUM('Revenues 9-14'!C211,'Revenues 9-14'!D211,'Revenues 9-14'!F211,'Revenues 9-14'!G211)</f>
        <v>755006</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15072</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335225</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3336</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69690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90289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23191</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345603</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2057</v>
      </c>
      <c r="C175" s="1946">
        <v>3100</v>
      </c>
      <c r="D175" s="1947" t="s">
        <v>2060</v>
      </c>
      <c r="E175" s="907"/>
      <c r="F175" s="1931"/>
      <c r="G175" s="928"/>
    </row>
    <row r="176" spans="1:7" x14ac:dyDescent="0.2">
      <c r="A176" s="1944" t="s">
        <v>685</v>
      </c>
      <c r="B176" s="1945" t="s">
        <v>2057</v>
      </c>
      <c r="C176" s="1946">
        <v>3300</v>
      </c>
      <c r="D176" s="1947" t="s">
        <v>2061</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5304955</v>
      </c>
    </row>
    <row r="179" spans="1:7" ht="12" customHeight="1" x14ac:dyDescent="0.2">
      <c r="A179" s="1792"/>
      <c r="B179" s="1806"/>
      <c r="C179" s="1807"/>
      <c r="D179" s="1808" t="s">
        <v>2014</v>
      </c>
      <c r="E179" s="1809"/>
      <c r="F179" s="1811">
        <f>'PCTC-OEPP 27-28'!F77-F178</f>
        <v>20959803</v>
      </c>
    </row>
    <row r="180" spans="1:7" ht="12" customHeight="1" x14ac:dyDescent="0.2">
      <c r="A180" s="1792"/>
      <c r="B180" s="1806"/>
      <c r="C180" s="1807"/>
      <c r="D180" s="1808" t="s">
        <v>1923</v>
      </c>
      <c r="E180" s="1809"/>
      <c r="F180" s="1811">
        <f>'Cap Outlay Deprec 26'!I18</f>
        <v>937977</v>
      </c>
    </row>
    <row r="181" spans="1:7" ht="12" customHeight="1" x14ac:dyDescent="0.2">
      <c r="A181" s="1792"/>
      <c r="B181" s="1806"/>
      <c r="C181" s="1807"/>
      <c r="D181" s="1808" t="s">
        <v>2015</v>
      </c>
      <c r="E181" s="1809"/>
      <c r="F181" s="1811">
        <f>F179+F180</f>
        <v>21897780</v>
      </c>
    </row>
    <row r="182" spans="1:7" ht="12" customHeight="1" x14ac:dyDescent="0.2">
      <c r="A182" s="1792"/>
      <c r="B182" s="1812"/>
      <c r="C182" s="1807"/>
      <c r="D182" s="1808" t="str">
        <f>D78</f>
        <v>9 Month ADA from District Average Daily Attendance/Prior General State Aid Inquiry 2017-2018</v>
      </c>
      <c r="E182" s="1809"/>
      <c r="F182" s="1813">
        <f>'PCTC-OEPP 27-28'!F78</f>
        <v>2039.4</v>
      </c>
      <c r="G182" s="931"/>
    </row>
    <row r="183" spans="1:7" ht="12" customHeight="1" thickBot="1" x14ac:dyDescent="0.25">
      <c r="A183" s="1792"/>
      <c r="B183" s="1812"/>
      <c r="C183" s="1807"/>
      <c r="D183" s="1808" t="s">
        <v>2016</v>
      </c>
      <c r="E183" s="1809" t="s">
        <v>1626</v>
      </c>
      <c r="F183" s="1814">
        <f>F181/F182</f>
        <v>10737.363930567813</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8" customFormat="1" ht="12.2" customHeight="1" x14ac:dyDescent="0.2">
      <c r="A186" s="1948" t="s">
        <v>2064</v>
      </c>
      <c r="B186" s="1949"/>
      <c r="C186" s="1950"/>
      <c r="D186" s="1949"/>
      <c r="E186" s="1950"/>
      <c r="F186" s="1949"/>
      <c r="G186" s="1949"/>
    </row>
    <row r="187" spans="1:7" s="1948" customFormat="1" ht="12.2" customHeight="1" x14ac:dyDescent="0.2">
      <c r="A187" s="1951" t="s">
        <v>2065</v>
      </c>
      <c r="C187" s="1950"/>
      <c r="D187" s="1949"/>
      <c r="E187" s="1950"/>
      <c r="F187" s="1949"/>
      <c r="G187" s="1949"/>
    </row>
    <row r="188" spans="1:7" ht="12" customHeight="1" x14ac:dyDescent="0.2">
      <c r="C188" s="950"/>
      <c r="D188" s="931"/>
      <c r="E188" s="950"/>
      <c r="F188" s="931"/>
      <c r="G188" s="931"/>
    </row>
    <row r="189" spans="1:7" x14ac:dyDescent="0.2">
      <c r="A189" s="1952" t="s">
        <v>2063</v>
      </c>
      <c r="B189" s="1953"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X26" sqref="X26"/>
      <selection pane="bottomLeft" activeCell="B23" sqref="B23"/>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4" t="s">
        <v>1924</v>
      </c>
      <c r="B4" s="2295"/>
      <c r="C4" s="2295"/>
      <c r="D4" s="2295"/>
      <c r="E4" s="2295"/>
      <c r="F4" s="2295"/>
      <c r="G4" s="2296"/>
    </row>
    <row r="5" spans="1:7" x14ac:dyDescent="0.25">
      <c r="A5" s="2297"/>
      <c r="B5" s="2298"/>
      <c r="C5" s="2298"/>
      <c r="D5" s="2298"/>
      <c r="E5" s="2298"/>
      <c r="F5" s="2298"/>
      <c r="G5" s="2299"/>
    </row>
    <row r="6" spans="1:7" ht="18.75" x14ac:dyDescent="0.25">
      <c r="A6" s="1556" t="s">
        <v>1925</v>
      </c>
      <c r="B6" s="1557"/>
      <c r="C6" s="1557"/>
      <c r="D6" s="1557"/>
      <c r="E6" s="1557"/>
      <c r="F6" s="1557"/>
      <c r="G6" s="1558"/>
    </row>
    <row r="7" spans="1:7" ht="30.75" customHeight="1" x14ac:dyDescent="0.25">
      <c r="A7" s="2300" t="s">
        <v>2074</v>
      </c>
      <c r="B7" s="2301"/>
      <c r="C7" s="2301"/>
      <c r="D7" s="2301"/>
      <c r="E7" s="2301"/>
      <c r="F7" s="2301"/>
      <c r="G7" s="2302"/>
    </row>
    <row r="8" spans="1:7" ht="15.75" customHeight="1" x14ac:dyDescent="0.25">
      <c r="A8" s="2303" t="s">
        <v>2023</v>
      </c>
      <c r="B8" s="2304"/>
      <c r="C8" s="2304"/>
      <c r="D8" s="2304"/>
      <c r="E8" s="2304"/>
      <c r="F8" s="2304"/>
      <c r="G8" s="2305"/>
    </row>
    <row r="9" spans="1:7" ht="35.25" customHeight="1" x14ac:dyDescent="0.25">
      <c r="A9" s="2300" t="s">
        <v>2022</v>
      </c>
      <c r="B9" s="2301"/>
      <c r="C9" s="2301"/>
      <c r="D9" s="2301"/>
      <c r="E9" s="2301"/>
      <c r="F9" s="2301"/>
      <c r="G9" s="2302"/>
    </row>
    <row r="10" spans="1:7" ht="15" customHeight="1" x14ac:dyDescent="0.25">
      <c r="A10" s="1559" t="s">
        <v>1926</v>
      </c>
      <c r="B10" s="1560"/>
      <c r="C10" s="1560"/>
      <c r="D10" s="1560"/>
      <c r="E10" s="1560"/>
      <c r="F10" s="1560"/>
      <c r="G10" s="1561"/>
    </row>
    <row r="11" spans="1:7" ht="17.25" customHeight="1" x14ac:dyDescent="0.25">
      <c r="A11" s="2300" t="s">
        <v>1940</v>
      </c>
      <c r="B11" s="2301"/>
      <c r="C11" s="2301"/>
      <c r="D11" s="2301"/>
      <c r="E11" s="2301"/>
      <c r="F11" s="2301"/>
      <c r="G11" s="2302"/>
    </row>
    <row r="12" spans="1:7" ht="15" customHeight="1" x14ac:dyDescent="0.25">
      <c r="A12" s="1559" t="s">
        <v>1931</v>
      </c>
      <c r="B12" s="1560"/>
      <c r="C12" s="1560"/>
      <c r="D12" s="1560"/>
      <c r="E12" s="1560"/>
      <c r="F12" s="1560"/>
      <c r="G12" s="1561"/>
    </row>
    <row r="13" spans="1:7" ht="32.25" customHeight="1" x14ac:dyDescent="0.25">
      <c r="A13" s="2291" t="s">
        <v>1932</v>
      </c>
      <c r="B13" s="2292"/>
      <c r="C13" s="2292"/>
      <c r="D13" s="2292"/>
      <c r="E13" s="2292"/>
      <c r="F13" s="2292"/>
      <c r="G13" s="2293"/>
    </row>
    <row r="14" spans="1:7" x14ac:dyDescent="0.25">
      <c r="A14" s="1683" t="s">
        <v>1941</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1942</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2" t="s">
        <v>359</v>
      </c>
      <c r="B17" s="1963" t="s">
        <v>2152</v>
      </c>
      <c r="C17" s="1964" t="s">
        <v>2156</v>
      </c>
      <c r="D17" s="1867">
        <v>2000000</v>
      </c>
      <c r="E17" s="1562">
        <f t="shared" ref="E17:E141" si="1">IF(D17&lt;=25000,D17,IF(D17&gt;25000,25000,0))</f>
        <v>25000</v>
      </c>
      <c r="F17" s="1815">
        <f t="shared" si="0"/>
        <v>25000</v>
      </c>
      <c r="G17" s="1816">
        <f>IF(F17=0,0,D17-F17)</f>
        <v>1975000</v>
      </c>
      <c r="H17" s="1669"/>
    </row>
    <row r="18" spans="1:8" x14ac:dyDescent="0.25">
      <c r="A18" s="1962" t="s">
        <v>2151</v>
      </c>
      <c r="B18" s="1963" t="s">
        <v>2153</v>
      </c>
      <c r="C18" s="1964" t="s">
        <v>2157</v>
      </c>
      <c r="D18" s="1867">
        <v>100000</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75000</v>
      </c>
    </row>
    <row r="19" spans="1:8" x14ac:dyDescent="0.25">
      <c r="A19" s="1962" t="s">
        <v>2151</v>
      </c>
      <c r="B19" s="1963" t="s">
        <v>2153</v>
      </c>
      <c r="C19" s="1964" t="s">
        <v>2158</v>
      </c>
      <c r="D19" s="1867">
        <v>340000</v>
      </c>
      <c r="E19" s="1562">
        <f t="shared" si="2"/>
        <v>25000</v>
      </c>
      <c r="F19" s="1815">
        <f t="shared" si="3"/>
        <v>25000</v>
      </c>
      <c r="G19" s="1816">
        <f t="shared" si="4"/>
        <v>315000</v>
      </c>
    </row>
    <row r="20" spans="1:8" x14ac:dyDescent="0.25">
      <c r="A20" s="1962" t="s">
        <v>359</v>
      </c>
      <c r="B20" s="1963" t="s">
        <v>2154</v>
      </c>
      <c r="C20" s="1964" t="s">
        <v>2159</v>
      </c>
      <c r="D20" s="1867">
        <v>35000</v>
      </c>
      <c r="E20" s="1562">
        <f t="shared" si="2"/>
        <v>25000</v>
      </c>
      <c r="F20" s="1815">
        <f t="shared" si="3"/>
        <v>25000</v>
      </c>
      <c r="G20" s="1816">
        <f t="shared" si="4"/>
        <v>10000</v>
      </c>
    </row>
    <row r="21" spans="1:8" x14ac:dyDescent="0.25">
      <c r="A21" s="1962" t="s">
        <v>66</v>
      </c>
      <c r="B21" s="1963" t="s">
        <v>2155</v>
      </c>
      <c r="C21" s="1964" t="s">
        <v>2160</v>
      </c>
      <c r="D21" s="1867">
        <v>795000</v>
      </c>
      <c r="E21" s="1562">
        <f t="shared" si="2"/>
        <v>25000</v>
      </c>
      <c r="F21" s="1815">
        <f t="shared" si="3"/>
        <v>25000</v>
      </c>
      <c r="G21" s="1816">
        <f t="shared" si="4"/>
        <v>770000</v>
      </c>
    </row>
    <row r="22" spans="1:8" x14ac:dyDescent="0.25">
      <c r="A22" s="1962" t="s">
        <v>66</v>
      </c>
      <c r="B22" s="1963" t="s">
        <v>2165</v>
      </c>
      <c r="C22" s="1964" t="s">
        <v>2161</v>
      </c>
      <c r="D22" s="1867">
        <v>90000</v>
      </c>
      <c r="E22" s="1562">
        <f t="shared" si="2"/>
        <v>25000</v>
      </c>
      <c r="F22" s="1815">
        <f t="shared" si="3"/>
        <v>25000</v>
      </c>
      <c r="G22" s="1816">
        <f t="shared" si="4"/>
        <v>65000</v>
      </c>
    </row>
    <row r="23" spans="1:8" x14ac:dyDescent="0.25">
      <c r="A23" s="1962" t="s">
        <v>2151</v>
      </c>
      <c r="B23" s="1963" t="s">
        <v>2153</v>
      </c>
      <c r="C23" s="1964" t="s">
        <v>2162</v>
      </c>
      <c r="D23" s="1867">
        <v>300000</v>
      </c>
      <c r="E23" s="1562">
        <f t="shared" si="2"/>
        <v>25000</v>
      </c>
      <c r="F23" s="1815">
        <f t="shared" si="3"/>
        <v>25000</v>
      </c>
      <c r="G23" s="1816">
        <f t="shared" si="4"/>
        <v>275000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3660000</v>
      </c>
      <c r="E141" s="1563">
        <f t="shared" si="1"/>
        <v>25000</v>
      </c>
      <c r="F141" s="1817">
        <f>SUM(F17:F140)</f>
        <v>175000</v>
      </c>
      <c r="G141" s="1818">
        <f>SUM(G17:G140)</f>
        <v>3485000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X26" sqref="X2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6" t="s">
        <v>1778</v>
      </c>
      <c r="B5" s="2307"/>
      <c r="C5" s="2307"/>
      <c r="D5" s="2307"/>
      <c r="E5" s="2307"/>
      <c r="F5" s="2307"/>
      <c r="G5" s="2308"/>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v>846628</v>
      </c>
      <c r="F10" s="975"/>
      <c r="G10" s="976"/>
      <c r="H10" s="162"/>
      <c r="I10" s="162"/>
    </row>
    <row r="11" spans="1:9" s="669" customFormat="1" ht="22.5" customHeight="1" x14ac:dyDescent="0.2">
      <c r="A11" s="2311" t="s">
        <v>1944</v>
      </c>
      <c r="B11" s="2312"/>
      <c r="C11" s="2312"/>
      <c r="D11" s="2313"/>
      <c r="E11" s="978">
        <v>99495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14830928</v>
      </c>
      <c r="F19" s="1822"/>
      <c r="G19" s="1824">
        <f>'Expenditures 15-22'!K33-SUM('Expenditures 15-22'!G33,'Expenditures 15-22'!I33)+'Expenditures 15-22'!D229</f>
        <v>14830928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1925407</v>
      </c>
      <c r="F21" s="1825"/>
      <c r="G21" s="1828">
        <f>'Expenditures 15-22'!K42-SUM('Expenditures 15-22'!G42,'Expenditures 15-22'!I42)+'Expenditures 15-22'!K120-SUM('Expenditures 15-22'!G120,'Expenditures 15-22'!I120)+'Expenditures 15-22'!K180-SUM('Expenditures 15-22'!G180,'Expenditures 15-22'!I180)+'Expenditures 15-22'!D238</f>
        <v>1925407</v>
      </c>
      <c r="H21" s="988"/>
      <c r="I21" s="162"/>
    </row>
    <row r="22" spans="1:9" s="669" customFormat="1" ht="12" customHeight="1" x14ac:dyDescent="0.2">
      <c r="A22" s="995" t="s">
        <v>585</v>
      </c>
      <c r="B22" s="996"/>
      <c r="C22" s="994">
        <v>2200</v>
      </c>
      <c r="D22" s="1825"/>
      <c r="E22" s="1827">
        <f>'Expenditures 15-22'!K47-SUM('Expenditures 15-22'!G47,'Expenditures 15-22'!I47)+'Expenditures 15-22'!D243</f>
        <v>416489</v>
      </c>
      <c r="F22" s="1825"/>
      <c r="G22" s="1828">
        <f>'Expenditures 15-22'!K47-SUM('Expenditures 15-22'!G47,'Expenditures 15-22'!I47)+'Expenditures 15-22'!D243</f>
        <v>416489</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1176056</v>
      </c>
      <c r="F23" s="1825"/>
      <c r="G23" s="1827">
        <f>'Expenditures 15-22'!K53-SUM('Expenditures 15-22'!G53,'Expenditures 15-22'!I53)+'Expenditures 15-22'!D257+'Expenditures 15-22'!K330-SUM('Expenditures 15-22'!G330,'Expenditures 15-22'!I330)</f>
        <v>1176056</v>
      </c>
      <c r="H23" s="988"/>
      <c r="I23" s="162"/>
    </row>
    <row r="24" spans="1:9" s="669" customFormat="1" ht="12" customHeight="1" x14ac:dyDescent="0.2">
      <c r="A24" s="995" t="s">
        <v>587</v>
      </c>
      <c r="B24" s="996"/>
      <c r="C24" s="994">
        <v>2400</v>
      </c>
      <c r="D24" s="1825"/>
      <c r="E24" s="1827">
        <f>'Expenditures 15-22'!K57-SUM('Expenditures 15-22'!G57,'Expenditures 15-22'!I57)+'Expenditures 15-22'!D261</f>
        <v>1051901</v>
      </c>
      <c r="F24" s="1825"/>
      <c r="G24" s="1828">
        <f>'Expenditures 15-22'!K57-SUM('Expenditures 15-22'!G57,'Expenditures 15-22'!I57)+'Expenditures 15-22'!D261</f>
        <v>1051901</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138447</v>
      </c>
      <c r="E26" s="1827">
        <f>'Expenditures 15-22'!K122-SUM('Expenditures 15-22'!G122,'Expenditures 15-22'!I122)+E7</f>
        <v>0</v>
      </c>
      <c r="F26" s="1827">
        <f>'Expenditures 15-22'!K59-SUM('Expenditures 15-22'!G59,'Expenditures 15-22'!I59)+'Expenditures 15-22'!D263-E7</f>
        <v>138447</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312360</v>
      </c>
      <c r="E27" s="1827">
        <f>E8</f>
        <v>0</v>
      </c>
      <c r="F27" s="1827">
        <f>'Expenditures 15-22'!K60-SUM('Expenditures 15-22'!G60,'Expenditures 15-22'!I60)+'Expenditures 15-22'!D264-E8</f>
        <v>312360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1551704</v>
      </c>
      <c r="F28" s="1829">
        <f>'Expenditures 15-22'!K61-SUM('Expenditures 15-22'!G61,'Expenditures 15-22'!I61)+'Expenditures 15-22'!K124-SUM('Expenditures 15-22'!G124,'Expenditures 15-22'!I124)+'Expenditures 15-22'!D266-E9</f>
        <v>1551704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2213608</v>
      </c>
      <c r="F29" s="1825"/>
      <c r="G29" s="1828">
        <f>'Expenditures 15-22'!K62-SUM('Expenditures 15-22'!G62,'Expenditures 15-22'!I62)+'Expenditures 15-22'!K125-SUM('Expenditures 15-22'!G125,'Expenditures 15-22'!I125)+'Expenditures 15-22'!K182-SUM('Expenditures 15-22'!G182,'Expenditures 15-22'!I182)+'Expenditures 15-22'!D267</f>
        <v>2213608</v>
      </c>
      <c r="H29" s="986"/>
    </row>
    <row r="30" spans="1:9" ht="12" customHeight="1" x14ac:dyDescent="0.2">
      <c r="A30" s="995" t="s">
        <v>102</v>
      </c>
      <c r="B30" s="998"/>
      <c r="C30" s="994">
        <v>2560</v>
      </c>
      <c r="D30" s="1825"/>
      <c r="E30" s="1827">
        <f>'Expenditures 15-22'!K63-SUM('Expenditures 15-22'!G63,'Expenditures 15-22'!I63)+'Expenditures 15-22'!D268-E10</f>
        <v>231825</v>
      </c>
      <c r="F30" s="1825"/>
      <c r="G30" s="1827">
        <f>'Expenditures 15-22'!K63-SUM('Expenditures 15-22'!G63,'Expenditures 15-22'!I63)+'Expenditures 15-22'!D268-E10</f>
        <v>231825</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17015</v>
      </c>
      <c r="F39" s="1825"/>
      <c r="G39" s="1827">
        <f>'Expenditures 15-22'!K75-SUM('Expenditures 15-22'!G75,'Expenditures 15-22'!I75)+'Expenditures 15-22'!K130-SUM('Expenditures 15-22'!G130,'Expenditures 15-22'!I130)+'Expenditures 15-22'!K185-SUM('Expenditures 15-22'!G185,'Expenditures 15-22'!I185)+'Expenditures 15-22'!D280</f>
        <v>17015</v>
      </c>
    </row>
    <row r="40" spans="1:7" ht="12" customHeight="1" x14ac:dyDescent="0.2">
      <c r="A40" s="991" t="s">
        <v>1929</v>
      </c>
      <c r="B40" s="992"/>
      <c r="C40" s="994"/>
      <c r="D40" s="1825"/>
      <c r="E40" s="1829">
        <f>-'Contracts Paid in CY 29'!G141</f>
        <v>-3485000</v>
      </c>
      <c r="F40" s="1825"/>
      <c r="G40" s="1829">
        <f>-'Contracts Paid in CY 29'!G141</f>
        <v>-3485000</v>
      </c>
    </row>
    <row r="41" spans="1:7" ht="12" customHeight="1" x14ac:dyDescent="0.2">
      <c r="A41" s="999" t="s">
        <v>158</v>
      </c>
      <c r="B41" s="1000"/>
      <c r="C41" s="1001"/>
      <c r="D41" s="1829">
        <f>SUM(D19:D39)</f>
        <v>450807</v>
      </c>
      <c r="E41" s="1829">
        <f>SUM(E19:E40)</f>
        <v>19929933</v>
      </c>
      <c r="F41" s="1829">
        <f>SUM(F19:F39)</f>
        <v>2002511</v>
      </c>
      <c r="G41" s="1829">
        <f>SUM(G19:G40)</f>
        <v>18378229</v>
      </c>
    </row>
    <row r="42" spans="1:7" x14ac:dyDescent="0.2">
      <c r="A42" s="988"/>
      <c r="B42" s="162"/>
      <c r="C42" s="1002"/>
      <c r="D42" s="2309" t="s">
        <v>543</v>
      </c>
      <c r="E42" s="2310"/>
      <c r="F42" s="1003" t="s">
        <v>544</v>
      </c>
      <c r="G42" s="1004"/>
    </row>
    <row r="43" spans="1:7" ht="12" customHeight="1" x14ac:dyDescent="0.2">
      <c r="A43" s="988"/>
      <c r="B43" s="162"/>
      <c r="C43" s="1002"/>
      <c r="D43" s="1830" t="s">
        <v>493</v>
      </c>
      <c r="E43" s="1831">
        <f>D41</f>
        <v>450807</v>
      </c>
      <c r="F43" s="1830" t="s">
        <v>495</v>
      </c>
      <c r="G43" s="1831">
        <f>F41</f>
        <v>2002511</v>
      </c>
    </row>
    <row r="44" spans="1:7" ht="12" customHeight="1" x14ac:dyDescent="0.2">
      <c r="A44" s="988"/>
      <c r="B44" s="162"/>
      <c r="C44" s="1002"/>
      <c r="D44" s="1830" t="s">
        <v>494</v>
      </c>
      <c r="E44" s="1831">
        <f>E41</f>
        <v>19929933</v>
      </c>
      <c r="F44" s="1830" t="s">
        <v>494</v>
      </c>
      <c r="G44" s="1831">
        <f>G41</f>
        <v>18378229</v>
      </c>
    </row>
    <row r="45" spans="1:7" ht="12" customHeight="1" x14ac:dyDescent="0.2">
      <c r="A45" s="988"/>
      <c r="B45" s="162"/>
      <c r="C45" s="162"/>
      <c r="D45" s="1832" t="s">
        <v>1063</v>
      </c>
      <c r="E45" s="1833">
        <f>(E43/E44)</f>
        <v>2.2619594355886695E-2</v>
      </c>
      <c r="F45" s="1832" t="s">
        <v>1063</v>
      </c>
      <c r="G45" s="1833">
        <f>(G43/G44)</f>
        <v>0.10896104298188906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X26" sqref="X26"/>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8" t="s">
        <v>1446</v>
      </c>
      <c r="B1" s="2328"/>
      <c r="C1" s="2328"/>
      <c r="D1" s="2328"/>
      <c r="E1" s="2328"/>
      <c r="F1" s="2328"/>
    </row>
    <row r="2" spans="1:10" x14ac:dyDescent="0.2">
      <c r="A2" s="1912" t="s">
        <v>2047</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9" t="s">
        <v>1627</v>
      </c>
      <c r="B5" s="2330"/>
      <c r="C5" s="2331"/>
      <c r="D5" s="2331"/>
      <c r="E5" s="2331"/>
      <c r="F5" s="2331"/>
    </row>
    <row r="6" spans="1:10" ht="12" customHeight="1" x14ac:dyDescent="0.25">
      <c r="A6" s="1875"/>
      <c r="B6" s="1876"/>
      <c r="C6" s="2332" t="str">
        <f>COVER!A17</f>
        <v>Beach Park CCSD 3</v>
      </c>
      <c r="D6" s="2332"/>
      <c r="E6" s="2332"/>
      <c r="F6" s="1877"/>
    </row>
    <row r="7" spans="1:10" ht="11.25" customHeight="1" thickBot="1" x14ac:dyDescent="0.3">
      <c r="A7" s="1875"/>
      <c r="B7" s="1876"/>
      <c r="C7" s="2333">
        <f>COVER!A13</f>
        <v>34049003004</v>
      </c>
      <c r="D7" s="2333"/>
      <c r="E7" s="2333"/>
      <c r="F7" s="1877"/>
    </row>
    <row r="8" spans="1:10" ht="25.5" customHeight="1" thickBot="1" x14ac:dyDescent="0.25">
      <c r="A8" s="1918" t="s">
        <v>2024</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2076</v>
      </c>
      <c r="D26" s="1890" t="s">
        <v>2076</v>
      </c>
      <c r="E26" s="1893" t="s">
        <v>2076</v>
      </c>
      <c r="F26" s="1892" t="s">
        <v>2150</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5</v>
      </c>
      <c r="K34" s="1903">
        <f>SUM(H34:J34)</f>
        <v>15</v>
      </c>
    </row>
    <row r="35" spans="1:11" ht="12" customHeight="1" x14ac:dyDescent="0.2">
      <c r="A35" s="1896" t="s">
        <v>1459</v>
      </c>
      <c r="B35" s="1897"/>
      <c r="C35" s="2334"/>
      <c r="D35" s="2334"/>
      <c r="E35" s="2334"/>
      <c r="F35" s="2335"/>
    </row>
    <row r="36" spans="1:11" ht="12" customHeight="1" x14ac:dyDescent="0.2">
      <c r="A36" s="2317"/>
      <c r="B36" s="2318"/>
      <c r="C36" s="2318"/>
      <c r="D36" s="2318"/>
      <c r="E36" s="2318"/>
      <c r="F36" s="2319"/>
    </row>
    <row r="37" spans="1:11" ht="12" customHeight="1" x14ac:dyDescent="0.2">
      <c r="A37" s="2317"/>
      <c r="B37" s="2318"/>
      <c r="C37" s="2318"/>
      <c r="D37" s="2318"/>
      <c r="E37" s="2318"/>
      <c r="F37" s="2319"/>
    </row>
    <row r="38" spans="1:11" ht="12" customHeight="1" x14ac:dyDescent="0.2">
      <c r="A38" s="2320"/>
      <c r="B38" s="2321"/>
      <c r="C38" s="2321"/>
      <c r="D38" s="2321"/>
      <c r="E38" s="2321"/>
      <c r="F38" s="2322"/>
    </row>
    <row r="39" spans="1:11" ht="4.5" hidden="1" customHeight="1" x14ac:dyDescent="0.2">
      <c r="A39" s="1898"/>
      <c r="B39" s="1898"/>
      <c r="C39" s="1898"/>
      <c r="D39" s="1898"/>
      <c r="E39" s="1898"/>
      <c r="F39" s="1898"/>
    </row>
    <row r="40" spans="1:11" s="1895" customFormat="1" ht="12" customHeight="1" x14ac:dyDescent="0.25">
      <c r="A40" s="1899" t="s">
        <v>1458</v>
      </c>
      <c r="B40" s="1900"/>
      <c r="C40" s="2323"/>
      <c r="D40" s="2323"/>
      <c r="E40" s="2323"/>
      <c r="F40" s="2324"/>
      <c r="H40" s="1904"/>
      <c r="I40" s="1904"/>
      <c r="J40" s="1904"/>
      <c r="K40" s="1904"/>
    </row>
    <row r="41" spans="1:11" s="1895" customFormat="1" ht="12" customHeight="1" x14ac:dyDescent="0.25">
      <c r="A41" s="2325"/>
      <c r="B41" s="2326"/>
      <c r="C41" s="2326"/>
      <c r="D41" s="2326"/>
      <c r="E41" s="2326"/>
      <c r="F41" s="2327"/>
      <c r="H41" s="1904"/>
      <c r="I41" s="1904"/>
      <c r="J41" s="1904"/>
      <c r="K41" s="1904"/>
    </row>
    <row r="42" spans="1:11" s="1895" customFormat="1" ht="12" customHeight="1" x14ac:dyDescent="0.25">
      <c r="A42" s="2325"/>
      <c r="B42" s="2326"/>
      <c r="C42" s="2326"/>
      <c r="D42" s="2326"/>
      <c r="E42" s="2326"/>
      <c r="F42" s="2327"/>
      <c r="H42" s="1904"/>
      <c r="I42" s="1904"/>
      <c r="J42" s="1904"/>
      <c r="K42" s="1904"/>
    </row>
    <row r="43" spans="1:11" s="1895" customFormat="1" ht="15" x14ac:dyDescent="0.25">
      <c r="A43" s="2314"/>
      <c r="B43" s="2315"/>
      <c r="C43" s="2315"/>
      <c r="D43" s="2315"/>
      <c r="E43" s="2315"/>
      <c r="F43" s="2316"/>
      <c r="H43" s="1904"/>
      <c r="I43" s="1904"/>
      <c r="J43" s="1904"/>
      <c r="K43" s="1904"/>
    </row>
    <row r="44" spans="1:11" s="1895" customFormat="1" ht="12" hidden="1" customHeight="1" x14ac:dyDescent="0.25">
      <c r="A44" s="2314"/>
      <c r="B44" s="2315"/>
      <c r="C44" s="2315"/>
      <c r="D44" s="2315"/>
      <c r="E44" s="2315"/>
      <c r="F44" s="2316"/>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X26" sqref="X2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1" t="str">
        <f>COVER!A17</f>
        <v>Beach Park CCSD 3</v>
      </c>
      <c r="J6" s="2342"/>
      <c r="Q6" s="1686"/>
    </row>
    <row r="7" spans="1:17" x14ac:dyDescent="0.2">
      <c r="A7" s="2343" t="s">
        <v>924</v>
      </c>
      <c r="B7" s="2344"/>
      <c r="C7" s="2344"/>
      <c r="D7" s="2344"/>
      <c r="E7" s="2345"/>
      <c r="F7" s="1018"/>
      <c r="G7" s="1010"/>
      <c r="H7" s="1017" t="s">
        <v>390</v>
      </c>
      <c r="I7" s="2346">
        <f>COVER!A13</f>
        <v>34049003004</v>
      </c>
      <c r="J7" s="2346"/>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7" t="s">
        <v>502</v>
      </c>
      <c r="B11" s="2348"/>
      <c r="C11" s="234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164560</v>
      </c>
      <c r="F12" s="1040"/>
      <c r="G12" s="1834">
        <f t="shared" ref="G12:G18" si="0">SUM(E12:F12)</f>
        <v>164560</v>
      </c>
      <c r="H12" s="1041">
        <v>338550</v>
      </c>
      <c r="I12" s="1040"/>
      <c r="J12" s="1834">
        <f t="shared" ref="J12:J18" si="1">SUM(H12:I12)</f>
        <v>338550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138447</v>
      </c>
      <c r="F15" s="1834">
        <f>'Expenditures 15-22'!K122</f>
        <v>0</v>
      </c>
      <c r="G15" s="1834">
        <f t="shared" si="0"/>
        <v>138447</v>
      </c>
      <c r="H15" s="1041">
        <v>150440</v>
      </c>
      <c r="I15" s="1041"/>
      <c r="J15" s="1834">
        <f t="shared" si="1"/>
        <v>150440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0" t="s">
        <v>7</v>
      </c>
      <c r="C18" s="2351"/>
      <c r="D18" s="2352"/>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303007</v>
      </c>
      <c r="F19" s="1836">
        <f t="shared" si="2"/>
        <v>0</v>
      </c>
      <c r="G19" s="1836">
        <f t="shared" si="2"/>
        <v>303007</v>
      </c>
      <c r="H19" s="1836">
        <f t="shared" si="2"/>
        <v>488990</v>
      </c>
      <c r="I19" s="1836">
        <f t="shared" si="2"/>
        <v>0</v>
      </c>
      <c r="J19" s="1836">
        <f t="shared" si="2"/>
        <v>488990</v>
      </c>
    </row>
    <row r="20" spans="1:10" ht="13.5" thickTop="1" x14ac:dyDescent="0.2">
      <c r="A20" s="1036">
        <v>9</v>
      </c>
      <c r="B20" s="2353" t="s">
        <v>1703</v>
      </c>
      <c r="C20" s="2353"/>
      <c r="D20" s="2354"/>
      <c r="E20" s="1047"/>
      <c r="F20" s="1047"/>
      <c r="G20" s="1047"/>
      <c r="H20" s="1047"/>
      <c r="I20" s="1047"/>
      <c r="J20" s="1837">
        <f>IF(AND(G19&gt;0,J19&gt;0),(((J19-G19)/G19)),"Enter Budget Data")</f>
        <v>0.61379110053563124</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9"/>
      <c r="D26" s="2359"/>
      <c r="E26" s="1051"/>
      <c r="F26" s="2358"/>
      <c r="G26" s="2358"/>
    </row>
    <row r="27" spans="1:10" x14ac:dyDescent="0.2">
      <c r="B27" s="1048"/>
      <c r="C27" s="1052" t="s">
        <v>1093</v>
      </c>
      <c r="D27" s="1053"/>
      <c r="E27" s="1054"/>
      <c r="F27" s="2355" t="s">
        <v>1589</v>
      </c>
      <c r="G27" s="2355"/>
    </row>
    <row r="28" spans="1:10" ht="28.5" customHeight="1" x14ac:dyDescent="0.2">
      <c r="B28" s="1048"/>
      <c r="C28" s="2357"/>
      <c r="D28" s="2357"/>
      <c r="E28" s="1055"/>
      <c r="F28" s="2357"/>
      <c r="G28" s="2357"/>
    </row>
    <row r="29" spans="1:10" x14ac:dyDescent="0.2">
      <c r="B29" s="1048"/>
      <c r="C29" s="1056" t="s">
        <v>1642</v>
      </c>
      <c r="E29" s="1057"/>
      <c r="F29" s="2356" t="s">
        <v>1590</v>
      </c>
      <c r="G29" s="235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8" t="s">
        <v>134</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63"/>
    </row>
    <row r="36" spans="1:10" ht="13.5" customHeight="1" x14ac:dyDescent="0.2">
      <c r="B36" s="1062"/>
      <c r="C36" s="2340" t="s">
        <v>1943</v>
      </c>
      <c r="D36" s="2339"/>
      <c r="E36" s="2339"/>
      <c r="F36" s="2339"/>
      <c r="G36" s="2339"/>
      <c r="H36" s="2339"/>
      <c r="I36" s="2339"/>
      <c r="J36" s="1064"/>
    </row>
    <row r="37" spans="1:10" ht="22.5" customHeight="1" x14ac:dyDescent="0.2">
      <c r="C37" s="2339"/>
      <c r="D37" s="2339"/>
      <c r="E37" s="2339"/>
      <c r="F37" s="2339"/>
      <c r="G37" s="2339"/>
      <c r="H37" s="2339"/>
      <c r="I37" s="2339"/>
      <c r="J37" s="1064"/>
    </row>
    <row r="38" spans="1:10" ht="7.5" customHeight="1" x14ac:dyDescent="0.2">
      <c r="C38" s="1063"/>
      <c r="D38" s="1065"/>
      <c r="E38" s="1066"/>
      <c r="F38" s="1067"/>
      <c r="G38" s="1066"/>
    </row>
    <row r="39" spans="1:10" ht="13.5" customHeight="1" x14ac:dyDescent="0.2">
      <c r="B39" s="1062"/>
      <c r="C39" s="2336" t="s">
        <v>937</v>
      </c>
      <c r="D39" s="2337"/>
      <c r="E39" s="2337"/>
      <c r="F39" s="2337"/>
      <c r="G39" s="2337"/>
      <c r="H39" s="2337"/>
      <c r="I39" s="233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Beach Park CCSD 3</v>
      </c>
    </row>
    <row r="65" spans="2:2" x14ac:dyDescent="0.2">
      <c r="B65" s="1071">
        <f>COVER!A13</f>
        <v>34049003004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X26" sqref="X2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7" t="s">
        <v>1125</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715</v>
      </c>
      <c r="B40" s="2074"/>
      <c r="C40" s="2074"/>
      <c r="D40" s="2074"/>
      <c r="E40" s="2074"/>
    </row>
    <row r="41" spans="1:5" x14ac:dyDescent="0.2">
      <c r="A41" s="2075" t="s">
        <v>1706</v>
      </c>
      <c r="B41" s="2075"/>
      <c r="C41" s="2075"/>
      <c r="D41" s="2075"/>
      <c r="E41" s="2075"/>
    </row>
    <row r="42" spans="1:5" ht="12.75" customHeight="1" x14ac:dyDescent="0.2">
      <c r="A42" s="2076" t="s">
        <v>1080</v>
      </c>
      <c r="B42" s="2076"/>
      <c r="C42" s="2076"/>
      <c r="D42" s="2076"/>
      <c r="E42" s="2076"/>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F38" sqref="F3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0" t="s">
        <v>1784</v>
      </c>
      <c r="B18" s="236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1924050</xdr:colOff>
                <xdr:row>3</xdr:row>
                <xdr:rowOff>142875</xdr:rowOff>
              </from>
              <to>
                <xdr:col>1</xdr:col>
                <xdr:colOff>2828925</xdr:colOff>
                <xdr:row>8</xdr:row>
                <xdr:rowOff>19050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3009900</xdr:colOff>
                <xdr:row>3</xdr:row>
                <xdr:rowOff>161925</xdr:rowOff>
              </from>
              <to>
                <xdr:col>1</xdr:col>
                <xdr:colOff>3924300</xdr:colOff>
                <xdr:row>8</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2</xdr:col>
                <xdr:colOff>123825</xdr:colOff>
                <xdr:row>3</xdr:row>
                <xdr:rowOff>142875</xdr:rowOff>
              </from>
              <to>
                <xdr:col>3</xdr:col>
                <xdr:colOff>428625</xdr:colOff>
                <xdr:row>8</xdr:row>
                <xdr:rowOff>19050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1790</v>
      </c>
      <c r="B1" s="2362"/>
      <c r="C1" s="2362"/>
      <c r="D1" s="2362"/>
      <c r="E1" s="2362"/>
      <c r="F1" s="2363"/>
    </row>
    <row r="2" spans="1:8" ht="45" customHeight="1" x14ac:dyDescent="0.2">
      <c r="A2" s="2371" t="s">
        <v>1791</v>
      </c>
      <c r="B2" s="2372"/>
      <c r="C2" s="2372"/>
      <c r="D2" s="2372"/>
      <c r="E2" s="2372"/>
      <c r="F2" s="2373"/>
      <c r="G2" s="1075"/>
      <c r="H2" s="1075"/>
    </row>
    <row r="3" spans="1:8" ht="57" customHeight="1" x14ac:dyDescent="0.2">
      <c r="A3" s="2374" t="s">
        <v>1786</v>
      </c>
      <c r="B3" s="2375"/>
      <c r="C3" s="2375"/>
      <c r="D3" s="2375"/>
      <c r="E3" s="2375"/>
      <c r="F3" s="2376"/>
      <c r="G3" s="1075"/>
      <c r="H3" s="1075"/>
    </row>
    <row r="4" spans="1:8" ht="14.25" customHeight="1" x14ac:dyDescent="0.2">
      <c r="A4" s="2380" t="s">
        <v>2055</v>
      </c>
      <c r="B4" s="2381"/>
      <c r="C4" s="2381"/>
      <c r="D4" s="2381"/>
      <c r="E4" s="2381"/>
      <c r="F4" s="2382"/>
      <c r="G4" s="1075"/>
      <c r="H4" s="1075"/>
    </row>
    <row r="5" spans="1:8" ht="14.25" customHeight="1" x14ac:dyDescent="0.2">
      <c r="A5" s="2383" t="s">
        <v>2056</v>
      </c>
      <c r="B5" s="2384"/>
      <c r="C5" s="2384"/>
      <c r="D5" s="2384"/>
      <c r="E5" s="2384"/>
      <c r="F5" s="2385"/>
      <c r="G5" s="1075"/>
      <c r="H5" s="1075"/>
    </row>
    <row r="6" spans="1:8" s="1076" customFormat="1" ht="41.25" customHeight="1" x14ac:dyDescent="0.2">
      <c r="A6" s="2377" t="s">
        <v>1792</v>
      </c>
      <c r="B6" s="2378"/>
      <c r="C6" s="2378"/>
      <c r="D6" s="2378"/>
      <c r="E6" s="2378"/>
      <c r="F6" s="2379"/>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26243365</v>
      </c>
      <c r="C8" s="1838">
        <f>'Acct Summary 7-8'!D8</f>
        <v>1871043</v>
      </c>
      <c r="D8" s="1838">
        <f>'Acct Summary 7-8'!F8</f>
        <v>3082300</v>
      </c>
      <c r="E8" s="1838">
        <f>'Acct Summary 7-8'!I8</f>
        <v>33360</v>
      </c>
      <c r="F8" s="1838">
        <f>SUM(B8:E8)</f>
        <v>31230068</v>
      </c>
    </row>
    <row r="9" spans="1:8" s="1080" customFormat="1" ht="14.25" customHeight="1" thickBot="1" x14ac:dyDescent="0.25">
      <c r="A9" s="1079" t="s">
        <v>1436</v>
      </c>
      <c r="B9" s="1839">
        <f>'Acct Summary 7-8'!C17</f>
        <v>21696039</v>
      </c>
      <c r="C9" s="1839">
        <f>'Acct Summary 7-8'!D17</f>
        <v>1578713</v>
      </c>
      <c r="D9" s="1839">
        <f>'Acct Summary 7-8'!F17</f>
        <v>2213608</v>
      </c>
      <c r="E9" s="1838"/>
      <c r="F9" s="1838">
        <f>SUM(B9:E9)</f>
        <v>25488360</v>
      </c>
    </row>
    <row r="10" spans="1:8" s="1080" customFormat="1" ht="14.25" thickTop="1" thickBot="1" x14ac:dyDescent="0.25">
      <c r="A10" s="1081" t="s">
        <v>1437</v>
      </c>
      <c r="B10" s="1840">
        <f>(B8-B9)</f>
        <v>4547326</v>
      </c>
      <c r="C10" s="1840">
        <f>(C8-C9)</f>
        <v>292330</v>
      </c>
      <c r="D10" s="1840">
        <f>(D8-D9)</f>
        <v>868692</v>
      </c>
      <c r="E10" s="1839">
        <f>(E8-E9)</f>
        <v>33360</v>
      </c>
      <c r="F10" s="1841">
        <f>SUM(F8-F9)</f>
        <v>5741708</v>
      </c>
    </row>
    <row r="11" spans="1:8" s="1080" customFormat="1" ht="14.25" thickTop="1" thickBot="1" x14ac:dyDescent="0.25">
      <c r="A11" s="1082" t="s">
        <v>1785</v>
      </c>
      <c r="B11" s="1842">
        <f>'Acct Summary 7-8'!C81</f>
        <v>3531170</v>
      </c>
      <c r="C11" s="1842">
        <f>'Acct Summary 7-8'!D81</f>
        <v>3063749</v>
      </c>
      <c r="D11" s="1842">
        <f>'Acct Summary 7-8'!F81</f>
        <v>4441407</v>
      </c>
      <c r="E11" s="1842">
        <f>'Acct Summary 7-8'!I81</f>
        <v>119385</v>
      </c>
      <c r="F11" s="1843">
        <f>SUM(B11:E11)</f>
        <v>11155711</v>
      </c>
    </row>
    <row r="12" spans="1:8" ht="16.5" customHeight="1" thickTop="1" x14ac:dyDescent="0.2">
      <c r="A12" s="1083"/>
      <c r="B12" s="1084"/>
      <c r="C12" s="2365" t="str">
        <f>IF(AND(F10&lt;0,F11&gt;=0,ABS(F10*3)&gt;ABS(F11)),A16,IF(AND(F10&lt;0,F11&gt;0,ABS(F10*3)&lt;=ABS(F11)),A17,IF(AND(F10&lt;0,F11&lt;0),A16,IF(F11=0,A19,A18))))</f>
        <v>Balanced - no deficit reduction plan is required.</v>
      </c>
      <c r="D12" s="2366"/>
      <c r="E12" s="2366"/>
      <c r="F12" s="2367"/>
    </row>
    <row r="13" spans="1:8" ht="19.5" customHeight="1" x14ac:dyDescent="0.2">
      <c r="A13" s="1085"/>
      <c r="B13" s="1086"/>
      <c r="C13" s="2365"/>
      <c r="D13" s="2366"/>
      <c r="E13" s="2366"/>
      <c r="F13" s="2367"/>
      <c r="H13" s="1075"/>
    </row>
    <row r="14" spans="1:8" ht="19.5" customHeight="1" x14ac:dyDescent="0.2">
      <c r="A14" s="1085"/>
      <c r="B14" s="1086"/>
      <c r="C14" s="2365"/>
      <c r="D14" s="2366"/>
      <c r="E14" s="2366"/>
      <c r="F14" s="2367"/>
      <c r="H14" s="1075"/>
    </row>
    <row r="15" spans="1:8" ht="17.25" customHeight="1" x14ac:dyDescent="0.2">
      <c r="A15" s="1085"/>
      <c r="B15" s="1086"/>
      <c r="C15" s="2368"/>
      <c r="D15" s="2369"/>
      <c r="E15" s="2369"/>
      <c r="F15" s="2370"/>
      <c r="H15" s="1075"/>
    </row>
    <row r="16" spans="1:8" s="310" customFormat="1" ht="51.75" hidden="1" customHeight="1" x14ac:dyDescent="0.2">
      <c r="A16" s="2364" t="s">
        <v>1787</v>
      </c>
      <c r="B16" s="2364"/>
      <c r="C16" s="2364"/>
      <c r="D16" s="2364"/>
      <c r="E16" s="2364"/>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6" t="s">
        <v>686</v>
      </c>
      <c r="B3" s="2387"/>
      <c r="C3" s="2387"/>
      <c r="D3" s="2388"/>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7" t="s">
        <v>1584</v>
      </c>
      <c r="D7" s="2398"/>
    </row>
    <row r="8" spans="1:4" s="669" customFormat="1" ht="12.75" x14ac:dyDescent="0.2">
      <c r="A8" s="1139"/>
      <c r="B8" s="1094"/>
      <c r="C8" s="1097" t="s">
        <v>1583</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9" t="s">
        <v>1065</v>
      </c>
      <c r="B15" s="2390"/>
      <c r="C15" s="2390"/>
      <c r="D15" s="2391"/>
    </row>
    <row r="16" spans="1:4" s="669" customFormat="1" ht="24" customHeight="1" x14ac:dyDescent="0.2">
      <c r="A16" s="2392" t="s">
        <v>684</v>
      </c>
      <c r="B16" s="2393"/>
      <c r="C16" s="2393"/>
      <c r="D16" s="2394"/>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1" t="s">
        <v>332</v>
      </c>
      <c r="D21" s="2402"/>
    </row>
    <row r="22" spans="1:10" ht="12.75" x14ac:dyDescent="0.2">
      <c r="A22" s="1140"/>
      <c r="B22" s="1141">
        <v>2</v>
      </c>
      <c r="C22" s="2399" t="s">
        <v>1605</v>
      </c>
      <c r="D22" s="2400"/>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3" t="s">
        <v>557</v>
      </c>
      <c r="D43" s="2404"/>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5" t="s">
        <v>817</v>
      </c>
      <c r="D56" s="2396"/>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1079</v>
      </c>
      <c r="D67" s="1126"/>
    </row>
    <row r="68" spans="1:4" x14ac:dyDescent="0.2">
      <c r="A68" s="1101"/>
      <c r="B68" s="1111"/>
      <c r="C68" s="1103" t="s">
        <v>2050</v>
      </c>
      <c r="D68" s="1125" t="str">
        <f>IF('Short-Term Long-Term Debt 24'!F49=SUM(,'Acct Summary 7-8'!C33:K33),"OK","ERROR!")</f>
        <v>OK</v>
      </c>
    </row>
    <row r="69" spans="1:4" x14ac:dyDescent="0.2">
      <c r="A69" s="1101"/>
      <c r="B69" s="1111"/>
      <c r="C69" s="1103" t="s">
        <v>2051</v>
      </c>
      <c r="D69" s="1125" t="str">
        <f>IF('Expenditures 15-22'!H170&lt;&gt;'Short-Term Long-Term Debt 24'!H49,"ERROR!","OK")</f>
        <v>OK</v>
      </c>
    </row>
    <row r="70" spans="1:4" x14ac:dyDescent="0.2">
      <c r="A70" s="1099"/>
      <c r="B70" s="1121">
        <f>B66+1</f>
        <v>9</v>
      </c>
      <c r="C70" s="2395" t="s">
        <v>1797</v>
      </c>
      <c r="D70" s="2396"/>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34049003004</v>
      </c>
    </row>
    <row r="3" spans="1:2" x14ac:dyDescent="0.2">
      <c r="A3" t="s">
        <v>1013</v>
      </c>
      <c r="B3" s="138" t="str">
        <f>COVER!A15</f>
        <v>Lake</v>
      </c>
    </row>
    <row r="4" spans="1:2" x14ac:dyDescent="0.2">
      <c r="A4" t="s">
        <v>1064</v>
      </c>
      <c r="B4" s="138" t="str">
        <f>COVER!A17</f>
        <v>Beach Park CCSD 3</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060-003973</v>
      </c>
    </row>
    <row r="16" spans="1:2" x14ac:dyDescent="0.2">
      <c r="A16" t="s">
        <v>442</v>
      </c>
      <c r="B16" s="138" t="str">
        <f>COVER!T13</f>
        <v>Evans, Marshall and Pease, PC</v>
      </c>
    </row>
    <row r="17" spans="1:2" x14ac:dyDescent="0.2">
      <c r="A17" t="s">
        <v>939</v>
      </c>
      <c r="B17" s="138" t="str">
        <f>COVER!T15</f>
        <v>Jeffery M. Rollefson, CPA</v>
      </c>
    </row>
    <row r="18" spans="1:2" x14ac:dyDescent="0.2">
      <c r="A18" t="s">
        <v>1212</v>
      </c>
      <c r="B18" s="138" t="str">
        <f>COVER!T17</f>
        <v>1875 Hicks Road</v>
      </c>
    </row>
    <row r="19" spans="1:2" x14ac:dyDescent="0.2">
      <c r="A19" t="s">
        <v>941</v>
      </c>
      <c r="B19" s="138" t="str">
        <f>COVER!T25</f>
        <v>jeff@empcpa.com</v>
      </c>
    </row>
    <row r="20" spans="1:2" x14ac:dyDescent="0.2">
      <c r="A20" t="s">
        <v>942</v>
      </c>
      <c r="B20" s="138" t="str">
        <f>COVER!T19</f>
        <v xml:space="preserve">Rolling Meadows </v>
      </c>
    </row>
    <row r="21" spans="1:2" x14ac:dyDescent="0.2">
      <c r="A21" t="s">
        <v>500</v>
      </c>
      <c r="B21" s="138" t="str">
        <f>COVER!X19</f>
        <v>Illinois</v>
      </c>
    </row>
    <row r="22" spans="1:2" x14ac:dyDescent="0.2">
      <c r="A22" t="s">
        <v>943</v>
      </c>
      <c r="B22" s="138">
        <f>COVER!Z19</f>
        <v>60008</v>
      </c>
    </row>
    <row r="23" spans="1:2" x14ac:dyDescent="0.2">
      <c r="A23" t="s">
        <v>1214</v>
      </c>
      <c r="B23" s="138" t="str">
        <f>COVER!T21</f>
        <v>847-221-5700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3528368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-2802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-2802</v>
      </c>
      <c r="C91" s="2" t="s">
        <v>594</v>
      </c>
      <c r="D91" s="2" t="str">
        <f t="shared" si="0"/>
        <v>Error?</v>
      </c>
    </row>
    <row r="92" spans="1:4" x14ac:dyDescent="0.2">
      <c r="A92" s="5">
        <v>31</v>
      </c>
      <c r="B92" s="138">
        <f>'Assets-Liab 5-6'!C39</f>
        <v>3531170</v>
      </c>
      <c r="D92" s="2" t="str">
        <f t="shared" si="0"/>
        <v>Error?</v>
      </c>
    </row>
    <row r="93" spans="1:4" x14ac:dyDescent="0.2">
      <c r="A93" s="5">
        <v>32</v>
      </c>
      <c r="B93" s="138">
        <f>'Assets-Liab 5-6'!C41</f>
        <v>3528368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3063749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3063749</v>
      </c>
      <c r="D123" s="2" t="str">
        <f t="shared" si="0"/>
        <v>Error?</v>
      </c>
    </row>
    <row r="124" spans="1:4" x14ac:dyDescent="0.2">
      <c r="A124" s="5">
        <v>63</v>
      </c>
      <c r="B124" s="138">
        <f>'Assets-Liab 5-6'!D41</f>
        <v>3063749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1896475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1896475</v>
      </c>
      <c r="D140" s="2" t="str">
        <f t="shared" si="1"/>
        <v>Error?</v>
      </c>
    </row>
    <row r="141" spans="1:4" x14ac:dyDescent="0.2">
      <c r="A141" s="5">
        <v>80</v>
      </c>
      <c r="B141" s="138">
        <f>'Assets-Liab 5-6'!E41</f>
        <v>1896475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4441407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4441407</v>
      </c>
      <c r="D170" s="2" t="str">
        <f t="shared" si="1"/>
        <v>Error?</v>
      </c>
    </row>
    <row r="171" spans="1:4" x14ac:dyDescent="0.2">
      <c r="A171" s="5">
        <v>110</v>
      </c>
      <c r="B171" s="138">
        <f>'Assets-Liab 5-6'!F41</f>
        <v>4441407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488851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488851</v>
      </c>
      <c r="D189" s="2" t="str">
        <f t="shared" si="1"/>
        <v>Error?</v>
      </c>
    </row>
    <row r="190" spans="1:4" x14ac:dyDescent="0.2">
      <c r="A190" s="5">
        <v>129</v>
      </c>
      <c r="B190" s="138">
        <f>'Assets-Liab 5-6'!G41</f>
        <v>488851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81055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81055</v>
      </c>
      <c r="D212" s="2" t="str">
        <f t="shared" si="2"/>
        <v>Error?</v>
      </c>
    </row>
    <row r="213" spans="1:4" x14ac:dyDescent="0.2">
      <c r="A213" s="12">
        <v>152</v>
      </c>
      <c r="B213" s="138">
        <f>'Assets-Liab 5-6'!H41</f>
        <v>81055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967984</v>
      </c>
      <c r="D273" s="2" t="str">
        <f t="shared" si="3"/>
        <v>Error?</v>
      </c>
    </row>
    <row r="274" spans="1:4" x14ac:dyDescent="0.2">
      <c r="A274" s="5">
        <v>213</v>
      </c>
      <c r="B274" s="138">
        <f>'Assets-Liab 5-6'!M17</f>
        <v>52154065</v>
      </c>
      <c r="D274" s="2" t="str">
        <f t="shared" si="3"/>
        <v>Error?</v>
      </c>
    </row>
    <row r="275" spans="1:4" x14ac:dyDescent="0.2">
      <c r="A275" s="5">
        <v>214</v>
      </c>
      <c r="B275" s="138">
        <f>'Assets-Liab 5-6'!M18</f>
        <v>590394</v>
      </c>
      <c r="D275" s="2" t="str">
        <f t="shared" si="3"/>
        <v>Error?</v>
      </c>
    </row>
    <row r="276" spans="1:4" x14ac:dyDescent="0.2">
      <c r="A276" s="5">
        <v>215</v>
      </c>
      <c r="B276" s="138">
        <f>'Assets-Liab 5-6'!M19</f>
        <v>2316506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56028949</v>
      </c>
      <c r="C279" s="2" t="s">
        <v>594</v>
      </c>
      <c r="D279" s="2" t="str">
        <f t="shared" si="3"/>
        <v>Error?</v>
      </c>
    </row>
    <row r="280" spans="1:4" x14ac:dyDescent="0.2">
      <c r="A280" s="5">
        <v>219</v>
      </c>
      <c r="B280" s="138">
        <f>'Assets-Liab 5-6'!M40</f>
        <v>56028949</v>
      </c>
      <c r="D280" s="2" t="str">
        <f t="shared" si="3"/>
        <v>Error?</v>
      </c>
    </row>
    <row r="281" spans="1:4" x14ac:dyDescent="0.2">
      <c r="A281" s="5">
        <v>220</v>
      </c>
      <c r="B281" s="138">
        <f>'Assets-Liab 5-6'!M41</f>
        <v>56028949</v>
      </c>
      <c r="C281" s="2" t="s">
        <v>594</v>
      </c>
      <c r="D281" s="2" t="str">
        <f t="shared" si="3"/>
        <v>Error?</v>
      </c>
    </row>
    <row r="282" spans="1:4" x14ac:dyDescent="0.2">
      <c r="A282" s="5">
        <v>221</v>
      </c>
      <c r="B282" s="138">
        <f>'Assets-Liab 5-6'!N21</f>
        <v>1896475</v>
      </c>
      <c r="D282" s="2" t="str">
        <f t="shared" si="3"/>
        <v>Error?</v>
      </c>
    </row>
    <row r="283" spans="1:4" x14ac:dyDescent="0.2">
      <c r="A283" s="5">
        <v>222</v>
      </c>
      <c r="B283" s="138">
        <f>'Assets-Liab 5-6'!N22</f>
        <v>539768</v>
      </c>
      <c r="D283" s="2" t="str">
        <f t="shared" si="3"/>
        <v>Error?</v>
      </c>
    </row>
    <row r="284" spans="1:4" x14ac:dyDescent="0.2">
      <c r="A284" s="5">
        <v>223</v>
      </c>
      <c r="B284" s="138">
        <f>'Assets-Liab 5-6'!N23</f>
        <v>2436243</v>
      </c>
      <c r="C284" s="2" t="s">
        <v>594</v>
      </c>
      <c r="D284" s="2" t="str">
        <f t="shared" si="3"/>
        <v>Error?</v>
      </c>
    </row>
    <row r="285" spans="1:4" x14ac:dyDescent="0.2">
      <c r="A285" s="5">
        <v>224</v>
      </c>
      <c r="B285" s="138">
        <f>'Assets-Liab 5-6'!N36</f>
        <v>2436243</v>
      </c>
      <c r="D285" s="2" t="str">
        <f t="shared" si="3"/>
        <v>Error?</v>
      </c>
    </row>
    <row r="286" spans="1:4" x14ac:dyDescent="0.2">
      <c r="A286" s="10">
        <v>225</v>
      </c>
      <c r="D286" s="2" t="str">
        <f t="shared" si="3"/>
        <v>OK</v>
      </c>
    </row>
    <row r="287" spans="1:4" x14ac:dyDescent="0.2">
      <c r="A287" s="5">
        <v>226</v>
      </c>
      <c r="B287" s="138">
        <f>'Assets-Liab 5-6'!N37</f>
        <v>2436243</v>
      </c>
      <c r="C287" s="2" t="s">
        <v>594</v>
      </c>
      <c r="D287" s="2" t="str">
        <f t="shared" si="3"/>
        <v>Error?</v>
      </c>
    </row>
    <row r="288" spans="1:4" x14ac:dyDescent="0.2">
      <c r="A288" s="5">
        <v>227</v>
      </c>
      <c r="B288" s="138">
        <f>'Assets-Liab 5-6'!N41</f>
        <v>2436243</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9546819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8353</v>
      </c>
      <c r="D719" s="2" t="str">
        <f t="shared" si="10"/>
        <v>Error?</v>
      </c>
    </row>
    <row r="720" spans="1:4" x14ac:dyDescent="0.2">
      <c r="A720" s="5">
        <v>659</v>
      </c>
      <c r="B720" s="138">
        <f>'Expenditures 15-22'!C33</f>
        <v>11640352</v>
      </c>
      <c r="C720" s="2" t="s">
        <v>594</v>
      </c>
      <c r="D720" s="2" t="str">
        <f t="shared" si="10"/>
        <v>Error?</v>
      </c>
    </row>
    <row r="721" spans="1:4" x14ac:dyDescent="0.2">
      <c r="A721" s="5">
        <v>660</v>
      </c>
      <c r="B721" s="138">
        <f>'Expenditures 15-22'!C36</f>
        <v>503769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307650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258686</v>
      </c>
      <c r="D725" s="2" t="str">
        <f t="shared" si="10"/>
        <v>Error?</v>
      </c>
    </row>
    <row r="726" spans="1:4" x14ac:dyDescent="0.2">
      <c r="A726" s="5">
        <v>665</v>
      </c>
      <c r="B726" s="138">
        <f>'Expenditures 15-22'!C41</f>
        <v>130215</v>
      </c>
      <c r="D726" s="2" t="str">
        <f t="shared" si="10"/>
        <v>Error?</v>
      </c>
    </row>
    <row r="727" spans="1:4" x14ac:dyDescent="0.2">
      <c r="A727" s="5">
        <v>666</v>
      </c>
      <c r="B727" s="138">
        <f>'Expenditures 15-22'!C42</f>
        <v>1200320</v>
      </c>
      <c r="C727" s="2" t="s">
        <v>594</v>
      </c>
      <c r="D727" s="2" t="str">
        <f t="shared" si="10"/>
        <v>Error?</v>
      </c>
    </row>
    <row r="728" spans="1:4" x14ac:dyDescent="0.2">
      <c r="A728" s="5">
        <v>667</v>
      </c>
      <c r="B728" s="138">
        <f>'Expenditures 15-22'!C44</f>
        <v>39585</v>
      </c>
      <c r="D728" s="2" t="str">
        <f t="shared" si="10"/>
        <v>Error?</v>
      </c>
    </row>
    <row r="729" spans="1:4" x14ac:dyDescent="0.2">
      <c r="A729" s="5">
        <v>668</v>
      </c>
      <c r="B729" s="138">
        <f>'Expenditures 15-22'!C45</f>
        <v>183822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223407</v>
      </c>
      <c r="C731" s="2" t="s">
        <v>594</v>
      </c>
      <c r="D731" s="2" t="str">
        <f t="shared" si="10"/>
        <v>Error?</v>
      </c>
    </row>
    <row r="732" spans="1:4" x14ac:dyDescent="0.2">
      <c r="A732" s="5">
        <v>671</v>
      </c>
      <c r="B732" s="138">
        <f>'Expenditures 15-22'!C49</f>
        <v>5812</v>
      </c>
      <c r="D732" s="2" t="str">
        <f t="shared" si="10"/>
        <v>Error?</v>
      </c>
    </row>
    <row r="733" spans="1:4" x14ac:dyDescent="0.2">
      <c r="A733" s="5">
        <v>672</v>
      </c>
      <c r="B733" s="138">
        <f>'Expenditures 15-22'!C50</f>
        <v>163776</v>
      </c>
      <c r="D733" s="2" t="str">
        <f t="shared" si="10"/>
        <v>Error?</v>
      </c>
    </row>
    <row r="734" spans="1:4" x14ac:dyDescent="0.2">
      <c r="A734" s="5">
        <v>673</v>
      </c>
      <c r="B734" s="138">
        <f>'Expenditures 15-22'!C53</f>
        <v>169588</v>
      </c>
      <c r="C734" s="2" t="s">
        <v>594</v>
      </c>
      <c r="D734" s="2" t="str">
        <f t="shared" si="10"/>
        <v>Error?</v>
      </c>
    </row>
    <row r="735" spans="1:4" x14ac:dyDescent="0.2">
      <c r="A735" s="5">
        <v>674</v>
      </c>
      <c r="B735" s="138">
        <f>'Expenditures 15-22'!C55</f>
        <v>786615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786615</v>
      </c>
      <c r="C737" s="2" t="s">
        <v>594</v>
      </c>
      <c r="D737" s="2" t="str">
        <f t="shared" si="10"/>
        <v>Error?</v>
      </c>
    </row>
    <row r="738" spans="1:4" x14ac:dyDescent="0.2">
      <c r="A738" s="5">
        <v>677</v>
      </c>
      <c r="B738" s="138">
        <f>'Expenditures 15-22'!C59</f>
        <v>100038</v>
      </c>
      <c r="D738" s="2" t="str">
        <f t="shared" si="10"/>
        <v>Error?</v>
      </c>
    </row>
    <row r="739" spans="1:4" x14ac:dyDescent="0.2">
      <c r="A739" s="5">
        <v>678</v>
      </c>
      <c r="B739" s="138">
        <f>'Expenditures 15-22'!C60</f>
        <v>214330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187864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502232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2882162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14522514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1579726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72</v>
      </c>
      <c r="D777" s="2" t="str">
        <f t="shared" si="11"/>
        <v>Error?</v>
      </c>
    </row>
    <row r="778" spans="1:4" x14ac:dyDescent="0.2">
      <c r="A778" s="5">
        <v>717</v>
      </c>
      <c r="B778" s="138">
        <f>'Expenditures 15-22'!D33</f>
        <v>2130484</v>
      </c>
      <c r="C778" s="2" t="s">
        <v>594</v>
      </c>
      <c r="D778" s="2" t="str">
        <f t="shared" si="11"/>
        <v>Error?</v>
      </c>
    </row>
    <row r="779" spans="1:4" x14ac:dyDescent="0.2">
      <c r="A779" s="5">
        <v>718</v>
      </c>
      <c r="B779" s="138">
        <f>'Expenditures 15-22'!D36</f>
        <v>88503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63684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46981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199168</v>
      </c>
      <c r="C785" s="2" t="s">
        <v>594</v>
      </c>
      <c r="D785" s="2" t="str">
        <f t="shared" si="11"/>
        <v>Error?</v>
      </c>
    </row>
    <row r="786" spans="1:4" x14ac:dyDescent="0.2">
      <c r="A786" s="5">
        <v>725</v>
      </c>
      <c r="B786" s="138">
        <f>'Expenditures 15-22'!D44</f>
        <v>12127</v>
      </c>
      <c r="D786" s="2" t="str">
        <f t="shared" si="11"/>
        <v>Error?</v>
      </c>
    </row>
    <row r="787" spans="1:4" x14ac:dyDescent="0.2">
      <c r="A787" s="5">
        <v>726</v>
      </c>
      <c r="B787" s="138">
        <f>'Expenditures 15-22'!D45</f>
        <v>40738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52865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490</v>
      </c>
      <c r="D791" s="2" t="str">
        <f t="shared" si="11"/>
        <v>Error?</v>
      </c>
    </row>
    <row r="792" spans="1:4" x14ac:dyDescent="0.2">
      <c r="A792" s="5">
        <v>731</v>
      </c>
      <c r="B792" s="138">
        <f>'Expenditures 15-22'!D53</f>
        <v>490</v>
      </c>
      <c r="C792" s="2" t="s">
        <v>594</v>
      </c>
      <c r="D792" s="2" t="str">
        <f t="shared" si="11"/>
        <v>Error?</v>
      </c>
    </row>
    <row r="793" spans="1:4" x14ac:dyDescent="0.2">
      <c r="A793" s="5">
        <v>732</v>
      </c>
      <c r="B793" s="138">
        <f>'Expenditures 15-22'!D55</f>
        <v>260830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260830</v>
      </c>
      <c r="C795" s="2" t="s">
        <v>594</v>
      </c>
      <c r="D795" s="2" t="str">
        <f t="shared" si="11"/>
        <v>Error?</v>
      </c>
    </row>
    <row r="796" spans="1:4" x14ac:dyDescent="0.2">
      <c r="A796" s="5">
        <v>735</v>
      </c>
      <c r="B796" s="138">
        <f>'Expenditures 15-22'!D59</f>
        <v>37072</v>
      </c>
      <c r="D796" s="2" t="str">
        <f t="shared" si="11"/>
        <v>Error?</v>
      </c>
    </row>
    <row r="797" spans="1:4" x14ac:dyDescent="0.2">
      <c r="A797" s="5">
        <v>736</v>
      </c>
      <c r="B797" s="138">
        <f>'Expenditures 15-22'!D60</f>
        <v>33563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43961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114596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627949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2758433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191551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214080</v>
      </c>
      <c r="C836" s="2" t="s">
        <v>594</v>
      </c>
      <c r="D836" s="2" t="str">
        <f t="shared" si="12"/>
        <v>Error?</v>
      </c>
    </row>
    <row r="837" spans="1:4" x14ac:dyDescent="0.2">
      <c r="A837" s="5">
        <v>776</v>
      </c>
      <c r="B837" s="138">
        <f>'Expenditures 15-22'!E36</f>
        <v>5060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67263</v>
      </c>
      <c r="D839" s="2" t="str">
        <f t="shared" si="12"/>
        <v>Error?</v>
      </c>
    </row>
    <row r="840" spans="1:4" x14ac:dyDescent="0.2">
      <c r="A840" s="5">
        <v>779</v>
      </c>
      <c r="B840" s="138">
        <f>'Expenditures 15-22'!E39</f>
        <v>200790</v>
      </c>
      <c r="D840" s="2" t="str">
        <f t="shared" si="12"/>
        <v>Error?</v>
      </c>
    </row>
    <row r="841" spans="1:4" x14ac:dyDescent="0.2">
      <c r="A841" s="5">
        <v>780</v>
      </c>
      <c r="B841" s="138">
        <f>'Expenditures 15-22'!E40</f>
        <v>242370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515483</v>
      </c>
      <c r="C843" s="2" t="s">
        <v>594</v>
      </c>
      <c r="D843" s="2" t="str">
        <f t="shared" si="12"/>
        <v>Error?</v>
      </c>
    </row>
    <row r="844" spans="1:4" x14ac:dyDescent="0.2">
      <c r="A844" s="5">
        <v>783</v>
      </c>
      <c r="B844" s="138">
        <f>'Expenditures 15-22'!E44</f>
        <v>66279</v>
      </c>
      <c r="D844" s="2" t="str">
        <f t="shared" si="12"/>
        <v>Error?</v>
      </c>
    </row>
    <row r="845" spans="1:4" x14ac:dyDescent="0.2">
      <c r="A845" s="5">
        <v>784</v>
      </c>
      <c r="B845" s="138">
        <f>'Expenditures 15-22'!E45</f>
        <v>7763</v>
      </c>
      <c r="D845" s="2" t="str">
        <f t="shared" si="12"/>
        <v>Error?</v>
      </c>
    </row>
    <row r="846" spans="1:4" x14ac:dyDescent="0.2">
      <c r="A846" s="5">
        <v>785</v>
      </c>
      <c r="B846" s="138">
        <f>'Expenditures 15-22'!E46</f>
        <v>43100</v>
      </c>
      <c r="D846" s="2" t="str">
        <f t="shared" si="12"/>
        <v>Error?</v>
      </c>
    </row>
    <row r="847" spans="1:4" x14ac:dyDescent="0.2">
      <c r="A847" s="5">
        <v>786</v>
      </c>
      <c r="B847" s="138">
        <f>'Expenditures 15-22'!E47</f>
        <v>117142</v>
      </c>
      <c r="C847" s="2" t="s">
        <v>594</v>
      </c>
      <c r="D847" s="2" t="str">
        <f t="shared" si="12"/>
        <v>Error?</v>
      </c>
    </row>
    <row r="848" spans="1:4" x14ac:dyDescent="0.2">
      <c r="A848" s="5">
        <v>787</v>
      </c>
      <c r="B848" s="138">
        <f>'Expenditures 15-22'!E49</f>
        <v>130904</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130904</v>
      </c>
      <c r="C850" s="2" t="s">
        <v>594</v>
      </c>
      <c r="D850" s="2" t="str">
        <f t="shared" si="12"/>
        <v>Error?</v>
      </c>
    </row>
    <row r="851" spans="1:4" x14ac:dyDescent="0.2">
      <c r="A851" s="5">
        <v>790</v>
      </c>
      <c r="B851" s="138">
        <f>'Expenditures 15-22'!E55</f>
        <v>659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659</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22778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741184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763962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1528150</v>
      </c>
      <c r="C871" s="2" t="s">
        <v>594</v>
      </c>
      <c r="D871" s="2" t="str">
        <f t="shared" si="12"/>
        <v>Error?</v>
      </c>
    </row>
    <row r="872" spans="1:4" x14ac:dyDescent="0.2">
      <c r="A872" s="5">
        <v>811</v>
      </c>
      <c r="B872" s="138">
        <f>'Expenditures 15-22'!E75</f>
        <v>16169</v>
      </c>
      <c r="D872" s="2" t="str">
        <f t="shared" si="12"/>
        <v>Error?</v>
      </c>
    </row>
    <row r="873" spans="1:4" x14ac:dyDescent="0.2">
      <c r="A873" s="5">
        <v>812</v>
      </c>
      <c r="B873" s="138">
        <f>'Expenditures 15-22'!E114</f>
        <v>1758399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547006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126</v>
      </c>
      <c r="D893" s="2" t="str">
        <f t="shared" si="12"/>
        <v>Error?</v>
      </c>
    </row>
    <row r="894" spans="1:4" x14ac:dyDescent="0.2">
      <c r="A894" s="5">
        <v>833</v>
      </c>
      <c r="B894" s="138">
        <f>'Expenditures 15-22'!F33</f>
        <v>556670</v>
      </c>
      <c r="C894" s="2" t="s">
        <v>594</v>
      </c>
      <c r="D894" s="2" t="str">
        <f t="shared" si="12"/>
        <v>Error?</v>
      </c>
    </row>
    <row r="895" spans="1:4" x14ac:dyDescent="0.2">
      <c r="A895" s="5">
        <v>834</v>
      </c>
      <c r="B895" s="138">
        <f>'Expenditures 15-22'!F36</f>
        <v>311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7187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1712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9210</v>
      </c>
      <c r="C901" s="2" t="s">
        <v>594</v>
      </c>
      <c r="D901" s="2" t="str">
        <f t="shared" si="13"/>
        <v>Error?</v>
      </c>
    </row>
    <row r="902" spans="1:4" x14ac:dyDescent="0.2">
      <c r="A902" s="5">
        <v>841</v>
      </c>
      <c r="B902" s="138">
        <f>'Expenditures 15-22'!F44</f>
        <v>23075</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23075</v>
      </c>
      <c r="C905" s="2" t="s">
        <v>594</v>
      </c>
      <c r="D905" s="2" t="str">
        <f t="shared" si="13"/>
        <v>Error?</v>
      </c>
    </row>
    <row r="906" spans="1:4" x14ac:dyDescent="0.2">
      <c r="A906" s="5">
        <v>845</v>
      </c>
      <c r="B906" s="138">
        <f>'Expenditures 15-22'!F49</f>
        <v>8196</v>
      </c>
      <c r="D906" s="2" t="str">
        <f t="shared" si="13"/>
        <v>Error?</v>
      </c>
    </row>
    <row r="907" spans="1:4" x14ac:dyDescent="0.2">
      <c r="A907" s="5">
        <v>846</v>
      </c>
      <c r="B907" s="138">
        <f>'Expenditures 15-22'!F50</f>
        <v>94</v>
      </c>
      <c r="D907" s="2" t="str">
        <f t="shared" si="13"/>
        <v>Error?</v>
      </c>
    </row>
    <row r="908" spans="1:4" x14ac:dyDescent="0.2">
      <c r="A908" s="5">
        <v>847</v>
      </c>
      <c r="B908" s="138">
        <f>'Expenditures 15-22'!F53</f>
        <v>8290</v>
      </c>
      <c r="C908" s="2" t="s">
        <v>594</v>
      </c>
      <c r="D908" s="2" t="str">
        <f t="shared" si="13"/>
        <v>Error?</v>
      </c>
    </row>
    <row r="909" spans="1:4" x14ac:dyDescent="0.2">
      <c r="A909" s="5">
        <v>848</v>
      </c>
      <c r="B909" s="138">
        <f>'Expenditures 15-22'!F55</f>
        <v>3797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3797</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41189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105444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146633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191005</v>
      </c>
      <c r="C929" s="2" t="s">
        <v>594</v>
      </c>
      <c r="D929" s="2" t="str">
        <f t="shared" si="13"/>
        <v>Error?</v>
      </c>
    </row>
    <row r="930" spans="1:4" x14ac:dyDescent="0.2">
      <c r="A930" s="5">
        <v>869</v>
      </c>
      <c r="B930" s="138">
        <f>'Expenditures 15-22'!F75</f>
        <v>846</v>
      </c>
      <c r="D930" s="2" t="str">
        <f t="shared" si="13"/>
        <v>Error?</v>
      </c>
    </row>
    <row r="931" spans="1:4" x14ac:dyDescent="0.2">
      <c r="A931" s="5">
        <v>870</v>
      </c>
      <c r="B931" s="138">
        <f>'Expenditures 15-22'!F114</f>
        <v>748521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75324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75324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75324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289342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1226</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1226</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9729</v>
      </c>
      <c r="D1022" s="2" t="str">
        <f t="shared" si="14"/>
        <v>Error?</v>
      </c>
    </row>
    <row r="1023" spans="1:4" x14ac:dyDescent="0.2">
      <c r="A1023" s="5">
        <v>962</v>
      </c>
      <c r="B1023" s="138">
        <f>'Expenditures 15-22'!H50</f>
        <v>200</v>
      </c>
      <c r="D1023" s="2" t="str">
        <f t="shared" ref="D1023:D1086" si="15">IF(ISBLANK(B1023),"OK",IF(A1023-B1023=0,"OK","Error?"))</f>
        <v>Error?</v>
      </c>
    </row>
    <row r="1024" spans="1:4" x14ac:dyDescent="0.2">
      <c r="A1024" s="5">
        <v>963</v>
      </c>
      <c r="B1024" s="138">
        <f>'Expenditures 15-22'!H53</f>
        <v>9929</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1337</v>
      </c>
      <c r="D1028" s="2" t="str">
        <f t="shared" si="15"/>
        <v>Error?</v>
      </c>
    </row>
    <row r="1029" spans="1:4" x14ac:dyDescent="0.2">
      <c r="A1029" s="5">
        <v>968</v>
      </c>
      <c r="B1029" s="138">
        <f>'Expenditures 15-22'!H60</f>
        <v>500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1837</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12992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1418382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1720716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12052558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8551</v>
      </c>
      <c r="C1107" s="2" t="s">
        <v>594</v>
      </c>
      <c r="D1107" s="2" t="str">
        <f t="shared" si="16"/>
        <v>Error?</v>
      </c>
    </row>
    <row r="1108" spans="1:4" x14ac:dyDescent="0.2">
      <c r="A1108" s="5">
        <v>1047</v>
      </c>
      <c r="B1108" s="138">
        <f>'Expenditures 15-22'!K33</f>
        <v>15018384</v>
      </c>
      <c r="C1108" s="2" t="s">
        <v>594</v>
      </c>
      <c r="D1108" s="2" t="str">
        <f t="shared" si="16"/>
        <v>Error?</v>
      </c>
    </row>
    <row r="1109" spans="1:4" x14ac:dyDescent="0.2">
      <c r="A1109" s="5">
        <v>1048</v>
      </c>
      <c r="B1109" s="138">
        <f>'Expenditures 15-22'!K36</f>
        <v>597643</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445784</v>
      </c>
      <c r="C1111" s="2" t="s">
        <v>594</v>
      </c>
      <c r="D1111" s="2" t="str">
        <f t="shared" si="16"/>
        <v>Error?</v>
      </c>
    </row>
    <row r="1112" spans="1:4" x14ac:dyDescent="0.2">
      <c r="A1112" s="5">
        <v>1051</v>
      </c>
      <c r="B1112" s="138">
        <f>'Expenditures 15-22'!K39</f>
        <v>200790</v>
      </c>
      <c r="C1112" s="2" t="s">
        <v>594</v>
      </c>
      <c r="D1112" s="2" t="str">
        <f t="shared" si="16"/>
        <v>Error?</v>
      </c>
    </row>
    <row r="1113" spans="1:4" x14ac:dyDescent="0.2">
      <c r="A1113" s="5">
        <v>1052</v>
      </c>
      <c r="B1113" s="138">
        <f>'Expenditures 15-22'!K40</f>
        <v>550975</v>
      </c>
      <c r="C1113" s="2" t="s">
        <v>594</v>
      </c>
      <c r="D1113" s="2" t="str">
        <f t="shared" si="16"/>
        <v>Error?</v>
      </c>
    </row>
    <row r="1114" spans="1:4" x14ac:dyDescent="0.2">
      <c r="A1114" s="5">
        <v>1053</v>
      </c>
      <c r="B1114" s="138">
        <f>'Expenditures 15-22'!K41</f>
        <v>130215</v>
      </c>
      <c r="C1114" s="2" t="s">
        <v>594</v>
      </c>
      <c r="D1114" s="2" t="str">
        <f t="shared" si="16"/>
        <v>Error?</v>
      </c>
    </row>
    <row r="1115" spans="1:4" x14ac:dyDescent="0.2">
      <c r="A1115" s="5">
        <v>1054</v>
      </c>
      <c r="B1115" s="138">
        <f>'Expenditures 15-22'!K42</f>
        <v>1925407</v>
      </c>
      <c r="C1115" s="2" t="s">
        <v>594</v>
      </c>
      <c r="D1115" s="2" t="str">
        <f t="shared" si="16"/>
        <v>Error?</v>
      </c>
    </row>
    <row r="1116" spans="1:4" x14ac:dyDescent="0.2">
      <c r="A1116" s="5">
        <v>1055</v>
      </c>
      <c r="B1116" s="138">
        <f>'Expenditures 15-22'!K44</f>
        <v>141066</v>
      </c>
      <c r="C1116" s="2" t="s">
        <v>594</v>
      </c>
      <c r="D1116" s="2" t="str">
        <f t="shared" si="16"/>
        <v>Error?</v>
      </c>
    </row>
    <row r="1117" spans="1:4" x14ac:dyDescent="0.2">
      <c r="A1117" s="5">
        <v>1056</v>
      </c>
      <c r="B1117" s="138">
        <f>'Expenditures 15-22'!K45</f>
        <v>232323</v>
      </c>
      <c r="C1117" s="2" t="s">
        <v>594</v>
      </c>
      <c r="D1117" s="2" t="str">
        <f t="shared" si="16"/>
        <v>Error?</v>
      </c>
    </row>
    <row r="1118" spans="1:4" x14ac:dyDescent="0.2">
      <c r="A1118" s="5">
        <v>1057</v>
      </c>
      <c r="B1118" s="138">
        <f>'Expenditures 15-22'!K46</f>
        <v>43100</v>
      </c>
      <c r="C1118" s="2" t="s">
        <v>594</v>
      </c>
      <c r="D1118" s="2" t="str">
        <f t="shared" si="16"/>
        <v>Error?</v>
      </c>
    </row>
    <row r="1119" spans="1:4" x14ac:dyDescent="0.2">
      <c r="A1119" s="5">
        <v>1058</v>
      </c>
      <c r="B1119" s="138">
        <f>'Expenditures 15-22'!K47</f>
        <v>416489</v>
      </c>
      <c r="C1119" s="2" t="s">
        <v>594</v>
      </c>
      <c r="D1119" s="2" t="str">
        <f t="shared" si="16"/>
        <v>Error?</v>
      </c>
    </row>
    <row r="1120" spans="1:4" x14ac:dyDescent="0.2">
      <c r="A1120" s="5">
        <v>1059</v>
      </c>
      <c r="B1120" s="138">
        <f>'Expenditures 15-22'!K49</f>
        <v>154641</v>
      </c>
      <c r="C1120" s="2" t="s">
        <v>594</v>
      </c>
      <c r="D1120" s="2" t="str">
        <f t="shared" si="16"/>
        <v>Error?</v>
      </c>
    </row>
    <row r="1121" spans="1:4" x14ac:dyDescent="0.2">
      <c r="A1121" s="5">
        <v>1060</v>
      </c>
      <c r="B1121" s="138">
        <f>'Expenditures 15-22'!K50</f>
        <v>164560</v>
      </c>
      <c r="C1121" s="2" t="s">
        <v>594</v>
      </c>
      <c r="D1121" s="2" t="str">
        <f t="shared" si="16"/>
        <v>Error?</v>
      </c>
    </row>
    <row r="1122" spans="1:4" x14ac:dyDescent="0.2">
      <c r="A1122" s="5">
        <v>1061</v>
      </c>
      <c r="B1122" s="138">
        <f>'Expenditures 15-22'!K53</f>
        <v>319201</v>
      </c>
      <c r="C1122" s="2" t="s">
        <v>594</v>
      </c>
      <c r="D1122" s="2" t="str">
        <f t="shared" si="16"/>
        <v>Error?</v>
      </c>
    </row>
    <row r="1123" spans="1:4" x14ac:dyDescent="0.2">
      <c r="A1123" s="5">
        <v>1062</v>
      </c>
      <c r="B1123" s="138">
        <f>'Expenditures 15-22'!K55</f>
        <v>1051901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1051901</v>
      </c>
      <c r="C1125" s="2" t="s">
        <v>594</v>
      </c>
      <c r="D1125" s="2" t="str">
        <f t="shared" si="16"/>
        <v>Error?</v>
      </c>
    </row>
    <row r="1126" spans="1:4" x14ac:dyDescent="0.2">
      <c r="A1126" s="5">
        <v>1065</v>
      </c>
      <c r="B1126" s="138">
        <f>'Expenditures 15-22'!K59</f>
        <v>138447</v>
      </c>
      <c r="C1126" s="2" t="s">
        <v>594</v>
      </c>
      <c r="D1126" s="2" t="str">
        <f t="shared" si="16"/>
        <v>Error?</v>
      </c>
    </row>
    <row r="1127" spans="1:4" x14ac:dyDescent="0.2">
      <c r="A1127" s="5">
        <v>1066</v>
      </c>
      <c r="B1127" s="138">
        <f>'Expenditures 15-22'!K60</f>
        <v>312360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1078453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1529260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5242258</v>
      </c>
      <c r="C1143" s="2" t="s">
        <v>594</v>
      </c>
      <c r="D1143" s="2" t="str">
        <f t="shared" si="16"/>
        <v>Error?</v>
      </c>
    </row>
    <row r="1144" spans="1:4" x14ac:dyDescent="0.2">
      <c r="A1144" s="5">
        <v>1083</v>
      </c>
      <c r="B1144" s="138">
        <f>'Expenditures 15-22'!K75</f>
        <v>17015</v>
      </c>
      <c r="C1144" s="2" t="s">
        <v>594</v>
      </c>
      <c r="D1144" s="2" t="str">
        <f t="shared" si="16"/>
        <v>Error?</v>
      </c>
    </row>
    <row r="1145" spans="1:4" x14ac:dyDescent="0.2">
      <c r="A1145" s="5">
        <v>1084</v>
      </c>
      <c r="B1145" s="138">
        <f>'Expenditures 15-22'!K102</f>
        <v>1418382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21696039</v>
      </c>
      <c r="C1152" s="2" t="s">
        <v>594</v>
      </c>
      <c r="D1152" s="2" t="str">
        <f t="shared" si="17"/>
        <v>Error?</v>
      </c>
    </row>
    <row r="1153" spans="1:4" x14ac:dyDescent="0.2">
      <c r="A1153" s="5">
        <v>1092</v>
      </c>
      <c r="B1153" s="138">
        <f>'Expenditures 15-22'!K115</f>
        <v>4547326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244780</v>
      </c>
      <c r="D1221" s="2" t="str">
        <f t="shared" si="18"/>
        <v>Error?</v>
      </c>
    </row>
    <row r="1222" spans="1:4" x14ac:dyDescent="0.2">
      <c r="A1222" s="10">
        <v>1161</v>
      </c>
      <c r="D1222" s="2" t="str">
        <f t="shared" si="18"/>
        <v>OK</v>
      </c>
    </row>
    <row r="1223" spans="1:4" x14ac:dyDescent="0.2">
      <c r="A1223" s="5">
        <v>1162</v>
      </c>
      <c r="B1223" s="138">
        <f>'Expenditures 15-22'!C127</f>
        <v>244780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244780</v>
      </c>
      <c r="C1225" s="2" t="s">
        <v>594</v>
      </c>
      <c r="D1225" s="2" t="str">
        <f t="shared" si="18"/>
        <v>Error?</v>
      </c>
    </row>
    <row r="1226" spans="1:4" x14ac:dyDescent="0.2">
      <c r="A1226" s="5">
        <v>1165</v>
      </c>
      <c r="B1226" s="138">
        <f>'Expenditures 15-22'!C151</f>
        <v>244780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45855</v>
      </c>
      <c r="D1229" s="2" t="str">
        <f t="shared" si="18"/>
        <v>Error?</v>
      </c>
    </row>
    <row r="1230" spans="1:4" x14ac:dyDescent="0.2">
      <c r="A1230" s="10">
        <v>1169</v>
      </c>
      <c r="D1230" s="2" t="str">
        <f t="shared" si="18"/>
        <v>OK</v>
      </c>
    </row>
    <row r="1231" spans="1:4" x14ac:dyDescent="0.2">
      <c r="A1231" s="5">
        <v>1170</v>
      </c>
      <c r="B1231" s="138">
        <f>'Expenditures 15-22'!D127</f>
        <v>45855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45855</v>
      </c>
      <c r="C1233" s="2" t="s">
        <v>594</v>
      </c>
      <c r="D1233" s="2" t="str">
        <f t="shared" si="18"/>
        <v>Error?</v>
      </c>
    </row>
    <row r="1234" spans="1:4" x14ac:dyDescent="0.2">
      <c r="A1234" s="5">
        <v>1173</v>
      </c>
      <c r="B1234" s="138">
        <f>'Expenditures 15-22'!D151</f>
        <v>45855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826229</v>
      </c>
      <c r="D1237" s="2" t="str">
        <f t="shared" si="18"/>
        <v>Error?</v>
      </c>
    </row>
    <row r="1238" spans="1:4" x14ac:dyDescent="0.2">
      <c r="A1238" s="10">
        <v>1177</v>
      </c>
      <c r="D1238" s="2" t="str">
        <f t="shared" si="18"/>
        <v>OK</v>
      </c>
    </row>
    <row r="1239" spans="1:4" x14ac:dyDescent="0.2">
      <c r="A1239" s="5">
        <v>1178</v>
      </c>
      <c r="B1239" s="138">
        <f>'Expenditures 15-22'!E127</f>
        <v>826229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826229</v>
      </c>
      <c r="C1241" s="2" t="s">
        <v>594</v>
      </c>
      <c r="D1241" s="2" t="str">
        <f t="shared" si="18"/>
        <v>Error?</v>
      </c>
    </row>
    <row r="1242" spans="1:4" x14ac:dyDescent="0.2">
      <c r="A1242" s="5">
        <v>1181</v>
      </c>
      <c r="B1242" s="138">
        <f>'Expenditures 15-22'!E151</f>
        <v>826229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434840</v>
      </c>
      <c r="D1245" s="2" t="str">
        <f t="shared" si="18"/>
        <v>Error?</v>
      </c>
    </row>
    <row r="1246" spans="1:4" x14ac:dyDescent="0.2">
      <c r="A1246" s="10">
        <v>1185</v>
      </c>
      <c r="D1246" s="2" t="str">
        <f t="shared" si="18"/>
        <v>OK</v>
      </c>
    </row>
    <row r="1247" spans="1:4" x14ac:dyDescent="0.2">
      <c r="A1247" s="5">
        <v>1186</v>
      </c>
      <c r="B1247" s="138">
        <f>'Expenditures 15-22'!F127</f>
        <v>434840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434840</v>
      </c>
      <c r="C1249" s="2" t="s">
        <v>594</v>
      </c>
      <c r="D1249" s="2" t="str">
        <f t="shared" si="18"/>
        <v>Error?</v>
      </c>
    </row>
    <row r="1250" spans="1:4" x14ac:dyDescent="0.2">
      <c r="A1250" s="5">
        <v>1189</v>
      </c>
      <c r="B1250" s="138">
        <f>'Expenditures 15-22'!F151</f>
        <v>434840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11861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11861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11861</v>
      </c>
      <c r="C1258" s="2" t="s">
        <v>594</v>
      </c>
      <c r="D1258" s="2" t="str">
        <f t="shared" si="18"/>
        <v>Error?</v>
      </c>
    </row>
    <row r="1259" spans="1:4" x14ac:dyDescent="0.2">
      <c r="A1259" s="5">
        <v>1198</v>
      </c>
      <c r="B1259" s="138">
        <f>'Expenditures 15-22'!G151</f>
        <v>11861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1578713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1578713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1578713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1578713</v>
      </c>
      <c r="C1288" s="2" t="s">
        <v>594</v>
      </c>
      <c r="D1288" s="2" t="str">
        <f t="shared" si="19"/>
        <v>Error?</v>
      </c>
    </row>
    <row r="1289" spans="1:4" x14ac:dyDescent="0.2">
      <c r="A1289" s="5">
        <v>1228</v>
      </c>
      <c r="B1289" s="138">
        <f>'Expenditures 15-22'!K152</f>
        <v>292330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2032874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936784</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2969658</v>
      </c>
      <c r="C1317" s="2" t="s">
        <v>594</v>
      </c>
      <c r="D1317" s="2" t="str">
        <f t="shared" si="19"/>
        <v>Error?</v>
      </c>
    </row>
    <row r="1318" spans="1:4" x14ac:dyDescent="0.2">
      <c r="A1318" s="5">
        <v>1257</v>
      </c>
      <c r="B1318" s="138">
        <f>'Expenditures 15-22'!H174</f>
        <v>2969658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2032874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936784</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2969658</v>
      </c>
      <c r="C1331" s="2" t="s">
        <v>594</v>
      </c>
      <c r="D1331" s="2" t="str">
        <f t="shared" si="19"/>
        <v>Error?</v>
      </c>
    </row>
    <row r="1332" spans="1:4" x14ac:dyDescent="0.2">
      <c r="A1332" s="5">
        <v>1271</v>
      </c>
      <c r="B1332" s="138">
        <f>'Expenditures 15-22'!K174</f>
        <v>2969658</v>
      </c>
      <c r="C1332" s="2" t="s">
        <v>594</v>
      </c>
      <c r="D1332" s="2" t="str">
        <f t="shared" si="19"/>
        <v>Error?</v>
      </c>
    </row>
    <row r="1333" spans="1:4" x14ac:dyDescent="0.2">
      <c r="A1333" s="5">
        <v>1272</v>
      </c>
      <c r="B1333" s="138">
        <f>'Expenditures 15-22'!K175</f>
        <v>-54546</v>
      </c>
      <c r="C1333" s="2" t="s">
        <v>594</v>
      </c>
      <c r="D1333" s="2" t="str">
        <f t="shared" si="19"/>
        <v>Error?</v>
      </c>
    </row>
    <row r="1334" spans="1:4" x14ac:dyDescent="0.2">
      <c r="A1334" s="10">
        <v>1273</v>
      </c>
      <c r="D1334" s="2" t="str">
        <f t="shared" si="19"/>
        <v>OK</v>
      </c>
    </row>
    <row r="1335" spans="1:4" x14ac:dyDescent="0.2">
      <c r="A1335" s="5">
        <v>1274</v>
      </c>
      <c r="B1335" s="138">
        <f>'Expenditures 15-22'!C182</f>
        <v>9059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9059</v>
      </c>
      <c r="C1339" s="2" t="s">
        <v>594</v>
      </c>
      <c r="D1339" s="2" t="str">
        <f t="shared" si="19"/>
        <v>Error?</v>
      </c>
    </row>
    <row r="1340" spans="1:4" x14ac:dyDescent="0.2">
      <c r="A1340" s="5">
        <v>1279</v>
      </c>
      <c r="B1340" s="138">
        <f>'Expenditures 15-22'!C210</f>
        <v>9059</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2025860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2025860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2025860</v>
      </c>
      <c r="C1353" s="2" t="s">
        <v>594</v>
      </c>
      <c r="D1353" s="2" t="str">
        <f t="shared" si="20"/>
        <v>Error?</v>
      </c>
    </row>
    <row r="1354" spans="1:4" x14ac:dyDescent="0.2">
      <c r="A1354" s="5">
        <v>1293</v>
      </c>
      <c r="B1354" s="138">
        <f>'Expenditures 15-22'!F182</f>
        <v>178689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178689</v>
      </c>
      <c r="C1358" s="2" t="s">
        <v>594</v>
      </c>
      <c r="D1358" s="2" t="str">
        <f t="shared" si="20"/>
        <v>Error?</v>
      </c>
    </row>
    <row r="1359" spans="1:4" x14ac:dyDescent="0.2">
      <c r="A1359" s="5">
        <v>1298</v>
      </c>
      <c r="B1359" s="138">
        <f>'Expenditures 15-22'!F210</f>
        <v>178689</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2213608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2213608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2213608</v>
      </c>
      <c r="C1388" s="2" t="s">
        <v>594</v>
      </c>
      <c r="D1388" s="2" t="str">
        <f t="shared" si="20"/>
        <v>Error?</v>
      </c>
    </row>
    <row r="1389" spans="1:4" x14ac:dyDescent="0.2">
      <c r="A1389" s="5">
        <v>1328</v>
      </c>
      <c r="B1389" s="138">
        <f>'Expenditures 15-22'!K211</f>
        <v>868692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681789</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681789</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681789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681789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681789</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681789</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681789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681789</v>
      </c>
      <c r="C1517" s="2" t="s">
        <v>594</v>
      </c>
      <c r="D1517" s="2" t="str">
        <f t="shared" si="22"/>
        <v>Error?</v>
      </c>
    </row>
    <row r="1518" spans="1:4" x14ac:dyDescent="0.2">
      <c r="A1518" s="5">
        <v>1457</v>
      </c>
      <c r="B1518" s="138">
        <f>'Expenditures 15-22'!K296</f>
        <v>142073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102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-951464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3531170</v>
      </c>
      <c r="C1630" s="2" t="s">
        <v>594</v>
      </c>
      <c r="D1630" s="2" t="str">
        <f t="shared" si="24"/>
        <v>Error?</v>
      </c>
    </row>
    <row r="1631" spans="1:4" x14ac:dyDescent="0.2">
      <c r="A1631" s="5">
        <v>1570</v>
      </c>
      <c r="B1631" s="138">
        <f>'Acct Summary 7-8'!D79</f>
        <v>2771419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3063749</v>
      </c>
      <c r="C1644" s="2" t="s">
        <v>594</v>
      </c>
      <c r="D1644" s="2" t="str">
        <f t="shared" si="24"/>
        <v>Error?</v>
      </c>
    </row>
    <row r="1645" spans="1:4" x14ac:dyDescent="0.2">
      <c r="A1645" s="5">
        <v>1584</v>
      </c>
      <c r="B1645" s="138">
        <f>'Acct Summary 7-8'!E79</f>
        <v>1886329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1896475</v>
      </c>
      <c r="C1658" s="2" t="s">
        <v>594</v>
      </c>
      <c r="D1658" s="2" t="str">
        <f t="shared" si="24"/>
        <v>Error?</v>
      </c>
    </row>
    <row r="1659" spans="1:4" x14ac:dyDescent="0.2">
      <c r="A1659" s="5">
        <v>1598</v>
      </c>
      <c r="B1659" s="138">
        <f>'Acct Summary 7-8'!F79</f>
        <v>3572715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4441407</v>
      </c>
      <c r="C1672" s="2" t="s">
        <v>594</v>
      </c>
      <c r="D1672" s="2" t="str">
        <f t="shared" si="25"/>
        <v>Error?</v>
      </c>
    </row>
    <row r="1673" spans="1:4" x14ac:dyDescent="0.2">
      <c r="A1673" s="5">
        <v>1612</v>
      </c>
      <c r="B1673" s="138">
        <f>'Acct Summary 7-8'!G79</f>
        <v>346778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488851</v>
      </c>
      <c r="C1686" s="2" t="s">
        <v>594</v>
      </c>
      <c r="D1686" s="2" t="str">
        <f t="shared" si="25"/>
        <v>Error?</v>
      </c>
    </row>
    <row r="1687" spans="1:4" x14ac:dyDescent="0.2">
      <c r="A1687" s="5">
        <v>1626</v>
      </c>
      <c r="B1687" s="138">
        <f>'Acct Summary 7-8'!H79</f>
        <v>80953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81055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11350514</v>
      </c>
      <c r="C1744" s="2" t="s">
        <v>594</v>
      </c>
      <c r="D1744" s="2" t="str">
        <f t="shared" si="26"/>
        <v>Error?</v>
      </c>
    </row>
    <row r="1745" spans="1:5" x14ac:dyDescent="0.2">
      <c r="A1745" s="5">
        <v>1684</v>
      </c>
      <c r="B1745" s="138">
        <f>'Tax Sched 23'!B5</f>
        <v>1661738</v>
      </c>
      <c r="C1745" s="2" t="s">
        <v>594</v>
      </c>
      <c r="D1745" s="2" t="str">
        <f t="shared" si="26"/>
        <v>Error?</v>
      </c>
    </row>
    <row r="1746" spans="1:5" x14ac:dyDescent="0.2">
      <c r="A1746" s="5">
        <v>1685</v>
      </c>
      <c r="B1746" s="138">
        <f>'Tax Sched 23'!B6</f>
        <v>2913345</v>
      </c>
      <c r="C1746" s="2" t="s">
        <v>594</v>
      </c>
      <c r="D1746" s="2" t="str">
        <f t="shared" si="26"/>
        <v>Error?</v>
      </c>
    </row>
    <row r="1747" spans="1:5" x14ac:dyDescent="0.2">
      <c r="A1747" s="5">
        <v>1686</v>
      </c>
      <c r="B1747" s="138">
        <f>'Tax Sched 23'!B7</f>
        <v>1435287</v>
      </c>
      <c r="C1747" s="2" t="s">
        <v>594</v>
      </c>
      <c r="D1747" s="2" t="str">
        <f t="shared" si="26"/>
        <v>Error?</v>
      </c>
    </row>
    <row r="1748" spans="1:5" x14ac:dyDescent="0.2">
      <c r="A1748" s="5">
        <v>1687</v>
      </c>
      <c r="B1748" s="138">
        <f>'Tax Sched 23'!B8</f>
        <v>24074</v>
      </c>
      <c r="C1748" s="2" t="s">
        <v>594</v>
      </c>
      <c r="D1748" s="2" t="str">
        <f t="shared" si="26"/>
        <v>Error?</v>
      </c>
    </row>
    <row r="1749" spans="1:5" x14ac:dyDescent="0.2">
      <c r="A1749" s="5">
        <v>1688</v>
      </c>
      <c r="B1749" s="138">
        <f>'Tax Sched 23'!B10</f>
        <v>33236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289213</v>
      </c>
      <c r="C1752" s="2" t="s">
        <v>594</v>
      </c>
      <c r="D1752" s="2" t="str">
        <f t="shared" si="26"/>
        <v>Error?</v>
      </c>
    </row>
    <row r="1753" spans="1:5" x14ac:dyDescent="0.2">
      <c r="A1753" s="5">
        <v>1692</v>
      </c>
      <c r="B1753" s="138">
        <f>'Tax Sched 23'!B12</f>
        <v>33035</v>
      </c>
      <c r="C1753" s="2" t="s">
        <v>594</v>
      </c>
      <c r="D1753" s="2" t="str">
        <f t="shared" si="26"/>
        <v>Error?</v>
      </c>
    </row>
    <row r="1754" spans="1:5" x14ac:dyDescent="0.2">
      <c r="A1754" s="5">
        <v>1693</v>
      </c>
      <c r="B1754" s="138">
        <f>'Tax Sched 23'!B14</f>
        <v>1225286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19764133</v>
      </c>
      <c r="C1759" s="2" t="s">
        <v>594</v>
      </c>
      <c r="D1759" s="2" t="str">
        <f t="shared" si="26"/>
        <v>Error?</v>
      </c>
    </row>
    <row r="1760" spans="1:5" x14ac:dyDescent="0.2">
      <c r="A1760" s="5">
        <v>1699</v>
      </c>
      <c r="B1760" s="138">
        <f>'Tax Sched 23'!D4</f>
        <v>5317414</v>
      </c>
      <c r="C1760" s="2" t="s">
        <v>594</v>
      </c>
      <c r="D1760" s="2" t="str">
        <f t="shared" si="26"/>
        <v>Error?</v>
      </c>
    </row>
    <row r="1761" spans="1:5" x14ac:dyDescent="0.2">
      <c r="A1761" s="5">
        <v>1700</v>
      </c>
      <c r="B1761" s="138">
        <f>'Tax Sched 23'!D5</f>
        <v>802474</v>
      </c>
      <c r="C1761" s="2" t="s">
        <v>594</v>
      </c>
      <c r="D1761" s="2" t="str">
        <f t="shared" si="26"/>
        <v>Error?</v>
      </c>
    </row>
    <row r="1762" spans="1:5" s="8" customFormat="1" x14ac:dyDescent="0.2">
      <c r="A1762" s="5">
        <v>1701</v>
      </c>
      <c r="B1762" s="138">
        <f>'Tax Sched 23'!D6</f>
        <v>1354717</v>
      </c>
      <c r="C1762" s="2" t="s">
        <v>594</v>
      </c>
      <c r="D1762" s="2" t="str">
        <f t="shared" si="26"/>
        <v>Error?</v>
      </c>
      <c r="E1762" s="9"/>
    </row>
    <row r="1763" spans="1:5" x14ac:dyDescent="0.2">
      <c r="A1763" s="5">
        <v>1702</v>
      </c>
      <c r="B1763" s="138">
        <f>'Tax Sched 23'!D7</f>
        <v>817858</v>
      </c>
      <c r="C1763" s="2" t="s">
        <v>594</v>
      </c>
      <c r="D1763" s="2" t="str">
        <f t="shared" si="26"/>
        <v>Error?</v>
      </c>
    </row>
    <row r="1764" spans="1:5" x14ac:dyDescent="0.2">
      <c r="A1764" s="5">
        <v>1703</v>
      </c>
      <c r="B1764" s="138">
        <f>'Tax Sched 23'!D8</f>
        <v>17755</v>
      </c>
      <c r="C1764" s="2" t="s">
        <v>594</v>
      </c>
      <c r="D1764" s="2" t="str">
        <f t="shared" si="26"/>
        <v>Error?</v>
      </c>
    </row>
    <row r="1765" spans="1:5" x14ac:dyDescent="0.2">
      <c r="A1765" s="5">
        <v>1704</v>
      </c>
      <c r="B1765" s="138">
        <f>'Tax Sched 23'!D10</f>
        <v>16050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137830</v>
      </c>
      <c r="C1768" s="2" t="s">
        <v>594</v>
      </c>
      <c r="D1768" s="2" t="str">
        <f t="shared" si="26"/>
        <v>Error?</v>
      </c>
    </row>
    <row r="1769" spans="1:5" x14ac:dyDescent="0.2">
      <c r="A1769" s="5">
        <v>1708</v>
      </c>
      <c r="B1769" s="138">
        <f>'Tax Sched 23'!D12</f>
        <v>16050</v>
      </c>
      <c r="C1769" s="2" t="s">
        <v>594</v>
      </c>
      <c r="D1769" s="2" t="str">
        <f t="shared" si="26"/>
        <v>Error?</v>
      </c>
    </row>
    <row r="1770" spans="1:5" x14ac:dyDescent="0.2">
      <c r="A1770" s="5">
        <v>1709</v>
      </c>
      <c r="B1770" s="138">
        <f>'Tax Sched 23'!D14</f>
        <v>576118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9439338</v>
      </c>
      <c r="C1775" s="2" t="s">
        <v>594</v>
      </c>
      <c r="D1775" s="2" t="str">
        <f t="shared" si="26"/>
        <v>Error?</v>
      </c>
    </row>
    <row r="1776" spans="1:5" x14ac:dyDescent="0.2">
      <c r="A1776" s="5">
        <v>1715</v>
      </c>
      <c r="B1776" s="138">
        <f>'Tax Sched 23'!C4</f>
        <v>6033100</v>
      </c>
      <c r="D1776" s="2" t="str">
        <f t="shared" si="26"/>
        <v>Error?</v>
      </c>
    </row>
    <row r="1777" spans="1:4" x14ac:dyDescent="0.2">
      <c r="A1777" s="5">
        <v>1716</v>
      </c>
      <c r="B1777" s="138">
        <f>'Tax Sched 23'!C5</f>
        <v>859264</v>
      </c>
      <c r="D1777" s="2" t="str">
        <f t="shared" si="26"/>
        <v>Error?</v>
      </c>
    </row>
    <row r="1778" spans="1:4" x14ac:dyDescent="0.2">
      <c r="A1778" s="5">
        <v>1717</v>
      </c>
      <c r="B1778" s="138">
        <f>'Tax Sched 23'!C6</f>
        <v>1558628</v>
      </c>
      <c r="D1778" s="2" t="str">
        <f t="shared" si="26"/>
        <v>Error?</v>
      </c>
    </row>
    <row r="1779" spans="1:4" x14ac:dyDescent="0.2">
      <c r="A1779" s="5">
        <v>1718</v>
      </c>
      <c r="B1779" s="138">
        <f>'Tax Sched 23'!C7</f>
        <v>617429</v>
      </c>
      <c r="D1779" s="2" t="str">
        <f t="shared" si="26"/>
        <v>Error?</v>
      </c>
    </row>
    <row r="1780" spans="1:4" x14ac:dyDescent="0.2">
      <c r="A1780" s="5">
        <v>1719</v>
      </c>
      <c r="B1780" s="138">
        <f>'Tax Sched 23'!C8</f>
        <v>6319</v>
      </c>
      <c r="D1780" s="2" t="str">
        <f t="shared" si="26"/>
        <v>Error?</v>
      </c>
    </row>
    <row r="1781" spans="1:4" x14ac:dyDescent="0.2">
      <c r="A1781" s="5">
        <v>1720</v>
      </c>
      <c r="B1781" s="138">
        <f>'Tax Sched 23'!C10</f>
        <v>17186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151383</v>
      </c>
      <c r="D1784" s="2" t="str">
        <f t="shared" si="26"/>
        <v>Error?</v>
      </c>
    </row>
    <row r="1785" spans="1:4" x14ac:dyDescent="0.2">
      <c r="A1785" s="5">
        <v>1724</v>
      </c>
      <c r="B1785" s="138">
        <f>'Tax Sched 23'!C12</f>
        <v>16985</v>
      </c>
      <c r="D1785" s="2" t="str">
        <f t="shared" si="26"/>
        <v>Error?</v>
      </c>
    </row>
    <row r="1786" spans="1:4" x14ac:dyDescent="0.2">
      <c r="A1786" s="5">
        <v>1725</v>
      </c>
      <c r="B1786" s="138">
        <f>'Tax Sched 23'!C14</f>
        <v>649168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10324795</v>
      </c>
      <c r="C1791" s="2" t="s">
        <v>594</v>
      </c>
      <c r="D1791" s="2" t="str">
        <f t="shared" ref="D1791:D1854" si="27">IF(ISBLANK(B1791),"OK",IF(A1791-B1791=0,"OK","Error?"))</f>
        <v>Error?</v>
      </c>
    </row>
    <row r="1792" spans="1:4" x14ac:dyDescent="0.2">
      <c r="A1792" s="5">
        <v>1731</v>
      </c>
      <c r="B1792" s="138">
        <f>'Tax Sched 23'!F4</f>
        <v>5583902</v>
      </c>
      <c r="C1792" s="2" t="s">
        <v>594</v>
      </c>
      <c r="D1792" s="2" t="str">
        <f t="shared" si="27"/>
        <v>Error?</v>
      </c>
    </row>
    <row r="1793" spans="1:4" x14ac:dyDescent="0.2">
      <c r="A1793" s="5">
        <v>1732</v>
      </c>
      <c r="B1793" s="138">
        <f>'Tax Sched 23'!F5</f>
        <v>795287</v>
      </c>
      <c r="C1793" s="2" t="s">
        <v>594</v>
      </c>
      <c r="D1793" s="2" t="str">
        <f t="shared" si="27"/>
        <v>Error?</v>
      </c>
    </row>
    <row r="1794" spans="1:4" x14ac:dyDescent="0.2">
      <c r="A1794" s="5">
        <v>1733</v>
      </c>
      <c r="B1794" s="138">
        <f>'Tax Sched 23'!F6</f>
        <v>1442579</v>
      </c>
      <c r="C1794" s="2" t="s">
        <v>594</v>
      </c>
      <c r="D1794" s="2" t="str">
        <f t="shared" si="27"/>
        <v>Error?</v>
      </c>
    </row>
    <row r="1795" spans="1:4" x14ac:dyDescent="0.2">
      <c r="A1795" s="5">
        <v>1734</v>
      </c>
      <c r="B1795" s="138">
        <f>'Tax Sched 23'!F7</f>
        <v>571458</v>
      </c>
      <c r="C1795" s="2" t="s">
        <v>594</v>
      </c>
      <c r="D1795" s="2" t="str">
        <f t="shared" si="27"/>
        <v>Error?</v>
      </c>
    </row>
    <row r="1796" spans="1:4" x14ac:dyDescent="0.2">
      <c r="A1796" s="5">
        <v>1735</v>
      </c>
      <c r="B1796" s="138">
        <f>'Tax Sched 23'!F8</f>
        <v>5848</v>
      </c>
      <c r="C1796" s="2" t="s">
        <v>594</v>
      </c>
      <c r="D1796" s="2" t="str">
        <f t="shared" si="27"/>
        <v>Error?</v>
      </c>
    </row>
    <row r="1797" spans="1:4" x14ac:dyDescent="0.2">
      <c r="A1797" s="5">
        <v>1736</v>
      </c>
      <c r="B1797" s="138">
        <f>'Tax Sched 23'!F10</f>
        <v>15907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140112</v>
      </c>
      <c r="C1800" s="2" t="s">
        <v>594</v>
      </c>
      <c r="D1800" s="2" t="str">
        <f t="shared" si="27"/>
        <v>Error?</v>
      </c>
    </row>
    <row r="1801" spans="1:4" x14ac:dyDescent="0.2">
      <c r="A1801" s="5">
        <v>1740</v>
      </c>
      <c r="B1801" s="138">
        <f>'Tax Sched 23'!F12</f>
        <v>15719</v>
      </c>
      <c r="C1801" s="2" t="s">
        <v>594</v>
      </c>
      <c r="D1801" s="2" t="str">
        <f t="shared" si="27"/>
        <v>Error?</v>
      </c>
    </row>
    <row r="1802" spans="1:4" x14ac:dyDescent="0.2">
      <c r="A1802" s="5">
        <v>1741</v>
      </c>
      <c r="B1802" s="138">
        <f>'Tax Sched 23'!F14</f>
        <v>600833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9556052</v>
      </c>
      <c r="C1807" s="2" t="s">
        <v>594</v>
      </c>
      <c r="D1807" s="2" t="str">
        <f t="shared" si="27"/>
        <v>Error?</v>
      </c>
    </row>
    <row r="1808" spans="1:4" x14ac:dyDescent="0.2">
      <c r="A1808" s="5">
        <v>1747</v>
      </c>
      <c r="B1808" s="138">
        <f>'Tax Sched 23'!E4</f>
        <v>11617002</v>
      </c>
      <c r="D1808" s="2" t="str">
        <f t="shared" si="27"/>
        <v>Error?</v>
      </c>
    </row>
    <row r="1809" spans="1:4" x14ac:dyDescent="0.2">
      <c r="A1809" s="5">
        <v>1748</v>
      </c>
      <c r="B1809" s="138">
        <f>'Tax Sched 23'!E5</f>
        <v>1654551</v>
      </c>
      <c r="D1809" s="2" t="str">
        <f t="shared" si="27"/>
        <v>Error?</v>
      </c>
    </row>
    <row r="1810" spans="1:4" x14ac:dyDescent="0.2">
      <c r="A1810" s="5">
        <v>1749</v>
      </c>
      <c r="B1810" s="138">
        <f>'Tax Sched 23'!E6</f>
        <v>3001207</v>
      </c>
      <c r="D1810" s="2" t="str">
        <f t="shared" si="27"/>
        <v>Error?</v>
      </c>
    </row>
    <row r="1811" spans="1:4" x14ac:dyDescent="0.2">
      <c r="A1811" s="5">
        <v>1750</v>
      </c>
      <c r="B1811" s="138">
        <f>'Tax Sched 23'!E7</f>
        <v>1188887</v>
      </c>
      <c r="D1811" s="2" t="str">
        <f t="shared" si="27"/>
        <v>Error?</v>
      </c>
    </row>
    <row r="1812" spans="1:4" x14ac:dyDescent="0.2">
      <c r="A1812" s="5">
        <v>1751</v>
      </c>
      <c r="B1812" s="138">
        <f>'Tax Sched 23'!E8</f>
        <v>12167</v>
      </c>
      <c r="D1812" s="2" t="str">
        <f t="shared" si="27"/>
        <v>Error?</v>
      </c>
    </row>
    <row r="1813" spans="1:4" x14ac:dyDescent="0.2">
      <c r="A1813" s="5">
        <v>1752</v>
      </c>
      <c r="B1813" s="138">
        <f>'Tax Sched 23'!E10</f>
        <v>33093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291495</v>
      </c>
      <c r="D1816" s="2" t="str">
        <f t="shared" si="27"/>
        <v>Error?</v>
      </c>
    </row>
    <row r="1817" spans="1:4" x14ac:dyDescent="0.2">
      <c r="A1817" s="5">
        <v>1756</v>
      </c>
      <c r="B1817" s="138">
        <f>'Tax Sched 23'!E12</f>
        <v>32704</v>
      </c>
      <c r="D1817" s="2" t="str">
        <f t="shared" si="27"/>
        <v>Error?</v>
      </c>
    </row>
    <row r="1818" spans="1:4" x14ac:dyDescent="0.2">
      <c r="A1818" s="5">
        <v>1757</v>
      </c>
      <c r="B1818" s="138">
        <f>'Tax Sched 23'!E14</f>
        <v>1250001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19880847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3373027</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1225286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1225286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1225286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967984</v>
      </c>
      <c r="D2008" s="2" t="str">
        <f t="shared" si="30"/>
        <v>Error?</v>
      </c>
    </row>
    <row r="2009" spans="1:4" x14ac:dyDescent="0.2">
      <c r="A2009" s="5">
        <v>1948</v>
      </c>
      <c r="B2009" s="138">
        <f>'Cap Outlay Deprec 26'!C8</f>
        <v>52142204</v>
      </c>
      <c r="D2009" s="2" t="str">
        <f t="shared" si="30"/>
        <v>Error?</v>
      </c>
    </row>
    <row r="2010" spans="1:4" x14ac:dyDescent="0.2">
      <c r="A2010" s="5">
        <v>1949</v>
      </c>
      <c r="B2010" s="138">
        <f>'Cap Outlay Deprec 26'!C10</f>
        <v>590394</v>
      </c>
      <c r="D2010" s="2" t="str">
        <f t="shared" si="30"/>
        <v>Error?</v>
      </c>
    </row>
    <row r="2011" spans="1:4" x14ac:dyDescent="0.2">
      <c r="A2011" s="5">
        <v>1950</v>
      </c>
      <c r="B2011" s="138">
        <f>'Cap Outlay Deprec 26'!C12</f>
        <v>2191103</v>
      </c>
      <c r="D2011" s="2" t="str">
        <f t="shared" si="30"/>
        <v>Error?</v>
      </c>
    </row>
    <row r="2012" spans="1:4" x14ac:dyDescent="0.2">
      <c r="A2012" s="5">
        <v>1951</v>
      </c>
      <c r="B2012" s="138">
        <f>'Cap Outlay Deprec 26'!C13</f>
        <v>50079</v>
      </c>
      <c r="D2012" s="2" t="str">
        <f t="shared" si="30"/>
        <v>Error?</v>
      </c>
    </row>
    <row r="2013" spans="1:4" x14ac:dyDescent="0.2">
      <c r="A2013" s="5">
        <v>1952</v>
      </c>
      <c r="B2013" s="138">
        <f>'Cap Outlay Deprec 26'!C16</f>
        <v>55941764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11861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75324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87185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967984</v>
      </c>
      <c r="C2026" s="2" t="s">
        <v>594</v>
      </c>
      <c r="D2026" s="2" t="str">
        <f t="shared" si="30"/>
        <v>Error?</v>
      </c>
    </row>
    <row r="2027" spans="1:4" x14ac:dyDescent="0.2">
      <c r="A2027" s="5">
        <v>1966</v>
      </c>
      <c r="B2027" s="138">
        <f>'Cap Outlay Deprec 26'!F8</f>
        <v>52154065</v>
      </c>
      <c r="C2027" s="2" t="s">
        <v>594</v>
      </c>
      <c r="D2027" s="2" t="str">
        <f t="shared" si="30"/>
        <v>Error?</v>
      </c>
    </row>
    <row r="2028" spans="1:4" x14ac:dyDescent="0.2">
      <c r="A2028" s="5">
        <v>1967</v>
      </c>
      <c r="B2028" s="138">
        <f>'Cap Outlay Deprec 26'!F10</f>
        <v>590394</v>
      </c>
      <c r="C2028" s="2" t="s">
        <v>594</v>
      </c>
      <c r="D2028" s="2" t="str">
        <f t="shared" si="30"/>
        <v>Error?</v>
      </c>
    </row>
    <row r="2029" spans="1:4" x14ac:dyDescent="0.2">
      <c r="A2029" s="5">
        <v>1968</v>
      </c>
      <c r="B2029" s="138">
        <f>'Cap Outlay Deprec 26'!F12</f>
        <v>2266427</v>
      </c>
      <c r="C2029" s="2" t="s">
        <v>594</v>
      </c>
      <c r="D2029" s="2" t="str">
        <f t="shared" si="30"/>
        <v>Error?</v>
      </c>
    </row>
    <row r="2030" spans="1:4" x14ac:dyDescent="0.2">
      <c r="A2030" s="5">
        <v>1969</v>
      </c>
      <c r="B2030" s="138">
        <f>'Cap Outlay Deprec 26'!F13</f>
        <v>50079</v>
      </c>
      <c r="C2030" s="2" t="s">
        <v>594</v>
      </c>
      <c r="D2030" s="2" t="str">
        <f t="shared" si="30"/>
        <v>Error?</v>
      </c>
    </row>
    <row r="2031" spans="1:4" x14ac:dyDescent="0.2">
      <c r="A2031" s="5">
        <v>1970</v>
      </c>
      <c r="B2031" s="138">
        <f>'Cap Outlay Deprec 26'!F16</f>
        <v>56028949</v>
      </c>
      <c r="C2031" s="2" t="s">
        <v>594</v>
      </c>
      <c r="D2031" s="2" t="str">
        <f t="shared" si="30"/>
        <v>Error?</v>
      </c>
    </row>
    <row r="2032" spans="1:4" x14ac:dyDescent="0.2">
      <c r="A2032" s="10">
        <v>1971</v>
      </c>
      <c r="D2032" s="2" t="str">
        <f t="shared" si="30"/>
        <v>OK</v>
      </c>
    </row>
    <row r="2033" spans="1:4" x14ac:dyDescent="0.2">
      <c r="A2033" s="5">
        <v>1972</v>
      </c>
      <c r="B2033" s="138">
        <f>'Cap Outlay Deprec 26'!H8</f>
        <v>28842812</v>
      </c>
      <c r="D2033" s="2" t="str">
        <f t="shared" si="30"/>
        <v>Error?</v>
      </c>
    </row>
    <row r="2034" spans="1:4" x14ac:dyDescent="0.2">
      <c r="A2034" s="5">
        <v>1973</v>
      </c>
      <c r="B2034" s="138">
        <f>'Cap Outlay Deprec 26'!H10</f>
        <v>223409</v>
      </c>
      <c r="D2034" s="2" t="str">
        <f t="shared" si="30"/>
        <v>Error?</v>
      </c>
    </row>
    <row r="2035" spans="1:4" x14ac:dyDescent="0.2">
      <c r="A2035" s="5">
        <v>1974</v>
      </c>
      <c r="B2035" s="138">
        <f>'Cap Outlay Deprec 26'!H12</f>
        <v>1686156</v>
      </c>
      <c r="D2035" s="2" t="str">
        <f t="shared" si="30"/>
        <v>Error?</v>
      </c>
    </row>
    <row r="2036" spans="1:4" x14ac:dyDescent="0.2">
      <c r="A2036" s="5">
        <v>1975</v>
      </c>
      <c r="B2036" s="138">
        <f>'Cap Outlay Deprec 26'!H13</f>
        <v>50079</v>
      </c>
      <c r="D2036" s="2" t="str">
        <f t="shared" si="30"/>
        <v>Error?</v>
      </c>
    </row>
    <row r="2037" spans="1:4" x14ac:dyDescent="0.2">
      <c r="A2037" s="5">
        <v>1976</v>
      </c>
      <c r="B2037" s="138">
        <f>'Cap Outlay Deprec 26'!H16</f>
        <v>30802456</v>
      </c>
      <c r="C2037" s="2" t="s">
        <v>594</v>
      </c>
      <c r="D2037" s="2" t="str">
        <f t="shared" si="30"/>
        <v>Error?</v>
      </c>
    </row>
    <row r="2038" spans="1:4" x14ac:dyDescent="0.2">
      <c r="A2038" s="10">
        <v>1977</v>
      </c>
      <c r="D2038" s="2" t="str">
        <f t="shared" si="30"/>
        <v>OK</v>
      </c>
    </row>
    <row r="2039" spans="1:4" x14ac:dyDescent="0.2">
      <c r="A2039" s="5">
        <v>1978</v>
      </c>
      <c r="B2039" s="138">
        <f>'Cap Outlay Deprec 26'!I8</f>
        <v>766113</v>
      </c>
      <c r="D2039" s="2" t="str">
        <f t="shared" si="30"/>
        <v>Error?</v>
      </c>
    </row>
    <row r="2040" spans="1:4" x14ac:dyDescent="0.2">
      <c r="A2040" s="5">
        <v>1979</v>
      </c>
      <c r="B2040" s="138">
        <f>'Cap Outlay Deprec 26'!I10</f>
        <v>19052</v>
      </c>
      <c r="D2040" s="2" t="str">
        <f t="shared" si="30"/>
        <v>Error?</v>
      </c>
    </row>
    <row r="2041" spans="1:4" x14ac:dyDescent="0.2">
      <c r="A2041" s="5">
        <v>1980</v>
      </c>
      <c r="B2041" s="138">
        <f>'Cap Outlay Deprec 26'!I12</f>
        <v>140084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925249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29608925</v>
      </c>
      <c r="C2051" s="2" t="s">
        <v>594</v>
      </c>
      <c r="D2051" s="2" t="str">
        <f t="shared" si="31"/>
        <v>Error?</v>
      </c>
    </row>
    <row r="2052" spans="1:4" x14ac:dyDescent="0.2">
      <c r="A2052" s="5">
        <v>1991</v>
      </c>
      <c r="B2052" s="138">
        <f>'Cap Outlay Deprec 26'!K10</f>
        <v>242461</v>
      </c>
      <c r="C2052" s="2" t="s">
        <v>594</v>
      </c>
      <c r="D2052" s="2" t="str">
        <f t="shared" si="31"/>
        <v>Error?</v>
      </c>
    </row>
    <row r="2053" spans="1:4" x14ac:dyDescent="0.2">
      <c r="A2053" s="5">
        <v>1992</v>
      </c>
      <c r="B2053" s="138">
        <f>'Cap Outlay Deprec 26'!K12</f>
        <v>1826240</v>
      </c>
      <c r="C2053" s="2" t="s">
        <v>594</v>
      </c>
      <c r="D2053" s="2" t="str">
        <f t="shared" si="31"/>
        <v>Error?</v>
      </c>
    </row>
    <row r="2054" spans="1:4" x14ac:dyDescent="0.2">
      <c r="A2054" s="5">
        <v>1993</v>
      </c>
      <c r="B2054" s="138">
        <f>'Cap Outlay Deprec 26'!K13</f>
        <v>50079</v>
      </c>
      <c r="C2054" s="2" t="s">
        <v>594</v>
      </c>
      <c r="D2054" s="2" t="str">
        <f t="shared" si="31"/>
        <v>Error?</v>
      </c>
    </row>
    <row r="2055" spans="1:4" x14ac:dyDescent="0.2">
      <c r="A2055" s="5">
        <v>1994</v>
      </c>
      <c r="B2055" s="138">
        <f>'Cap Outlay Deprec 26'!K16</f>
        <v>31727705</v>
      </c>
      <c r="C2055" s="2" t="s">
        <v>594</v>
      </c>
      <c r="D2055" s="2" t="str">
        <f t="shared" si="31"/>
        <v>Error?</v>
      </c>
    </row>
    <row r="2056" spans="1:4" x14ac:dyDescent="0.2">
      <c r="A2056" s="5">
        <v>1995</v>
      </c>
      <c r="B2056" s="138">
        <f>'Cap Outlay Deprec 26'!L5</f>
        <v>967984</v>
      </c>
      <c r="C2056" s="2" t="s">
        <v>594</v>
      </c>
      <c r="D2056" s="2" t="str">
        <f t="shared" si="31"/>
        <v>Error?</v>
      </c>
    </row>
    <row r="2057" spans="1:4" x14ac:dyDescent="0.2">
      <c r="A2057" s="5">
        <v>1996</v>
      </c>
      <c r="B2057" s="138">
        <f>'Cap Outlay Deprec 26'!L8</f>
        <v>22545140</v>
      </c>
      <c r="C2057" s="2" t="s">
        <v>594</v>
      </c>
      <c r="D2057" s="2" t="str">
        <f t="shared" si="31"/>
        <v>Error?</v>
      </c>
    </row>
    <row r="2058" spans="1:4" x14ac:dyDescent="0.2">
      <c r="A2058" s="5">
        <v>1997</v>
      </c>
      <c r="B2058" s="138">
        <f>'Cap Outlay Deprec 26'!L10</f>
        <v>347933</v>
      </c>
      <c r="C2058" s="2" t="s">
        <v>594</v>
      </c>
      <c r="D2058" s="2" t="str">
        <f t="shared" si="31"/>
        <v>Error?</v>
      </c>
    </row>
    <row r="2059" spans="1:4" x14ac:dyDescent="0.2">
      <c r="A2059" s="5">
        <v>1998</v>
      </c>
      <c r="B2059" s="138">
        <f>'Cap Outlay Deprec 26'!L12</f>
        <v>440187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24301244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1418382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1418382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12902092</v>
      </c>
      <c r="C2551" s="2" t="s">
        <v>594</v>
      </c>
      <c r="D2551" s="2" t="str">
        <f t="shared" si="38"/>
        <v>Error?</v>
      </c>
    </row>
    <row r="2552" spans="1:4" x14ac:dyDescent="0.2">
      <c r="A2552" s="10">
        <v>2491</v>
      </c>
      <c r="D2552" s="2" t="str">
        <f t="shared" si="38"/>
        <v>OK</v>
      </c>
    </row>
    <row r="2553" spans="1:4" x14ac:dyDescent="0.2">
      <c r="A2553" s="5">
        <v>2492</v>
      </c>
      <c r="B2553" s="138">
        <f>'Acct Summary 7-8'!C6</f>
        <v>10573442</v>
      </c>
      <c r="C2553" s="2" t="s">
        <v>594</v>
      </c>
      <c r="D2553" s="2" t="str">
        <f t="shared" si="38"/>
        <v>Error?</v>
      </c>
    </row>
    <row r="2554" spans="1:4" x14ac:dyDescent="0.2">
      <c r="A2554" s="5">
        <v>2493</v>
      </c>
      <c r="B2554" s="138">
        <f>'Acct Summary 7-8'!C7</f>
        <v>2767831</v>
      </c>
      <c r="C2554" s="2" t="s">
        <v>594</v>
      </c>
      <c r="D2554" s="2" t="str">
        <f t="shared" si="38"/>
        <v>Error?</v>
      </c>
    </row>
    <row r="2555" spans="1:4" x14ac:dyDescent="0.2">
      <c r="A2555" s="5">
        <v>2494</v>
      </c>
      <c r="B2555" s="138">
        <f>'Acct Summary 7-8'!C8</f>
        <v>26243365</v>
      </c>
      <c r="C2555" s="2" t="s">
        <v>594</v>
      </c>
      <c r="D2555" s="2" t="str">
        <f t="shared" si="38"/>
        <v>Error?</v>
      </c>
    </row>
    <row r="2556" spans="1:4" x14ac:dyDescent="0.2">
      <c r="A2556" s="5">
        <v>2495</v>
      </c>
      <c r="B2556" s="138">
        <f>'Acct Summary 7-8'!C12</f>
        <v>15018384</v>
      </c>
      <c r="C2556" s="2" t="s">
        <v>594</v>
      </c>
      <c r="D2556" s="2" t="str">
        <f t="shared" si="38"/>
        <v>Error?</v>
      </c>
    </row>
    <row r="2557" spans="1:4" x14ac:dyDescent="0.2">
      <c r="A2557" s="5">
        <v>2496</v>
      </c>
      <c r="B2557" s="138">
        <f>'Acct Summary 7-8'!C13</f>
        <v>5242258</v>
      </c>
      <c r="C2557" s="2" t="s">
        <v>594</v>
      </c>
      <c r="D2557" s="2" t="str">
        <f t="shared" si="38"/>
        <v>Error?</v>
      </c>
    </row>
    <row r="2558" spans="1:4" x14ac:dyDescent="0.2">
      <c r="A2558" s="5">
        <v>2497</v>
      </c>
      <c r="B2558" s="138">
        <f>'Acct Summary 7-8'!C14</f>
        <v>17015</v>
      </c>
      <c r="C2558" s="2" t="s">
        <v>594</v>
      </c>
      <c r="D2558" s="2" t="str">
        <f t="shared" si="38"/>
        <v>Error?</v>
      </c>
    </row>
    <row r="2559" spans="1:4" x14ac:dyDescent="0.2">
      <c r="A2559" s="5">
        <v>2498</v>
      </c>
      <c r="B2559" s="138">
        <f>'Acct Summary 7-8'!C15</f>
        <v>1418382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21696039</v>
      </c>
      <c r="C2561" s="2" t="s">
        <v>594</v>
      </c>
      <c r="D2561" s="2" t="str">
        <f t="shared" si="39"/>
        <v>Error?</v>
      </c>
    </row>
    <row r="2562" spans="1:4" x14ac:dyDescent="0.2">
      <c r="A2562" s="5">
        <v>2501</v>
      </c>
      <c r="B2562" s="138">
        <f>'Acct Summary 7-8'!C20</f>
        <v>4547326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1871043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1871043</v>
      </c>
      <c r="C2568" s="2" t="s">
        <v>594</v>
      </c>
      <c r="D2568" s="2" t="str">
        <f t="shared" si="39"/>
        <v>Error?</v>
      </c>
    </row>
    <row r="2569" spans="1:4" x14ac:dyDescent="0.2">
      <c r="A2569" s="5">
        <v>2508</v>
      </c>
      <c r="B2569" s="138">
        <f>'Acct Summary 7-8'!D13</f>
        <v>1578713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1578713</v>
      </c>
      <c r="C2573" s="2" t="s">
        <v>594</v>
      </c>
      <c r="D2573" s="2" t="str">
        <f t="shared" si="39"/>
        <v>Error?</v>
      </c>
    </row>
    <row r="2574" spans="1:4" x14ac:dyDescent="0.2">
      <c r="A2574" s="5">
        <v>2513</v>
      </c>
      <c r="B2574" s="138">
        <f>'Acct Summary 7-8'!D20</f>
        <v>292330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1440318</v>
      </c>
      <c r="C2591" s="2" t="s">
        <v>594</v>
      </c>
      <c r="D2591" s="2" t="str">
        <f t="shared" si="39"/>
        <v>Error?</v>
      </c>
    </row>
    <row r="2592" spans="1:4" x14ac:dyDescent="0.2">
      <c r="A2592" s="10">
        <v>2531</v>
      </c>
      <c r="D2592" s="2" t="str">
        <f t="shared" si="39"/>
        <v>OK</v>
      </c>
    </row>
    <row r="2593" spans="1:4" x14ac:dyDescent="0.2">
      <c r="A2593" s="5">
        <v>2532</v>
      </c>
      <c r="B2593" s="138">
        <f>'Acct Summary 7-8'!F6</f>
        <v>1641982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3082300</v>
      </c>
      <c r="C2595" s="2" t="s">
        <v>594</v>
      </c>
      <c r="D2595" s="2" t="str">
        <f t="shared" si="39"/>
        <v>Error?</v>
      </c>
    </row>
    <row r="2596" spans="1:4" x14ac:dyDescent="0.2">
      <c r="A2596" s="5">
        <v>2535</v>
      </c>
      <c r="B2596" s="138">
        <f>'Acct Summary 7-8'!F13</f>
        <v>2213608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2213608</v>
      </c>
      <c r="C2600" s="2" t="s">
        <v>594</v>
      </c>
      <c r="D2600" s="2" t="str">
        <f t="shared" si="39"/>
        <v>Error?</v>
      </c>
    </row>
    <row r="2601" spans="1:4" x14ac:dyDescent="0.2">
      <c r="A2601" s="5">
        <v>2540</v>
      </c>
      <c r="B2601" s="138">
        <f>'Acct Summary 7-8'!F20</f>
        <v>868692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823862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823862</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681789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681789</v>
      </c>
      <c r="C2612" s="2" t="s">
        <v>594</v>
      </c>
      <c r="D2612" s="2" t="str">
        <f t="shared" si="39"/>
        <v>Error?</v>
      </c>
    </row>
    <row r="2613" spans="1:4" x14ac:dyDescent="0.2">
      <c r="A2613" s="5">
        <v>2552</v>
      </c>
      <c r="B2613" s="138">
        <f>'Acct Summary 7-8'!G20</f>
        <v>142073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2915112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2915112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2969658</v>
      </c>
      <c r="C2634" s="2" t="s">
        <v>594</v>
      </c>
      <c r="D2634" s="2" t="str">
        <f t="shared" si="40"/>
        <v>Error?</v>
      </c>
    </row>
    <row r="2635" spans="1:4" x14ac:dyDescent="0.2">
      <c r="A2635" s="5">
        <v>2574</v>
      </c>
      <c r="B2635" s="138">
        <f>'Acct Summary 7-8'!E17</f>
        <v>2969658</v>
      </c>
      <c r="C2635" s="2" t="s">
        <v>594</v>
      </c>
      <c r="D2635" s="2" t="str">
        <f t="shared" si="40"/>
        <v>Error?</v>
      </c>
    </row>
    <row r="2636" spans="1:4" x14ac:dyDescent="0.2">
      <c r="A2636" s="5">
        <v>2575</v>
      </c>
      <c r="B2636" s="138">
        <f>'Acct Summary 7-8'!E20</f>
        <v>-54546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102</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102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119385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100510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119385</v>
      </c>
      <c r="D2912" s="2" t="str">
        <f t="shared" si="44"/>
        <v>Error?</v>
      </c>
    </row>
    <row r="2913" spans="1:4" x14ac:dyDescent="0.2">
      <c r="A2913" s="5">
        <v>2852</v>
      </c>
      <c r="B2913" s="138">
        <f>'Assets-Liab 5-6'!I41</f>
        <v>119385</v>
      </c>
      <c r="C2913" s="2" t="s">
        <v>594</v>
      </c>
      <c r="D2913" s="2" t="str">
        <f t="shared" si="44"/>
        <v>Error?</v>
      </c>
    </row>
    <row r="2914" spans="1:4" x14ac:dyDescent="0.2">
      <c r="A2914" s="5">
        <v>2853</v>
      </c>
      <c r="B2914" s="138">
        <f>'Assets-Liab 5-6'!L33</f>
        <v>100510</v>
      </c>
      <c r="D2914" s="2" t="str">
        <f t="shared" si="44"/>
        <v>Error?</v>
      </c>
    </row>
    <row r="2915" spans="1:4" x14ac:dyDescent="0.2">
      <c r="A2915" s="10">
        <v>2854</v>
      </c>
      <c r="D2915" s="2" t="str">
        <f t="shared" si="44"/>
        <v>OK</v>
      </c>
    </row>
    <row r="2916" spans="1:4" x14ac:dyDescent="0.2">
      <c r="A2916" s="5">
        <v>2855</v>
      </c>
      <c r="B2916" s="138">
        <f>'Assets-Liab 5-6'!L34</f>
        <v>100510</v>
      </c>
      <c r="C2916" s="2" t="s">
        <v>594</v>
      </c>
      <c r="D2916" s="2" t="str">
        <f t="shared" si="44"/>
        <v>Error?</v>
      </c>
    </row>
    <row r="2917" spans="1:4" x14ac:dyDescent="0.2">
      <c r="A2917" s="5">
        <v>2856</v>
      </c>
      <c r="B2917" s="138">
        <f>'Assets-Liab 5-6'!L41</f>
        <v>100510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1418382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1418382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33360</v>
      </c>
      <c r="C3225" s="2" t="s">
        <v>594</v>
      </c>
      <c r="D3225" s="2" t="str">
        <f t="shared" si="49"/>
        <v>Error?</v>
      </c>
    </row>
    <row r="3226" spans="1:4" x14ac:dyDescent="0.2">
      <c r="A3226" s="5">
        <v>3165</v>
      </c>
      <c r="B3226" s="138">
        <f>'Acct Summary 7-8'!I8</f>
        <v>33360</v>
      </c>
      <c r="C3226" s="2" t="s">
        <v>594</v>
      </c>
      <c r="D3226" s="2" t="str">
        <f t="shared" si="49"/>
        <v>Error?</v>
      </c>
    </row>
    <row r="3227" spans="1:4" x14ac:dyDescent="0.2">
      <c r="A3227" s="5">
        <v>3166</v>
      </c>
      <c r="B3227" s="138">
        <f>'Acct Summary 7-8'!I20</f>
        <v>33360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64692</v>
      </c>
      <c r="C3231" s="2" t="s">
        <v>594</v>
      </c>
      <c r="D3231" s="2" t="str">
        <f t="shared" si="49"/>
        <v>Error?</v>
      </c>
    </row>
    <row r="3232" spans="1:4" x14ac:dyDescent="0.2">
      <c r="A3232" s="5">
        <v>3171</v>
      </c>
      <c r="B3232" s="138">
        <f>'Acct Summary 7-8'!C77</f>
        <v>-64692</v>
      </c>
      <c r="C3232" s="2" t="s">
        <v>594</v>
      </c>
      <c r="D3232" s="2" t="str">
        <f t="shared" si="49"/>
        <v>Error?</v>
      </c>
    </row>
    <row r="3233" spans="1:4" x14ac:dyDescent="0.2">
      <c r="A3233" s="5">
        <v>3172</v>
      </c>
      <c r="B3233" s="138">
        <f>'Acct Summary 7-8'!C78</f>
        <v>4482634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292330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868692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142073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64692</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64692</v>
      </c>
      <c r="C3277" s="2" t="s">
        <v>594</v>
      </c>
      <c r="D3277" s="2" t="str">
        <f t="shared" si="50"/>
        <v>Error?</v>
      </c>
    </row>
    <row r="3278" spans="1:4" x14ac:dyDescent="0.2">
      <c r="A3278" s="5">
        <v>3217</v>
      </c>
      <c r="B3278" s="138">
        <f>'Acct Summary 7-8'!E78</f>
        <v>10146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102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33360</v>
      </c>
      <c r="C3320" s="2" t="s">
        <v>594</v>
      </c>
      <c r="D3320" s="2" t="str">
        <f t="shared" si="50"/>
        <v>Error?</v>
      </c>
    </row>
    <row r="3321" spans="1:4" x14ac:dyDescent="0.2">
      <c r="A3321" s="5">
        <v>3260</v>
      </c>
      <c r="B3321" s="138">
        <f>'Acct Summary 7-8'!I79</f>
        <v>86025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119385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1958190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512222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22529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9416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2502357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3528368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3063749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1896475</v>
      </c>
      <c r="D3417" s="2" t="str">
        <f t="shared" si="52"/>
        <v>Error?</v>
      </c>
    </row>
    <row r="3418" spans="1:4" x14ac:dyDescent="0.2">
      <c r="A3418" s="10">
        <v>3357</v>
      </c>
      <c r="D3418" s="2" t="str">
        <f t="shared" si="52"/>
        <v>OK</v>
      </c>
    </row>
    <row r="3419" spans="1:4" x14ac:dyDescent="0.2">
      <c r="A3419" s="5">
        <v>3358</v>
      </c>
      <c r="B3419" s="138">
        <f>'Assets-Liab 5-6'!F4</f>
        <v>4441407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488851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81055</v>
      </c>
      <c r="D3425" s="2" t="str">
        <f t="shared" si="52"/>
        <v>Error?</v>
      </c>
    </row>
    <row r="3426" spans="1:4" x14ac:dyDescent="0.2">
      <c r="A3426" s="10">
        <v>3365</v>
      </c>
      <c r="D3426" s="2" t="str">
        <f t="shared" si="52"/>
        <v>OK</v>
      </c>
    </row>
    <row r="3427" spans="1:4" x14ac:dyDescent="0.2">
      <c r="A3427" s="5">
        <v>3366</v>
      </c>
      <c r="B3427" s="138">
        <f>'Assets-Liab 5-6'!I4</f>
        <v>119385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100510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774230</v>
      </c>
      <c r="C3446" s="2" t="s">
        <v>594</v>
      </c>
      <c r="D3446" s="2" t="str">
        <f t="shared" si="52"/>
        <v>Error?</v>
      </c>
    </row>
    <row r="3447" spans="1:4" x14ac:dyDescent="0.2">
      <c r="A3447" s="5">
        <v>3386</v>
      </c>
      <c r="B3447" s="138">
        <f>'Tax Sched 23'!D16</f>
        <v>371386</v>
      </c>
      <c r="C3447" s="2" t="s">
        <v>594</v>
      </c>
      <c r="D3447" s="2" t="str">
        <f t="shared" si="52"/>
        <v>Error?</v>
      </c>
    </row>
    <row r="3448" spans="1:4" x14ac:dyDescent="0.2">
      <c r="A3448" s="5">
        <v>3387</v>
      </c>
      <c r="B3448" s="138">
        <f>'Tax Sched 23'!C16</f>
        <v>402844</v>
      </c>
      <c r="D3448" s="2" t="str">
        <f t="shared" si="52"/>
        <v>Error?</v>
      </c>
    </row>
    <row r="3449" spans="1:4" x14ac:dyDescent="0.2">
      <c r="A3449" s="5">
        <v>3388</v>
      </c>
      <c r="B3449" s="138">
        <f>'Tax Sched 23'!F16</f>
        <v>372849</v>
      </c>
      <c r="C3449" s="2" t="s">
        <v>594</v>
      </c>
      <c r="D3449" s="2" t="str">
        <f t="shared" si="52"/>
        <v>Error?</v>
      </c>
    </row>
    <row r="3450" spans="1:4" x14ac:dyDescent="0.2">
      <c r="A3450" s="5">
        <v>3389</v>
      </c>
      <c r="B3450" s="138">
        <f>'Tax Sched 23'!E16</f>
        <v>775693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111029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111029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111029</v>
      </c>
      <c r="D3567" s="2" t="str">
        <f t="shared" si="54"/>
        <v>Error?</v>
      </c>
    </row>
    <row r="3568" spans="1:4" x14ac:dyDescent="0.2">
      <c r="A3568" s="5">
        <v>3507</v>
      </c>
      <c r="B3568" s="138">
        <f>'Assets-Liab 5-6'!K41</f>
        <v>111029</v>
      </c>
      <c r="C3568" s="2" t="s">
        <v>594</v>
      </c>
      <c r="D3568" s="2" t="str">
        <f t="shared" si="54"/>
        <v>Error?</v>
      </c>
    </row>
    <row r="3569" spans="1:4" x14ac:dyDescent="0.2">
      <c r="A3569" s="5">
        <v>3508</v>
      </c>
      <c r="B3569" s="138">
        <f>'Acct Summary 7-8'!K4</f>
        <v>33156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33156</v>
      </c>
      <c r="C3571" s="2" t="s">
        <v>594</v>
      </c>
      <c r="D3571" s="2" t="str">
        <f t="shared" si="54"/>
        <v>Error?</v>
      </c>
    </row>
    <row r="3572" spans="1:4" x14ac:dyDescent="0.2">
      <c r="A3572" s="5">
        <v>3511</v>
      </c>
      <c r="B3572" s="138">
        <f>'Acct Summary 7-8'!K13</f>
        <v>8533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8533</v>
      </c>
      <c r="C3575" s="2" t="s">
        <v>594</v>
      </c>
      <c r="D3575" s="2" t="str">
        <f t="shared" si="54"/>
        <v>Error?</v>
      </c>
    </row>
    <row r="3576" spans="1:4" x14ac:dyDescent="0.2">
      <c r="A3576" s="5">
        <v>3515</v>
      </c>
      <c r="B3576" s="138">
        <f>'Acct Summary 7-8'!K20</f>
        <v>24623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24623</v>
      </c>
      <c r="C3588" s="2" t="s">
        <v>594</v>
      </c>
      <c r="D3588" s="2" t="str">
        <f t="shared" si="55"/>
        <v>Error?</v>
      </c>
    </row>
    <row r="3589" spans="1:4" x14ac:dyDescent="0.2">
      <c r="A3589" s="5">
        <v>3528</v>
      </c>
      <c r="B3589" s="138">
        <f>'Acct Summary 7-8'!K79</f>
        <v>86406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111029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8533</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8533</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8533</v>
      </c>
      <c r="C3642" s="2" t="s">
        <v>594</v>
      </c>
      <c r="D3642" s="2" t="str">
        <f t="shared" si="55"/>
        <v>Error?</v>
      </c>
    </row>
    <row r="3643" spans="1:4" x14ac:dyDescent="0.2">
      <c r="A3643" s="5">
        <v>3582</v>
      </c>
      <c r="B3643" s="138">
        <f>'Expenditures 15-22'!F367</f>
        <v>8533</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8533</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8533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8533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8533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24623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846628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24175</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11686</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12489</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11558</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24047</v>
      </c>
      <c r="D4111" s="2" t="str">
        <f t="shared" si="63"/>
        <v>Error?</v>
      </c>
    </row>
    <row r="4112" spans="1:4" x14ac:dyDescent="0.2">
      <c r="A4112" s="10">
        <v>4051</v>
      </c>
      <c r="D4112" s="2" t="str">
        <f t="shared" si="63"/>
        <v>OK</v>
      </c>
    </row>
    <row r="4113" spans="1:4" x14ac:dyDescent="0.2">
      <c r="A4113" s="5">
        <v>4052</v>
      </c>
      <c r="B4113" s="138">
        <f>'Acct Summary 7-8'!C9</f>
        <v>9433307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35676672</v>
      </c>
      <c r="C4122" s="2" t="s">
        <v>594</v>
      </c>
      <c r="D4122" s="2" t="str">
        <f t="shared" si="63"/>
        <v>Error?</v>
      </c>
    </row>
    <row r="4123" spans="1:4" x14ac:dyDescent="0.2">
      <c r="A4123" s="5">
        <v>4062</v>
      </c>
      <c r="B4123" s="138">
        <f>'Acct Summary 7-8'!D10</f>
        <v>1871043</v>
      </c>
      <c r="C4123" s="2" t="s">
        <v>594</v>
      </c>
      <c r="D4123" s="2" t="str">
        <f t="shared" si="63"/>
        <v>Error?</v>
      </c>
    </row>
    <row r="4124" spans="1:4" x14ac:dyDescent="0.2">
      <c r="A4124" s="5">
        <v>4063</v>
      </c>
      <c r="B4124" s="138">
        <f>'Acct Summary 7-8'!E10</f>
        <v>2915112</v>
      </c>
      <c r="C4124" s="2" t="s">
        <v>594</v>
      </c>
      <c r="D4124" s="2" t="str">
        <f t="shared" si="63"/>
        <v>Error?</v>
      </c>
    </row>
    <row r="4125" spans="1:4" x14ac:dyDescent="0.2">
      <c r="A4125" s="5">
        <v>4064</v>
      </c>
      <c r="B4125" s="138">
        <f>'Acct Summary 7-8'!F10</f>
        <v>3082300</v>
      </c>
      <c r="C4125" s="2" t="s">
        <v>594</v>
      </c>
      <c r="D4125" s="2" t="str">
        <f t="shared" si="63"/>
        <v>Error?</v>
      </c>
    </row>
    <row r="4126" spans="1:4" x14ac:dyDescent="0.2">
      <c r="A4126" s="5">
        <v>4065</v>
      </c>
      <c r="B4126" s="138">
        <f>'Acct Summary 7-8'!G10</f>
        <v>823862</v>
      </c>
      <c r="C4126" s="2" t="s">
        <v>594</v>
      </c>
      <c r="D4126" s="2" t="str">
        <f t="shared" si="63"/>
        <v>Error?</v>
      </c>
    </row>
    <row r="4127" spans="1:4" x14ac:dyDescent="0.2">
      <c r="A4127" s="5">
        <v>4066</v>
      </c>
      <c r="B4127" s="138">
        <f>'Acct Summary 7-8'!H10</f>
        <v>102</v>
      </c>
      <c r="C4127" s="2" t="s">
        <v>594</v>
      </c>
      <c r="D4127" s="2" t="str">
        <f t="shared" si="63"/>
        <v>Error?</v>
      </c>
    </row>
    <row r="4128" spans="1:4" x14ac:dyDescent="0.2">
      <c r="A4128" s="5">
        <v>4067</v>
      </c>
      <c r="B4128" s="138">
        <f>'Acct Summary 7-8'!I10</f>
        <v>33360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33156</v>
      </c>
      <c r="C4130" s="2" t="s">
        <v>594</v>
      </c>
      <c r="D4130" s="2" t="str">
        <f t="shared" si="63"/>
        <v>Error?</v>
      </c>
    </row>
    <row r="4131" spans="1:4" x14ac:dyDescent="0.2">
      <c r="A4131" s="5">
        <v>4070</v>
      </c>
      <c r="B4131" s="138">
        <f>'Acct Summary 7-8'!C18</f>
        <v>9433307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31129346</v>
      </c>
      <c r="C4136" s="2" t="s">
        <v>594</v>
      </c>
      <c r="D4136" s="2" t="str">
        <f t="shared" si="63"/>
        <v>Error?</v>
      </c>
    </row>
    <row r="4137" spans="1:4" x14ac:dyDescent="0.2">
      <c r="A4137" s="5">
        <v>4076</v>
      </c>
      <c r="B4137" s="138">
        <f>'Acct Summary 7-8'!D19</f>
        <v>1578713</v>
      </c>
      <c r="C4137" s="2" t="s">
        <v>594</v>
      </c>
      <c r="D4137" s="2" t="str">
        <f t="shared" si="63"/>
        <v>Error?</v>
      </c>
    </row>
    <row r="4138" spans="1:4" x14ac:dyDescent="0.2">
      <c r="A4138" s="5">
        <v>4077</v>
      </c>
      <c r="B4138" s="138">
        <f>'Acct Summary 7-8'!E19</f>
        <v>2969658</v>
      </c>
      <c r="C4138" s="2" t="s">
        <v>594</v>
      </c>
      <c r="D4138" s="2" t="str">
        <f t="shared" si="63"/>
        <v>Error?</v>
      </c>
    </row>
    <row r="4139" spans="1:4" x14ac:dyDescent="0.2">
      <c r="A4139" s="5">
        <v>4078</v>
      </c>
      <c r="B4139" s="138">
        <f>'Acct Summary 7-8'!F19</f>
        <v>2213608</v>
      </c>
      <c r="C4139" s="2" t="s">
        <v>594</v>
      </c>
      <c r="D4139" s="2" t="str">
        <f t="shared" si="63"/>
        <v>Error?</v>
      </c>
    </row>
    <row r="4140" spans="1:4" x14ac:dyDescent="0.2">
      <c r="A4140" s="5">
        <v>4079</v>
      </c>
      <c r="B4140" s="138">
        <f>'Acct Summary 7-8'!G19</f>
        <v>681789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8533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2436243</v>
      </c>
      <c r="C4171" s="2" t="s">
        <v>594</v>
      </c>
      <c r="D4171" s="2" t="str">
        <f t="shared" si="64"/>
        <v>Error?</v>
      </c>
    </row>
    <row r="4172" spans="1:4" x14ac:dyDescent="0.2">
      <c r="A4172" s="5">
        <v>4111</v>
      </c>
      <c r="B4172" s="138">
        <f>'Short-Term Long-Term Debt 24'!J49</f>
        <v>539768</v>
      </c>
      <c r="C4172" s="2" t="s">
        <v>594</v>
      </c>
      <c r="D4172" s="2" t="str">
        <f t="shared" si="64"/>
        <v>Error?</v>
      </c>
    </row>
    <row r="4173" spans="1:4" x14ac:dyDescent="0.2">
      <c r="A4173" s="5">
        <v>4112</v>
      </c>
      <c r="B4173" s="138">
        <f>'Short-Term Long-Term Debt 24'!H49</f>
        <v>936784</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3438.0909999999999</v>
      </c>
      <c r="C4265" s="2" t="s">
        <v>594</v>
      </c>
      <c r="D4265" s="2" t="str">
        <f t="shared" si="65"/>
        <v>Error?</v>
      </c>
      <c r="E4265" s="128"/>
    </row>
    <row r="4266" spans="1:5" x14ac:dyDescent="0.2">
      <c r="A4266" s="12">
        <v>4205</v>
      </c>
      <c r="B4266" s="138">
        <f>('FP Info 3'!F10)*100000</f>
        <v>489.67</v>
      </c>
      <c r="C4266" s="2" t="s">
        <v>594</v>
      </c>
      <c r="D4266" s="2" t="str">
        <f t="shared" si="65"/>
        <v>Error?</v>
      </c>
      <c r="E4266" s="128"/>
    </row>
    <row r="4267" spans="1:5" x14ac:dyDescent="0.2">
      <c r="A4267" s="12">
        <v>4206</v>
      </c>
      <c r="B4267" s="138">
        <f>('FP Info 3'!H10)*100000</f>
        <v>351.85500000000002</v>
      </c>
      <c r="C4267" s="2" t="s">
        <v>594</v>
      </c>
      <c r="D4267" s="2" t="str">
        <f t="shared" si="65"/>
        <v>Error?</v>
      </c>
      <c r="E4267" s="128"/>
    </row>
    <row r="4268" spans="1:5" x14ac:dyDescent="0.2">
      <c r="A4268" s="12">
        <v>4207</v>
      </c>
      <c r="B4268" s="138">
        <f>('FP Info 3'!J10)*100000</f>
        <v>4280</v>
      </c>
      <c r="C4268" s="2" t="s">
        <v>594</v>
      </c>
      <c r="D4268" s="2" t="str">
        <f t="shared" si="65"/>
        <v>Error?</v>
      </c>
    </row>
    <row r="4269" spans="1:5" x14ac:dyDescent="0.2">
      <c r="A4269" s="12">
        <v>4208</v>
      </c>
      <c r="B4269" s="138">
        <f>'FP Info 3'!J16</f>
        <v>11155711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23191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345603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15072</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69690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90289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9.7940000000000005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3143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337891060</v>
      </c>
      <c r="D4995" s="2" t="str">
        <f t="shared" si="77"/>
        <v>Error?</v>
      </c>
    </row>
    <row r="4996" spans="1:4" x14ac:dyDescent="0.2">
      <c r="A4996" s="12">
        <v>4935</v>
      </c>
      <c r="B4996" s="138">
        <f>'FP Info 3'!H31</f>
        <v>23314483.140000001</v>
      </c>
      <c r="D4996" s="2" t="str">
        <f t="shared" si="77"/>
        <v>Error?</v>
      </c>
    </row>
    <row r="4997" spans="1:4" x14ac:dyDescent="0.2">
      <c r="A4997" s="12">
        <v>4936</v>
      </c>
      <c r="B4997" s="138">
        <f>'FP Info 3'!H37</f>
        <v>2436243</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11350514</v>
      </c>
      <c r="D5061" s="2" t="str">
        <f t="shared" si="78"/>
        <v>Error?</v>
      </c>
    </row>
    <row r="5062" spans="1:4" x14ac:dyDescent="0.2">
      <c r="A5062" s="10">
        <v>5001</v>
      </c>
      <c r="D5062" s="2" t="str">
        <f t="shared" si="78"/>
        <v>OK</v>
      </c>
    </row>
    <row r="5063" spans="1:4" x14ac:dyDescent="0.2">
      <c r="A5063" s="5">
        <v>5002</v>
      </c>
      <c r="B5063" s="138">
        <f>'Revenues 9-14'!C7</f>
        <v>1225286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12575800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90158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90158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-1814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-1814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14712</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102419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102419</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115274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1266</v>
      </c>
      <c r="D5119" s="2" t="str">
        <f t="shared" ref="D5119:D5182" si="79">IF(ISBLANK(B5119),"OK",IF(A5119-B5119=0,"OK","Error?"))</f>
        <v>Error?</v>
      </c>
    </row>
    <row r="5120" spans="1:4" x14ac:dyDescent="0.2">
      <c r="A5120" s="5">
        <v>5059</v>
      </c>
      <c r="B5120" s="138">
        <f>'Revenues 9-14'!C108</f>
        <v>120817</v>
      </c>
      <c r="C5120" s="2" t="s">
        <v>594</v>
      </c>
      <c r="D5120" s="2" t="str">
        <f t="shared" si="79"/>
        <v>Error?</v>
      </c>
    </row>
    <row r="5121" spans="1:4" x14ac:dyDescent="0.2">
      <c r="A5121" s="5">
        <v>5060</v>
      </c>
      <c r="B5121" s="138">
        <f>'Revenues 9-14'!C109</f>
        <v>12902092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9788195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9788195</v>
      </c>
      <c r="C5132" s="2" t="s">
        <v>594</v>
      </c>
      <c r="D5132" s="2" t="str">
        <f t="shared" si="79"/>
        <v>Error?</v>
      </c>
    </row>
    <row r="5133" spans="1:4" x14ac:dyDescent="0.2">
      <c r="A5133" s="5">
        <v>5072</v>
      </c>
      <c r="B5133" s="138">
        <f>'Revenues 9-14'!C124</f>
        <v>105452</v>
      </c>
      <c r="D5133" s="2" t="str">
        <f t="shared" si="79"/>
        <v>Error?</v>
      </c>
    </row>
    <row r="5134" spans="1:4" x14ac:dyDescent="0.2">
      <c r="A5134" s="5">
        <v>5073</v>
      </c>
      <c r="B5134" s="138">
        <f>'Revenues 9-14'!C125</f>
        <v>161285</v>
      </c>
      <c r="D5134" s="2" t="str">
        <f t="shared" si="79"/>
        <v>Error?</v>
      </c>
    </row>
    <row r="5135" spans="1:4" x14ac:dyDescent="0.2">
      <c r="A5135" s="5">
        <v>5074</v>
      </c>
      <c r="B5135" s="138">
        <f>'Revenues 9-14'!C126</f>
        <v>193849</v>
      </c>
      <c r="D5135" s="2" t="str">
        <f t="shared" si="79"/>
        <v>Error?</v>
      </c>
    </row>
    <row r="5136" spans="1:4" x14ac:dyDescent="0.2">
      <c r="A5136" s="10">
        <v>5075</v>
      </c>
      <c r="D5136" s="2" t="str">
        <f t="shared" si="79"/>
        <v>OK</v>
      </c>
    </row>
    <row r="5137" spans="1:4" x14ac:dyDescent="0.2">
      <c r="A5137" s="5">
        <v>5076</v>
      </c>
      <c r="B5137" s="138">
        <f>'Revenues 9-14'!C127</f>
        <v>135085</v>
      </c>
      <c r="D5137" s="2" t="str">
        <f t="shared" si="79"/>
        <v>Error?</v>
      </c>
    </row>
    <row r="5138" spans="1:4" x14ac:dyDescent="0.2">
      <c r="A5138" s="10">
        <v>5077</v>
      </c>
      <c r="D5138" s="2" t="str">
        <f t="shared" si="79"/>
        <v>OK</v>
      </c>
    </row>
    <row r="5139" spans="1:4" x14ac:dyDescent="0.2">
      <c r="A5139" s="5">
        <v>5078</v>
      </c>
      <c r="B5139" s="138">
        <f>'Revenues 9-14'!C128</f>
        <v>5997</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9530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611198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151380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151380</v>
      </c>
      <c r="C5165" s="2" t="s">
        <v>594</v>
      </c>
      <c r="D5165" s="2" t="str">
        <f t="shared" si="79"/>
        <v>Error?</v>
      </c>
    </row>
    <row r="5166" spans="1:4" x14ac:dyDescent="0.2">
      <c r="A5166" s="10">
        <v>5105</v>
      </c>
      <c r="D5166" s="2" t="str">
        <f t="shared" si="79"/>
        <v>OK</v>
      </c>
    </row>
    <row r="5167" spans="1:4" x14ac:dyDescent="0.2">
      <c r="A5167" s="5">
        <v>5106</v>
      </c>
      <c r="B5167" s="138">
        <f>'Revenues 9-14'!C145</f>
        <v>19526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785247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10573442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754794</v>
      </c>
      <c r="D5239" s="2" t="str">
        <f t="shared" si="80"/>
        <v>Error?</v>
      </c>
    </row>
    <row r="5240" spans="1:4" x14ac:dyDescent="0.2">
      <c r="A5240" s="5">
        <v>5179</v>
      </c>
      <c r="B5240" s="138">
        <f>'Revenues 9-14'!C195</f>
        <v>154</v>
      </c>
      <c r="D5240" s="2" t="str">
        <f t="shared" si="80"/>
        <v>Error?</v>
      </c>
    </row>
    <row r="5241" spans="1:4" x14ac:dyDescent="0.2">
      <c r="A5241" s="5">
        <v>5180</v>
      </c>
      <c r="B5241" s="138">
        <f>'Revenues 9-14'!C196</f>
        <v>358226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1113174</v>
      </c>
      <c r="C5246" s="2" t="s">
        <v>594</v>
      </c>
      <c r="D5246" s="2" t="str">
        <f t="shared" si="80"/>
        <v>Error?</v>
      </c>
    </row>
    <row r="5247" spans="1:4" x14ac:dyDescent="0.2">
      <c r="A5247" s="5">
        <v>5186</v>
      </c>
      <c r="B5247" s="138">
        <f>'Revenues 9-14'!C203</f>
        <v>755006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15072</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755006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17245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335225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352470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3336</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2767831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2767831</v>
      </c>
      <c r="C5326" s="2" t="s">
        <v>594</v>
      </c>
      <c r="D5326" s="2" t="str">
        <f t="shared" si="82"/>
        <v>Error?</v>
      </c>
    </row>
    <row r="5327" spans="1:4" x14ac:dyDescent="0.2">
      <c r="A5327" s="5">
        <v>5266</v>
      </c>
      <c r="B5327" s="138">
        <f>'Revenues 9-14'!C275</f>
        <v>26243365</v>
      </c>
      <c r="C5327" s="2" t="s">
        <v>594</v>
      </c>
      <c r="D5327" s="2" t="str">
        <f t="shared" si="82"/>
        <v>Error?</v>
      </c>
    </row>
    <row r="5328" spans="1:4" x14ac:dyDescent="0.2">
      <c r="A5328" s="5">
        <v>5267</v>
      </c>
      <c r="B5328" s="138">
        <f>'Revenues 9-14'!D5</f>
        <v>1661738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1661738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3280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3280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10009</v>
      </c>
      <c r="D5349" s="2" t="str">
        <f t="shared" si="82"/>
        <v>Error?</v>
      </c>
    </row>
    <row r="5350" spans="1:4" x14ac:dyDescent="0.2">
      <c r="A5350" s="5">
        <v>5289</v>
      </c>
      <c r="B5350" s="138">
        <f>'Revenues 9-14'!D96</f>
        <v>196016</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206025</v>
      </c>
      <c r="C5355" s="2" t="s">
        <v>594</v>
      </c>
      <c r="D5355" s="2" t="str">
        <f t="shared" si="82"/>
        <v>Error?</v>
      </c>
    </row>
    <row r="5356" spans="1:4" x14ac:dyDescent="0.2">
      <c r="A5356" s="5">
        <v>5295</v>
      </c>
      <c r="B5356" s="138">
        <f>'Revenues 9-14'!D109</f>
        <v>1871043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1871043</v>
      </c>
      <c r="C5508" s="2" t="s">
        <v>594</v>
      </c>
      <c r="D5508" s="2" t="str">
        <f t="shared" si="85"/>
        <v>Error?</v>
      </c>
    </row>
    <row r="5509" spans="1:4" x14ac:dyDescent="0.2">
      <c r="A5509" s="5">
        <v>5448</v>
      </c>
      <c r="B5509" s="138">
        <f>'Revenues 9-14'!E5</f>
        <v>2913345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2913345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1767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1767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2915112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2915112</v>
      </c>
      <c r="C5552" s="2" t="s">
        <v>594</v>
      </c>
      <c r="D5552" s="2" t="str">
        <f t="shared" si="85"/>
        <v>Error?</v>
      </c>
    </row>
    <row r="5553" spans="1:4" x14ac:dyDescent="0.2">
      <c r="A5553" s="5">
        <v>5492</v>
      </c>
      <c r="B5553" s="138">
        <f>'Revenues 9-14'!F5</f>
        <v>1435287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1435287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5031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5031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1440318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700499</v>
      </c>
      <c r="D5615" s="2" t="str">
        <f t="shared" si="86"/>
        <v>Error?</v>
      </c>
    </row>
    <row r="5616" spans="1:4" x14ac:dyDescent="0.2">
      <c r="A5616" s="10">
        <v>5555</v>
      </c>
      <c r="D5616" s="2" t="str">
        <f t="shared" si="86"/>
        <v>OK</v>
      </c>
    </row>
    <row r="5617" spans="1:4" x14ac:dyDescent="0.2">
      <c r="A5617" s="5">
        <v>5556</v>
      </c>
      <c r="B5617" s="138">
        <f>'Revenues 9-14'!F152</f>
        <v>941483</v>
      </c>
      <c r="D5617" s="2" t="str">
        <f t="shared" si="86"/>
        <v>Error?</v>
      </c>
    </row>
    <row r="5618" spans="1:4" x14ac:dyDescent="0.2">
      <c r="A5618" s="5">
        <v>5557</v>
      </c>
      <c r="B5618" s="138">
        <f>'Revenues 9-14'!F154</f>
        <v>1641982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1641982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1641982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3082300</v>
      </c>
      <c r="C5720" s="2" t="s">
        <v>594</v>
      </c>
      <c r="D5720" s="2" t="str">
        <f t="shared" si="88"/>
        <v>Error?</v>
      </c>
    </row>
    <row r="5721" spans="1:4" x14ac:dyDescent="0.2">
      <c r="A5721" s="5">
        <v>5660</v>
      </c>
      <c r="B5721" s="138">
        <f>'Revenues 9-14'!G5</f>
        <v>24074</v>
      </c>
      <c r="D5721" s="2" t="str">
        <f t="shared" si="88"/>
        <v>Error?</v>
      </c>
    </row>
    <row r="5722" spans="1:4" x14ac:dyDescent="0.2">
      <c r="A5722" s="5">
        <v>5661</v>
      </c>
      <c r="B5722" s="138">
        <f>'Revenues 9-14'!G7</f>
        <v>0</v>
      </c>
      <c r="D5722" s="2" t="str">
        <f t="shared" si="88"/>
        <v>Error?</v>
      </c>
    </row>
    <row r="5723" spans="1:4" x14ac:dyDescent="0.2">
      <c r="A5723" s="5">
        <v>5662</v>
      </c>
      <c r="B5723" s="138">
        <f>'Revenues 9-14'!G8</f>
        <v>774230</v>
      </c>
      <c r="D5723" s="2" t="str">
        <f t="shared" si="88"/>
        <v>Error?</v>
      </c>
    </row>
    <row r="5724" spans="1:4" x14ac:dyDescent="0.2">
      <c r="A5724" s="5">
        <v>5663</v>
      </c>
      <c r="B5724" s="138">
        <f>'Revenues 9-14'!G11</f>
        <v>24175</v>
      </c>
      <c r="D5724" s="2" t="str">
        <f t="shared" si="88"/>
        <v>Error?</v>
      </c>
    </row>
    <row r="5725" spans="1:4" x14ac:dyDescent="0.2">
      <c r="A5725" s="5">
        <v>5664</v>
      </c>
      <c r="B5725" s="138">
        <f>'Revenues 9-14'!G12</f>
        <v>822479</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v>
      </c>
      <c r="C5730" s="2" t="s">
        <v>594</v>
      </c>
      <c r="D5730" s="2" t="str">
        <f t="shared" si="88"/>
        <v>Error?</v>
      </c>
    </row>
    <row r="5731" spans="1:4" x14ac:dyDescent="0.2">
      <c r="A5731" s="5">
        <v>5670</v>
      </c>
      <c r="B5731" s="138">
        <f>'Revenues 9-14'!G65</f>
        <v>383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383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823862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102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102</v>
      </c>
      <c r="C5915" s="2" t="s">
        <v>594</v>
      </c>
      <c r="D5915" s="2" t="str">
        <f t="shared" si="91"/>
        <v>Error?</v>
      </c>
    </row>
    <row r="5916" spans="1:4" x14ac:dyDescent="0.2">
      <c r="A5916" s="5">
        <v>5855</v>
      </c>
      <c r="B5916" s="138">
        <f>'Revenues 9-14'!I5</f>
        <v>33236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33236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124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33360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33035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33035</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121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33156</v>
      </c>
      <c r="C6023" s="2" t="s">
        <v>594</v>
      </c>
      <c r="D6023" s="2" t="str">
        <f t="shared" si="93"/>
        <v>Error?</v>
      </c>
    </row>
    <row r="6024" spans="1:5" x14ac:dyDescent="0.2">
      <c r="A6024" s="5">
        <v>5963</v>
      </c>
      <c r="B6024" s="138">
        <f>'Revenues 9-14'!G109</f>
        <v>823862</v>
      </c>
      <c r="C6024" s="2" t="s">
        <v>594</v>
      </c>
      <c r="D6024" s="2" t="str">
        <f t="shared" si="93"/>
        <v>Error?</v>
      </c>
    </row>
    <row r="6025" spans="1:5" x14ac:dyDescent="0.2">
      <c r="A6025" s="5">
        <v>5964</v>
      </c>
      <c r="B6025" s="138">
        <f>'Revenues 9-14'!H109</f>
        <v>102</v>
      </c>
      <c r="C6025" s="2" t="s">
        <v>594</v>
      </c>
      <c r="D6025" s="2" t="str">
        <f t="shared" si="93"/>
        <v>Error?</v>
      </c>
    </row>
    <row r="6026" spans="1:5" x14ac:dyDescent="0.2">
      <c r="A6026" s="5">
        <v>5965</v>
      </c>
      <c r="B6026" s="138">
        <f>'Revenues 9-14'!I109</f>
        <v>33360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33156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14712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99495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2039.4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153987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153987</v>
      </c>
      <c r="D6215" s="2" t="str">
        <f t="shared" si="96"/>
        <v>Error?</v>
      </c>
      <c r="E6215" s="2" t="s">
        <v>199</v>
      </c>
    </row>
    <row r="6216" spans="1:5" x14ac:dyDescent="0.2">
      <c r="A6216">
        <v>6155</v>
      </c>
      <c r="B6216" s="138">
        <f>'Assets-Liab 5-6'!J41</f>
        <v>153987</v>
      </c>
      <c r="D6216" s="2" t="str">
        <f t="shared" si="96"/>
        <v>Error?</v>
      </c>
      <c r="E6216" s="2" t="s">
        <v>199</v>
      </c>
    </row>
    <row r="6217" spans="1:5" x14ac:dyDescent="0.2">
      <c r="A6217">
        <v>6156</v>
      </c>
      <c r="B6217" s="138">
        <f>'Assets-Liab 5-6'!J4</f>
        <v>153987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289204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289204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289204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175066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175066</v>
      </c>
      <c r="D6229" s="2" t="str">
        <f t="shared" si="96"/>
        <v>Error?</v>
      </c>
      <c r="E6229" s="2" t="s">
        <v>199</v>
      </c>
    </row>
    <row r="6230" spans="1:5" x14ac:dyDescent="0.2">
      <c r="A6230">
        <v>6169</v>
      </c>
      <c r="B6230" s="138">
        <f>'Acct Summary 7-8'!J20</f>
        <v>114138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114138</v>
      </c>
      <c r="D6263" s="2" t="str">
        <f t="shared" si="96"/>
        <v>Error?</v>
      </c>
      <c r="E6263" s="2" t="s">
        <v>199</v>
      </c>
    </row>
    <row r="6264" spans="1:5" x14ac:dyDescent="0.2">
      <c r="A6264">
        <v>6203</v>
      </c>
      <c r="B6264" s="138">
        <f>'Acct Summary 7-8'!J79</f>
        <v>39849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153987</v>
      </c>
      <c r="D6266" s="2" t="str">
        <f t="shared" si="96"/>
        <v>Error?</v>
      </c>
      <c r="E6266" s="2" t="s">
        <v>199</v>
      </c>
    </row>
    <row r="6267" spans="1:5" x14ac:dyDescent="0.2">
      <c r="A6267">
        <v>6206</v>
      </c>
      <c r="B6267" s="138">
        <f>'Acct Summary 7-8'!C82</f>
        <v>4482634</v>
      </c>
      <c r="D6267" s="2" t="str">
        <f t="shared" si="96"/>
        <v>Error?</v>
      </c>
      <c r="E6267" s="2" t="s">
        <v>199</v>
      </c>
    </row>
    <row r="6268" spans="1:5" x14ac:dyDescent="0.2">
      <c r="A6268">
        <v>6207</v>
      </c>
      <c r="B6268" s="138">
        <f>'Acct Summary 7-8'!D82</f>
        <v>292330</v>
      </c>
      <c r="D6268" s="2" t="str">
        <f t="shared" si="96"/>
        <v>Error?</v>
      </c>
      <c r="E6268" s="2" t="s">
        <v>199</v>
      </c>
    </row>
    <row r="6269" spans="1:5" x14ac:dyDescent="0.2">
      <c r="A6269">
        <v>6208</v>
      </c>
      <c r="B6269" s="138">
        <f>'Acct Summary 7-8'!E82</f>
        <v>10146</v>
      </c>
      <c r="D6269" s="2" t="str">
        <f t="shared" si="96"/>
        <v>Error?</v>
      </c>
      <c r="E6269" s="2" t="s">
        <v>199</v>
      </c>
    </row>
    <row r="6270" spans="1:5" x14ac:dyDescent="0.2">
      <c r="A6270">
        <v>6209</v>
      </c>
      <c r="B6270" s="138">
        <f>'Acct Summary 7-8'!F82</f>
        <v>868692</v>
      </c>
      <c r="D6270" s="2" t="str">
        <f t="shared" si="96"/>
        <v>Error?</v>
      </c>
      <c r="E6270" s="2" t="s">
        <v>199</v>
      </c>
    </row>
    <row r="6271" spans="1:5" x14ac:dyDescent="0.2">
      <c r="A6271">
        <v>6210</v>
      </c>
      <c r="B6271" s="138">
        <f>'Acct Summary 7-8'!G82</f>
        <v>142073</v>
      </c>
      <c r="D6271" s="2" t="str">
        <f t="shared" ref="D6271:D6334" si="97">IF(ISBLANK(B6271),"OK",IF(A6271-B6271=0,"OK","Error?"))</f>
        <v>Error?</v>
      </c>
      <c r="E6271" s="2" t="s">
        <v>199</v>
      </c>
    </row>
    <row r="6272" spans="1:5" x14ac:dyDescent="0.2">
      <c r="A6272">
        <v>6211</v>
      </c>
      <c r="B6272" s="138">
        <f>'Acct Summary 7-8'!H82</f>
        <v>102</v>
      </c>
      <c r="D6272" s="2" t="str">
        <f t="shared" si="97"/>
        <v>Error?</v>
      </c>
      <c r="E6272" s="2" t="s">
        <v>199</v>
      </c>
    </row>
    <row r="6273" spans="1:5" x14ac:dyDescent="0.2">
      <c r="A6273">
        <v>6212</v>
      </c>
      <c r="B6273" s="138">
        <f>'Acct Summary 7-8'!I82</f>
        <v>33360</v>
      </c>
      <c r="D6273" s="2" t="str">
        <f t="shared" si="97"/>
        <v>Error?</v>
      </c>
      <c r="E6273" s="2" t="s">
        <v>199</v>
      </c>
    </row>
    <row r="6274" spans="1:5" x14ac:dyDescent="0.2">
      <c r="A6274">
        <v>6213</v>
      </c>
      <c r="B6274" s="138">
        <f>'Acct Summary 7-8'!J82</f>
        <v>114138</v>
      </c>
      <c r="D6274" s="2" t="str">
        <f t="shared" si="97"/>
        <v>Error?</v>
      </c>
      <c r="E6274" s="2" t="s">
        <v>199</v>
      </c>
    </row>
    <row r="6275" spans="1:5" x14ac:dyDescent="0.2">
      <c r="A6275">
        <v>6214</v>
      </c>
      <c r="B6275" s="138">
        <f>'Acct Summary 7-8'!K82</f>
        <v>24623</v>
      </c>
      <c r="D6275" s="2" t="str">
        <f t="shared" si="97"/>
        <v>Error?</v>
      </c>
      <c r="E6275" s="2" t="s">
        <v>199</v>
      </c>
    </row>
    <row r="6276" spans="1:5" x14ac:dyDescent="0.2">
      <c r="A6276">
        <v>6215</v>
      </c>
      <c r="B6276" s="138">
        <f>'Acct Summary 7-8'!C83</f>
        <v>1.2694472370347505</v>
      </c>
      <c r="D6276" s="2" t="str">
        <f t="shared" si="97"/>
        <v>Error?</v>
      </c>
      <c r="E6276" s="2" t="s">
        <v>199</v>
      </c>
    </row>
    <row r="6277" spans="1:5" x14ac:dyDescent="0.2">
      <c r="A6277">
        <v>6216</v>
      </c>
      <c r="B6277" s="138">
        <f>'Acct Summary 7-8'!D83</f>
        <v>9.5415779817471999E-2</v>
      </c>
      <c r="D6277" s="2" t="str">
        <f t="shared" si="97"/>
        <v>Error?</v>
      </c>
      <c r="E6277" s="2" t="s">
        <v>199</v>
      </c>
    </row>
    <row r="6278" spans="1:5" x14ac:dyDescent="0.2">
      <c r="A6278">
        <v>6217</v>
      </c>
      <c r="B6278" s="138">
        <f>'Acct Summary 7-8'!E83</f>
        <v>5.3499255197142067E-3</v>
      </c>
      <c r="D6278" s="2" t="str">
        <f t="shared" si="97"/>
        <v>Error?</v>
      </c>
      <c r="E6278" s="2" t="s">
        <v>199</v>
      </c>
    </row>
    <row r="6279" spans="1:5" x14ac:dyDescent="0.2">
      <c r="A6279">
        <v>6218</v>
      </c>
      <c r="B6279" s="138">
        <f>'Acct Summary 7-8'!F83</f>
        <v>0.19558937066564716</v>
      </c>
      <c r="D6279" s="2" t="str">
        <f t="shared" si="97"/>
        <v>Error?</v>
      </c>
      <c r="E6279" s="2" t="s">
        <v>199</v>
      </c>
    </row>
    <row r="6280" spans="1:5" x14ac:dyDescent="0.2">
      <c r="A6280">
        <v>6219</v>
      </c>
      <c r="B6280" s="138">
        <f>'Acct Summary 7-8'!G83</f>
        <v>0.29062638718137018</v>
      </c>
      <c r="D6280" s="2" t="str">
        <f t="shared" si="97"/>
        <v>Error?</v>
      </c>
      <c r="E6280" s="2" t="s">
        <v>199</v>
      </c>
    </row>
    <row r="6281" spans="1:5" x14ac:dyDescent="0.2">
      <c r="A6281">
        <v>6220</v>
      </c>
      <c r="B6281" s="138">
        <f>'Acct Summary 7-8'!H83</f>
        <v>1.2584047868731108E-3</v>
      </c>
      <c r="D6281" s="2" t="str">
        <f t="shared" si="97"/>
        <v>Error?</v>
      </c>
      <c r="E6281" s="2" t="s">
        <v>199</v>
      </c>
    </row>
    <row r="6282" spans="1:5" x14ac:dyDescent="0.2">
      <c r="A6282">
        <v>6221</v>
      </c>
      <c r="B6282" s="138">
        <f>'Acct Summary 7-8'!I83</f>
        <v>0.2794320894584747</v>
      </c>
      <c r="D6282" s="2" t="str">
        <f t="shared" si="97"/>
        <v>Error?</v>
      </c>
      <c r="E6282" s="2" t="s">
        <v>199</v>
      </c>
    </row>
    <row r="6283" spans="1:5" x14ac:dyDescent="0.2">
      <c r="A6283">
        <v>6222</v>
      </c>
      <c r="B6283" s="138">
        <f>'Acct Summary 7-8'!J83</f>
        <v>0.74121841454148729</v>
      </c>
      <c r="D6283" s="2" t="str">
        <f t="shared" si="97"/>
        <v>Error?</v>
      </c>
      <c r="E6283" s="2" t="s">
        <v>199</v>
      </c>
    </row>
    <row r="6284" spans="1:5" x14ac:dyDescent="0.2">
      <c r="A6284">
        <v>6223</v>
      </c>
      <c r="B6284" s="138">
        <f>'Acct Summary 7-8'!K83</f>
        <v>0.2217708886867395</v>
      </c>
      <c r="D6284" s="2" t="str">
        <f t="shared" si="97"/>
        <v>Error?</v>
      </c>
      <c r="E6284" s="2" t="s">
        <v>199</v>
      </c>
    </row>
    <row r="6285" spans="1:5" x14ac:dyDescent="0.2">
      <c r="A6285">
        <v>6224</v>
      </c>
      <c r="B6285" s="138">
        <f>'Acct Summary 7-8'!E37</f>
        <v>56859</v>
      </c>
      <c r="D6285" s="2" t="str">
        <f t="shared" si="97"/>
        <v>Error?</v>
      </c>
      <c r="E6285" s="2" t="s">
        <v>199</v>
      </c>
    </row>
    <row r="6286" spans="1:5" x14ac:dyDescent="0.2">
      <c r="A6286">
        <v>6225</v>
      </c>
      <c r="B6286" s="138">
        <f>'Acct Summary 7-8'!E38</f>
        <v>7833</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289213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289213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4277</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289204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112132</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165576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289342</v>
      </c>
      <c r="D6880" s="2" t="str">
        <f t="shared" si="106"/>
        <v>Error?</v>
      </c>
    </row>
    <row r="6881" spans="1:4" x14ac:dyDescent="0.2">
      <c r="A6881">
        <v>6820</v>
      </c>
      <c r="B6881" s="138">
        <f>'Expenditures 15-22'!K22</f>
        <v>289342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112132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112132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15148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15148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15148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175066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15148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289204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76574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76574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74475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74475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24017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24017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175066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175066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175066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175066</v>
      </c>
      <c r="D7224" s="2" t="str">
        <f t="shared" si="111"/>
        <v>Error?</v>
      </c>
    </row>
    <row r="7225" spans="1:4" x14ac:dyDescent="0.2">
      <c r="A7225">
        <v>7164</v>
      </c>
      <c r="B7225" s="138">
        <f>'Expenditures 15-22'!K343</f>
        <v>114138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126990</v>
      </c>
      <c r="D7251" s="2" t="str">
        <f t="shared" si="112"/>
        <v>Error?</v>
      </c>
    </row>
    <row r="7252" spans="1:4" x14ac:dyDescent="0.2">
      <c r="A7252">
        <f t="shared" si="113"/>
        <v>7191</v>
      </c>
      <c r="B7252" s="138">
        <f>'Expenditures 15-22'!D9</f>
        <v>38464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122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127280</v>
      </c>
      <c r="D7624" s="2" t="str">
        <f t="shared" si="124"/>
        <v>Error?</v>
      </c>
      <c r="E7624" s="2" t="s">
        <v>19</v>
      </c>
    </row>
    <row r="7625" spans="1:5" x14ac:dyDescent="0.2">
      <c r="A7625">
        <f t="shared" si="123"/>
        <v>7564</v>
      </c>
      <c r="B7625" s="138">
        <f>'Cap Outlay Deprec 26'!I17</f>
        <v>12728</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937977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56859</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7833</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1225286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3660000</v>
      </c>
      <c r="D7797" s="2" t="str">
        <f t="shared" si="127"/>
        <v>Error?</v>
      </c>
      <c r="E7797" s="4" t="s">
        <v>2019</v>
      </c>
    </row>
    <row r="7798" spans="1:5" x14ac:dyDescent="0.2">
      <c r="A7798">
        <v>7737</v>
      </c>
      <c r="B7798" s="138">
        <f>'Contracts Paid in CY 29'!F141</f>
        <v>175000</v>
      </c>
      <c r="D7798" s="2" t="str">
        <f t="shared" si="127"/>
        <v>Error?</v>
      </c>
      <c r="E7798" s="4" t="s">
        <v>2019</v>
      </c>
    </row>
    <row r="7799" spans="1:5" x14ac:dyDescent="0.2">
      <c r="A7799">
        <v>7738</v>
      </c>
      <c r="B7799" s="138">
        <f>'Contracts Paid in CY 29'!G141</f>
        <v>3485000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8" t="s">
        <v>1253</v>
      </c>
      <c r="B2" s="2428"/>
      <c r="C2" s="2428"/>
      <c r="D2" s="2428"/>
      <c r="E2" s="2428"/>
      <c r="F2" s="2428"/>
      <c r="G2" s="2428"/>
      <c r="H2" s="2428"/>
      <c r="I2" s="2428"/>
      <c r="J2" s="2428"/>
      <c r="K2" s="2428"/>
      <c r="L2" s="2428"/>
    </row>
    <row r="3" spans="1:29" ht="13.5" customHeight="1" x14ac:dyDescent="0.2">
      <c r="A3" s="2414" t="s">
        <v>1252</v>
      </c>
      <c r="B3" s="2414"/>
      <c r="C3" s="2414"/>
      <c r="D3" s="2414"/>
      <c r="E3" s="2414"/>
      <c r="F3" s="2414"/>
      <c r="G3" s="2414"/>
      <c r="H3" s="2414"/>
      <c r="I3" s="2414"/>
      <c r="J3" s="2414"/>
      <c r="K3" s="2414"/>
      <c r="L3" s="2414"/>
    </row>
    <row r="4" spans="1:29" ht="13.5" customHeight="1" x14ac:dyDescent="0.2">
      <c r="A4" s="2428" t="s">
        <v>1799</v>
      </c>
      <c r="B4" s="2445"/>
      <c r="C4" s="2445"/>
      <c r="D4" s="2445"/>
      <c r="E4" s="2445"/>
      <c r="F4" s="2445"/>
      <c r="G4" s="2445"/>
      <c r="H4" s="2445"/>
      <c r="I4" s="2445"/>
      <c r="J4" s="2445"/>
      <c r="K4" s="2445"/>
      <c r="L4" s="2445"/>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8" t="str">
        <f>COVER!A17</f>
        <v>Beach Park CCSD 3</v>
      </c>
      <c r="B7" s="2409"/>
      <c r="C7" s="2409"/>
      <c r="D7" s="2446"/>
      <c r="E7" s="2447">
        <f>COVER!A13</f>
        <v>34049003004</v>
      </c>
      <c r="F7" s="2448"/>
      <c r="G7" s="2415" t="str">
        <f>COVER!T23</f>
        <v>060-003973</v>
      </c>
      <c r="H7" s="2416"/>
      <c r="I7" s="2416"/>
      <c r="J7" s="2416"/>
      <c r="K7" s="2416"/>
      <c r="L7" s="2417"/>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8"/>
      <c r="B9" s="2419"/>
      <c r="C9" s="2419"/>
      <c r="D9" s="2419"/>
      <c r="E9" s="2419"/>
      <c r="F9" s="2420"/>
      <c r="G9" s="2421" t="str">
        <f>COVER!T13</f>
        <v>Evans, Marshall and Pease, PC</v>
      </c>
      <c r="H9" s="2422"/>
      <c r="I9" s="2422"/>
      <c r="J9" s="2422"/>
      <c r="K9" s="2422"/>
      <c r="L9" s="2423"/>
    </row>
    <row r="10" spans="1:29" ht="13.5" customHeight="1" x14ac:dyDescent="0.2">
      <c r="A10" s="2405">
        <f>COVER!A38</f>
        <v>0</v>
      </c>
      <c r="B10" s="2406"/>
      <c r="C10" s="2406"/>
      <c r="D10" s="2406"/>
      <c r="E10" s="2406"/>
      <c r="F10" s="2407"/>
      <c r="G10" s="2421" t="str">
        <f>COVER!T17</f>
        <v>1875 Hicks Road</v>
      </c>
      <c r="H10" s="2434"/>
      <c r="I10" s="2434"/>
      <c r="J10" s="2434"/>
      <c r="K10" s="2434"/>
      <c r="L10" s="2435"/>
    </row>
    <row r="11" spans="1:29" ht="13.5" customHeight="1" x14ac:dyDescent="0.2">
      <c r="A11" s="1185" t="s">
        <v>1599</v>
      </c>
      <c r="B11" s="1186"/>
      <c r="C11" s="1187"/>
      <c r="D11" s="1192"/>
      <c r="E11" s="1187"/>
      <c r="F11" s="1191"/>
      <c r="G11" s="2421" t="str">
        <f>COVER!T19</f>
        <v xml:space="preserve">Rolling Meadows </v>
      </c>
      <c r="H11" s="2434"/>
      <c r="I11" s="2434"/>
      <c r="J11" s="2434"/>
      <c r="K11" s="2434"/>
      <c r="L11" s="2435"/>
    </row>
    <row r="12" spans="1:29" ht="13.5" customHeight="1" x14ac:dyDescent="0.2">
      <c r="A12" s="2439" t="s">
        <v>1598</v>
      </c>
      <c r="B12" s="2440"/>
      <c r="C12" s="2440"/>
      <c r="D12" s="2440"/>
      <c r="E12" s="2440"/>
      <c r="F12" s="2441"/>
      <c r="G12" s="2436"/>
      <c r="H12" s="2437"/>
      <c r="I12" s="2437"/>
      <c r="J12" s="2437"/>
      <c r="K12" s="2437"/>
      <c r="L12" s="2438"/>
    </row>
    <row r="13" spans="1:29" ht="13.5" customHeight="1" x14ac:dyDescent="0.2">
      <c r="A13" s="2421"/>
      <c r="B13" s="2434"/>
      <c r="C13" s="2434"/>
      <c r="D13" s="2434"/>
      <c r="E13" s="2434"/>
      <c r="F13" s="2435"/>
      <c r="G13" s="2429" t="s">
        <v>1600</v>
      </c>
      <c r="H13" s="2430"/>
      <c r="I13" s="2442" t="str">
        <f>COVER!T25</f>
        <v>jeff@empcpa.com</v>
      </c>
      <c r="J13" s="2443"/>
      <c r="K13" s="2443"/>
      <c r="L13" s="2444"/>
    </row>
    <row r="14" spans="1:29" ht="13.5" customHeight="1" x14ac:dyDescent="0.2">
      <c r="A14" s="2421" t="str">
        <f>COVER!A19</f>
        <v>11315 W. Wadsworth Road</v>
      </c>
      <c r="B14" s="2434"/>
      <c r="C14" s="2434"/>
      <c r="D14" s="2434"/>
      <c r="E14" s="2434"/>
      <c r="F14" s="2435"/>
      <c r="G14" s="1196" t="s">
        <v>1247</v>
      </c>
      <c r="H14" s="1194"/>
      <c r="I14" s="1194"/>
      <c r="J14" s="1194"/>
      <c r="K14" s="1194"/>
      <c r="L14" s="1195"/>
    </row>
    <row r="15" spans="1:29" ht="13.5" customHeight="1" x14ac:dyDescent="0.2">
      <c r="A15" s="2421" t="str">
        <f>COVER!A21</f>
        <v xml:space="preserve">Beach Park  </v>
      </c>
      <c r="B15" s="2434"/>
      <c r="C15" s="2434"/>
      <c r="D15" s="2434"/>
      <c r="E15" s="2434"/>
      <c r="F15" s="2435"/>
      <c r="G15" s="2431" t="str">
        <f>COVER!T15</f>
        <v>Jeffery M. Rollefson, CPA</v>
      </c>
      <c r="H15" s="2432"/>
      <c r="I15" s="2432"/>
      <c r="J15" s="2432"/>
      <c r="K15" s="2432"/>
      <c r="L15" s="2433"/>
    </row>
    <row r="16" spans="1:29" ht="12.2" customHeight="1" x14ac:dyDescent="0.2">
      <c r="A16" s="2411">
        <f>COVER!A25</f>
        <v>60099</v>
      </c>
      <c r="B16" s="2412"/>
      <c r="C16" s="2412"/>
      <c r="D16" s="2412"/>
      <c r="E16" s="2412"/>
      <c r="F16" s="2413"/>
      <c r="G16" s="2424"/>
      <c r="H16" s="2425"/>
      <c r="I16" s="2425"/>
      <c r="J16" s="2425"/>
      <c r="K16" s="2425"/>
      <c r="L16" s="2426"/>
    </row>
    <row r="17" spans="1:13" ht="12.2" customHeight="1" x14ac:dyDescent="0.2">
      <c r="A17" s="2427"/>
      <c r="B17" s="2412"/>
      <c r="C17" s="2412"/>
      <c r="D17" s="2412"/>
      <c r="E17" s="2412"/>
      <c r="F17" s="2413"/>
      <c r="G17" s="1196" t="s">
        <v>1246</v>
      </c>
      <c r="H17" s="1194"/>
      <c r="I17" s="1194"/>
      <c r="J17" s="1194"/>
      <c r="K17" s="1198" t="s">
        <v>1245</v>
      </c>
      <c r="L17" s="1191"/>
      <c r="M17" s="1184"/>
    </row>
    <row r="18" spans="1:13" ht="12.2" customHeight="1" x14ac:dyDescent="0.2">
      <c r="A18" s="2405"/>
      <c r="B18" s="2406"/>
      <c r="C18" s="2406"/>
      <c r="D18" s="2406"/>
      <c r="E18" s="2406"/>
      <c r="F18" s="2407"/>
      <c r="G18" s="2408" t="str">
        <f>COVER!T21</f>
        <v>847-221-5700</v>
      </c>
      <c r="H18" s="2409"/>
      <c r="I18" s="2409"/>
      <c r="J18" s="2409"/>
      <c r="K18" s="2408" t="str">
        <f>COVER!X21</f>
        <v>847-221-5701</v>
      </c>
      <c r="L18" s="2410"/>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4" sqref="B4"/>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9" t="str">
        <f>'Single Audit Cover'!A7</f>
        <v>Beach Park CCSD 3</v>
      </c>
      <c r="B1" s="2445"/>
      <c r="C1" s="2445"/>
      <c r="D1" s="2445"/>
    </row>
    <row r="2" spans="1:11" s="1215" customFormat="1" ht="12.75" x14ac:dyDescent="0.2">
      <c r="A2" s="2450">
        <f>'Single Audit Cover'!E7</f>
        <v>34049003004</v>
      </c>
      <c r="B2" s="2451"/>
      <c r="C2" s="2451"/>
      <c r="D2" s="2451"/>
    </row>
    <row r="3" spans="1:11" s="1215" customFormat="1" ht="12.75" x14ac:dyDescent="0.2">
      <c r="A3" s="2449" t="s">
        <v>1593</v>
      </c>
      <c r="B3" s="2445"/>
      <c r="C3" s="2445"/>
      <c r="D3" s="2445"/>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3" t="str">
        <f>'Single Audit Cover'!A7</f>
        <v>Beach Park CCSD 3</v>
      </c>
      <c r="B1" s="2453"/>
      <c r="C1" s="2453"/>
      <c r="D1" s="2453"/>
      <c r="E1" s="2453"/>
    </row>
    <row r="2" spans="1:5" x14ac:dyDescent="0.2">
      <c r="A2" s="2454">
        <f>'Single Audit Cover'!E7</f>
        <v>34049003004</v>
      </c>
      <c r="B2" s="2454"/>
      <c r="C2" s="2454"/>
      <c r="D2" s="2454"/>
      <c r="E2" s="2454"/>
    </row>
    <row r="3" spans="1:5" ht="4.5" customHeight="1" x14ac:dyDescent="0.2"/>
    <row r="4" spans="1:5" x14ac:dyDescent="0.2">
      <c r="A4" s="2453" t="s">
        <v>1307</v>
      </c>
      <c r="B4" s="2453"/>
      <c r="C4" s="2453"/>
      <c r="D4" s="2453"/>
      <c r="E4" s="2453"/>
    </row>
    <row r="5" spans="1:5" x14ac:dyDescent="0.2">
      <c r="A5" s="2456" t="str">
        <f>'Single Audit Cover'!A4</f>
        <v>Year Ending June 30, 2018</v>
      </c>
      <c r="B5" s="2456"/>
      <c r="C5" s="2456"/>
      <c r="D5" s="2456"/>
      <c r="E5" s="2456"/>
    </row>
    <row r="6" spans="1:5" x14ac:dyDescent="0.2">
      <c r="A6" s="2453" t="s">
        <v>1306</v>
      </c>
      <c r="B6" s="2453"/>
      <c r="C6" s="2453"/>
      <c r="D6" s="2453"/>
      <c r="E6" s="2453"/>
    </row>
    <row r="8" spans="1:5" x14ac:dyDescent="0.2">
      <c r="A8" s="1260" t="s">
        <v>1305</v>
      </c>
    </row>
    <row r="10" spans="1:5" x14ac:dyDescent="0.2">
      <c r="A10" s="1261" t="s">
        <v>1304</v>
      </c>
      <c r="B10" s="1262" t="s">
        <v>1303</v>
      </c>
      <c r="C10" s="1262"/>
      <c r="D10" s="1263">
        <f>SUM('Acct Summary 7-8'!C7:K7)</f>
        <v>2767831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99495</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-345603</v>
      </c>
    </row>
    <row r="19" spans="1:4" ht="13.5" thickBot="1" x14ac:dyDescent="0.25">
      <c r="A19" s="1265" t="s">
        <v>1297</v>
      </c>
      <c r="D19" s="1266">
        <f>SUM(D10:D17)</f>
        <v>2521723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5"/>
      <c r="B24" s="2455"/>
      <c r="D24" s="1268"/>
    </row>
    <row r="25" spans="1:4" x14ac:dyDescent="0.2">
      <c r="A25" s="2452"/>
      <c r="B25" s="2452"/>
      <c r="D25" s="1268"/>
    </row>
    <row r="26" spans="1:4" x14ac:dyDescent="0.2">
      <c r="A26" s="2452"/>
      <c r="B26" s="2452"/>
      <c r="D26" s="1268"/>
    </row>
    <row r="27" spans="1:4" x14ac:dyDescent="0.2">
      <c r="A27" s="2452"/>
      <c r="B27" s="2452"/>
      <c r="D27" s="1268"/>
    </row>
    <row r="28" spans="1:4" x14ac:dyDescent="0.2">
      <c r="A28" s="2452"/>
      <c r="B28" s="2452"/>
      <c r="D28" s="1268"/>
    </row>
    <row r="29" spans="1:4" x14ac:dyDescent="0.2">
      <c r="A29" s="2452"/>
      <c r="B29" s="2452"/>
      <c r="D29" s="1268"/>
    </row>
    <row r="30" spans="1:4" x14ac:dyDescent="0.2">
      <c r="A30" s="2452"/>
      <c r="B30" s="2452"/>
      <c r="D30" s="1268"/>
    </row>
    <row r="32" spans="1:4" x14ac:dyDescent="0.2">
      <c r="A32" s="1260" t="s">
        <v>1295</v>
      </c>
      <c r="D32" s="1263">
        <f>SUM(D19:D30)</f>
        <v>2521723</v>
      </c>
    </row>
    <row r="33" spans="1:4" x14ac:dyDescent="0.2">
      <c r="D33" s="1269"/>
    </row>
    <row r="34" spans="1:4" x14ac:dyDescent="0.2">
      <c r="A34" s="317" t="s">
        <v>1294</v>
      </c>
    </row>
    <row r="35" spans="1:4" x14ac:dyDescent="0.2">
      <c r="A35" s="317" t="s">
        <v>1293</v>
      </c>
      <c r="B35" s="1258" t="s">
        <v>1292</v>
      </c>
      <c r="D35" s="1270">
        <v>2521723</v>
      </c>
    </row>
    <row r="37" spans="1:4" x14ac:dyDescent="0.2">
      <c r="A37" s="1260" t="s">
        <v>1291</v>
      </c>
    </row>
    <row r="39" spans="1:4" ht="13.35" customHeight="1" x14ac:dyDescent="0.2">
      <c r="A39" s="1267" t="s">
        <v>1290</v>
      </c>
    </row>
    <row r="40" spans="1:4" x14ac:dyDescent="0.2">
      <c r="A40" s="2452"/>
      <c r="B40" s="2452"/>
      <c r="D40" s="1268"/>
    </row>
    <row r="41" spans="1:4" x14ac:dyDescent="0.2">
      <c r="A41" s="2452"/>
      <c r="B41" s="2452"/>
      <c r="D41" s="1271"/>
    </row>
    <row r="42" spans="1:4" x14ac:dyDescent="0.2">
      <c r="A42" s="2452"/>
      <c r="B42" s="2452"/>
      <c r="D42" s="1271"/>
    </row>
    <row r="43" spans="1:4" x14ac:dyDescent="0.2">
      <c r="A43" s="2452"/>
      <c r="B43" s="2452"/>
      <c r="D43" s="1271"/>
    </row>
    <row r="44" spans="1:4" x14ac:dyDescent="0.2">
      <c r="A44" s="2452"/>
      <c r="B44" s="2452"/>
      <c r="D44" s="1271"/>
    </row>
    <row r="45" spans="1:4" x14ac:dyDescent="0.2">
      <c r="A45" s="2452"/>
      <c r="B45" s="2452"/>
      <c r="D45" s="1271"/>
    </row>
    <row r="47" spans="1:4" x14ac:dyDescent="0.2">
      <c r="B47" s="1272" t="s">
        <v>1289</v>
      </c>
      <c r="C47" s="1272"/>
      <c r="D47" s="1273">
        <f>SUM(D35:D45)</f>
        <v>2521723</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 zoomScale="120" zoomScaleNormal="120" workbookViewId="0">
      <selection activeCell="C22" sqref="C22"/>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Beach Park CCSD 3</v>
      </c>
      <c r="B1" s="2458"/>
      <c r="C1" s="2458"/>
      <c r="D1" s="2458"/>
      <c r="E1" s="2458"/>
      <c r="F1" s="2458"/>
    </row>
    <row r="2" spans="1:7" ht="13.5" customHeight="1" x14ac:dyDescent="0.2">
      <c r="A2" s="2459">
        <f>'Single Audit Cover'!E7</f>
        <v>34049003004</v>
      </c>
      <c r="B2" s="2459"/>
      <c r="C2" s="2459"/>
      <c r="D2" s="2459"/>
      <c r="E2" s="2459"/>
      <c r="F2" s="2459"/>
      <c r="G2" s="1275"/>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6" t="s">
        <v>1831</v>
      </c>
      <c r="C6" s="317"/>
      <c r="D6" s="317"/>
    </row>
    <row r="7" spans="1:7" ht="60.95" customHeight="1" x14ac:dyDescent="0.2">
      <c r="A7" s="2457" t="s">
        <v>2089</v>
      </c>
      <c r="B7" s="2457"/>
      <c r="C7" s="2457"/>
      <c r="D7" s="2457"/>
      <c r="E7" s="2457"/>
      <c r="F7" s="2457"/>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2076</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7" t="s">
        <v>1833</v>
      </c>
      <c r="B13" s="2457"/>
      <c r="C13" s="2457"/>
      <c r="D13" s="2457"/>
      <c r="E13" s="2457"/>
      <c r="F13" s="2457"/>
    </row>
    <row r="14" spans="1:7" ht="9.75" customHeight="1" x14ac:dyDescent="0.2">
      <c r="C14" s="1260"/>
      <c r="D14" s="1260"/>
    </row>
    <row r="15" spans="1:7" ht="13.5" customHeight="1" x14ac:dyDescent="0.2">
      <c r="C15" s="1871" t="s">
        <v>1332</v>
      </c>
      <c r="D15" s="2463" t="s">
        <v>1331</v>
      </c>
      <c r="E15" s="2463"/>
      <c r="F15" s="2463"/>
    </row>
    <row r="16" spans="1:7" ht="13.5" customHeight="1" x14ac:dyDescent="0.2">
      <c r="A16" s="1282"/>
      <c r="B16" s="1276" t="s">
        <v>1330</v>
      </c>
      <c r="C16" s="1871" t="s">
        <v>1329</v>
      </c>
      <c r="D16" s="2464" t="s">
        <v>1670</v>
      </c>
      <c r="E16" s="2464"/>
      <c r="F16" s="2464"/>
    </row>
    <row r="17" spans="1:6" ht="20.45" customHeight="1" x14ac:dyDescent="0.2">
      <c r="A17" s="1283"/>
      <c r="B17" s="1284" t="s">
        <v>2090</v>
      </c>
      <c r="C17" s="1285"/>
      <c r="D17" s="2462"/>
      <c r="E17" s="2462"/>
      <c r="F17" s="2462"/>
    </row>
    <row r="18" spans="1:6" ht="20.65" customHeight="1" x14ac:dyDescent="0.2">
      <c r="A18" s="1283"/>
      <c r="B18" s="1284"/>
      <c r="C18" s="1285"/>
      <c r="D18" s="2462"/>
      <c r="E18" s="2462"/>
      <c r="F18" s="2462"/>
    </row>
    <row r="19" spans="1:6" ht="20.65" customHeight="1" x14ac:dyDescent="0.2">
      <c r="A19" s="1283"/>
      <c r="B19" s="1284"/>
      <c r="C19" s="1285"/>
      <c r="D19" s="2462"/>
      <c r="E19" s="2462"/>
      <c r="F19" s="2462"/>
    </row>
    <row r="20" spans="1:6" ht="20.65" customHeight="1" x14ac:dyDescent="0.2">
      <c r="A20" s="1283"/>
      <c r="B20" s="1284"/>
      <c r="C20" s="1285"/>
      <c r="D20" s="2462"/>
      <c r="E20" s="2462"/>
      <c r="F20" s="2462"/>
    </row>
    <row r="21" spans="1:6" ht="20.65" customHeight="1" x14ac:dyDescent="0.2">
      <c r="A21" s="1283"/>
      <c r="B21" s="1284"/>
      <c r="C21" s="1285"/>
      <c r="D21" s="2462"/>
      <c r="E21" s="2462"/>
      <c r="F21" s="2462"/>
    </row>
    <row r="22" spans="1:6" ht="20.65" customHeight="1" x14ac:dyDescent="0.2">
      <c r="A22" s="1283"/>
      <c r="B22" s="1284"/>
      <c r="C22" s="1285"/>
      <c r="D22" s="2462"/>
      <c r="E22" s="2462"/>
      <c r="F22" s="2462"/>
    </row>
    <row r="23" spans="1:6" ht="20.65" customHeight="1" x14ac:dyDescent="0.2">
      <c r="A23" s="1283"/>
      <c r="B23" s="1284"/>
      <c r="C23" s="1285"/>
      <c r="D23" s="2462"/>
      <c r="E23" s="2462"/>
      <c r="F23" s="2462"/>
    </row>
    <row r="24" spans="1:6" ht="20.65" customHeight="1" x14ac:dyDescent="0.2">
      <c r="A24" s="1283"/>
      <c r="B24" s="1284"/>
      <c r="C24" s="1285"/>
      <c r="D24" s="2462"/>
      <c r="E24" s="2462"/>
      <c r="F24" s="2462"/>
    </row>
    <row r="25" spans="1:6" ht="20.65" customHeight="1" x14ac:dyDescent="0.2">
      <c r="A25" s="1283"/>
      <c r="B25" s="1284"/>
      <c r="C25" s="1285"/>
      <c r="D25" s="2462"/>
      <c r="E25" s="2462"/>
      <c r="F25" s="2462"/>
    </row>
    <row r="26" spans="1:6" ht="20.65" customHeight="1" x14ac:dyDescent="0.2">
      <c r="A26" s="1283"/>
      <c r="B26" s="1284"/>
      <c r="C26" s="1285"/>
      <c r="D26" s="2462"/>
      <c r="E26" s="2462"/>
      <c r="F26" s="2462"/>
    </row>
    <row r="27" spans="1:6" ht="20.65" customHeight="1" x14ac:dyDescent="0.2">
      <c r="A27" s="1283"/>
      <c r="B27" s="1284"/>
      <c r="C27" s="1285"/>
      <c r="D27" s="2462"/>
      <c r="E27" s="2462"/>
      <c r="F27" s="2462"/>
    </row>
    <row r="28" spans="1:6" ht="20.65" customHeight="1" x14ac:dyDescent="0.2">
      <c r="A28" s="1283"/>
      <c r="B28" s="1284"/>
      <c r="C28" s="1285"/>
      <c r="D28" s="2462"/>
      <c r="E28" s="2462"/>
      <c r="F28" s="2462"/>
    </row>
    <row r="29" spans="1:6" ht="20.65" customHeight="1" x14ac:dyDescent="0.2">
      <c r="A29" s="1283"/>
      <c r="B29" s="1284"/>
      <c r="C29" s="1285"/>
      <c r="D29" s="2462"/>
      <c r="E29" s="2462"/>
      <c r="F29" s="246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6" t="s">
        <v>1834</v>
      </c>
      <c r="B32" s="2466"/>
      <c r="C32" s="2466"/>
      <c r="D32" s="2466"/>
      <c r="E32" s="2466"/>
      <c r="F32" s="2466"/>
    </row>
    <row r="33" spans="1:6" ht="13.5" customHeight="1" x14ac:dyDescent="0.2">
      <c r="A33" s="328" t="s">
        <v>1509</v>
      </c>
      <c r="B33" s="328"/>
      <c r="C33" s="1288">
        <v>99495</v>
      </c>
      <c r="D33" s="1928"/>
      <c r="E33" s="1286"/>
    </row>
    <row r="34" spans="1:6" ht="13.5" customHeight="1" x14ac:dyDescent="0.2">
      <c r="A34" s="328" t="s">
        <v>1948</v>
      </c>
      <c r="B34" s="328"/>
      <c r="C34" s="1289">
        <v>0</v>
      </c>
      <c r="D34" s="1928" t="s">
        <v>1671</v>
      </c>
      <c r="E34" s="2467">
        <f>+C33+C34</f>
        <v>99495</v>
      </c>
      <c r="F34" s="2468"/>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v>0</v>
      </c>
      <c r="D38" s="1928"/>
      <c r="E38" s="1286"/>
    </row>
    <row r="39" spans="1:6" ht="14.25" customHeight="1" x14ac:dyDescent="0.2">
      <c r="A39" s="328"/>
      <c r="B39" s="328" t="s">
        <v>1511</v>
      </c>
      <c r="C39" s="1292">
        <v>0</v>
      </c>
      <c r="D39" s="1928"/>
      <c r="E39" s="1286"/>
    </row>
    <row r="40" spans="1:6" ht="14.25" customHeight="1" x14ac:dyDescent="0.2">
      <c r="A40" s="328"/>
      <c r="B40" s="328" t="s">
        <v>1512</v>
      </c>
      <c r="C40" s="1292">
        <v>0</v>
      </c>
      <c r="D40" s="1928"/>
      <c r="E40" s="1286"/>
    </row>
    <row r="41" spans="1:6" ht="14.25" customHeight="1" x14ac:dyDescent="0.2">
      <c r="A41" s="328"/>
      <c r="B41" s="328" t="s">
        <v>1513</v>
      </c>
      <c r="C41" s="1292">
        <v>0</v>
      </c>
      <c r="D41" s="1928"/>
      <c r="E41" s="1286"/>
    </row>
    <row r="42" spans="1:6" ht="14.25" customHeight="1" x14ac:dyDescent="0.2">
      <c r="A42" s="328" t="s">
        <v>1514</v>
      </c>
      <c r="B42" s="328"/>
      <c r="C42" s="1926">
        <v>0</v>
      </c>
      <c r="D42" s="1928"/>
      <c r="E42" s="1286"/>
    </row>
    <row r="43" spans="1:6" ht="14.25" customHeight="1" x14ac:dyDescent="0.2">
      <c r="A43" s="328" t="s">
        <v>1515</v>
      </c>
      <c r="B43" s="328"/>
      <c r="C43" s="1293" t="s">
        <v>2091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9" t="s">
        <v>1672</v>
      </c>
      <c r="C49" s="2469"/>
      <c r="D49" s="2469"/>
      <c r="E49" s="1399"/>
    </row>
    <row r="50" spans="1:5" s="1300" customFormat="1" ht="3.75" customHeight="1" x14ac:dyDescent="0.2">
      <c r="A50" s="1299"/>
      <c r="B50" s="1870"/>
      <c r="C50" s="1870"/>
      <c r="D50" s="1870"/>
      <c r="E50" s="1399"/>
    </row>
    <row r="51" spans="1:5" s="1300" customFormat="1" ht="20.25" customHeight="1" x14ac:dyDescent="0.2">
      <c r="A51" s="1301">
        <v>6</v>
      </c>
      <c r="B51" s="2465" t="s">
        <v>1632</v>
      </c>
      <c r="C51" s="2465"/>
      <c r="D51" s="2465"/>
    </row>
    <row r="52" spans="1:5" ht="14.25" customHeight="1" x14ac:dyDescent="0.2">
      <c r="A52" s="1301"/>
      <c r="B52" s="2465"/>
      <c r="C52" s="2465"/>
      <c r="D52" s="246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K19" sqref="K1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4" t="str">
        <f>'Single Audit Cover'!A7</f>
        <v>Beach Park CCSD 3</v>
      </c>
      <c r="C1" s="2470"/>
      <c r="D1" s="2470"/>
      <c r="E1" s="2470"/>
      <c r="F1" s="2470"/>
      <c r="G1" s="2470"/>
      <c r="H1" s="2470"/>
      <c r="I1" s="2470"/>
      <c r="J1" s="2470"/>
      <c r="K1" s="2470"/>
      <c r="L1" s="2470"/>
      <c r="M1" s="2470"/>
    </row>
    <row r="2" spans="2:14" ht="15" x14ac:dyDescent="0.2">
      <c r="B2" s="2459">
        <f>'Single Audit Cover'!E7</f>
        <v>34049003004</v>
      </c>
      <c r="C2" s="2459"/>
      <c r="D2" s="2459"/>
      <c r="E2" s="2459"/>
      <c r="F2" s="2459"/>
      <c r="G2" s="2459"/>
      <c r="H2" s="2459"/>
      <c r="I2" s="2459"/>
      <c r="J2" s="2459"/>
      <c r="K2" s="2459"/>
      <c r="L2" s="2459"/>
      <c r="M2" s="2459"/>
      <c r="N2" s="1302"/>
    </row>
    <row r="3" spans="2:14" ht="15" x14ac:dyDescent="0.2">
      <c r="B3" s="2471" t="s">
        <v>1281</v>
      </c>
      <c r="C3" s="2471"/>
      <c r="D3" s="2471"/>
      <c r="E3" s="2471"/>
      <c r="F3" s="2471"/>
      <c r="G3" s="2471"/>
      <c r="H3" s="2471"/>
      <c r="I3" s="2471"/>
      <c r="J3" s="2471"/>
      <c r="K3" s="2471"/>
      <c r="L3" s="2471"/>
      <c r="M3" s="2471"/>
      <c r="N3" s="1302"/>
    </row>
    <row r="4" spans="2:14" ht="15" x14ac:dyDescent="0.2">
      <c r="B4" s="2472" t="str">
        <f>'Single Audit Cover'!A4</f>
        <v>Year Ending June 30, 2018</v>
      </c>
      <c r="C4" s="2472"/>
      <c r="D4" s="2472"/>
      <c r="E4" s="2472"/>
      <c r="F4" s="2472"/>
      <c r="G4" s="2472"/>
      <c r="H4" s="2472"/>
      <c r="I4" s="2472"/>
      <c r="J4" s="2472"/>
      <c r="K4" s="2472"/>
      <c r="L4" s="2472"/>
      <c r="M4" s="2472"/>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1837</v>
      </c>
      <c r="D9" s="1314" t="s">
        <v>1838</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6" t="s">
        <v>2092</v>
      </c>
      <c r="C11" s="1338"/>
      <c r="D11" s="1339"/>
      <c r="E11" s="1340"/>
      <c r="F11" s="1340"/>
      <c r="G11" s="1340"/>
      <c r="H11" s="1340"/>
      <c r="I11" s="1340"/>
      <c r="J11" s="1340"/>
      <c r="K11" s="1340"/>
      <c r="L11" s="1340"/>
      <c r="M11" s="1340"/>
    </row>
    <row r="12" spans="2:14" ht="20.100000000000001" customHeight="1" x14ac:dyDescent="0.2">
      <c r="B12" s="1957" t="s">
        <v>2093</v>
      </c>
      <c r="C12" s="1341"/>
      <c r="D12" s="1342"/>
      <c r="E12" s="1343"/>
      <c r="F12" s="1343"/>
      <c r="G12" s="1343"/>
      <c r="H12" s="1343"/>
      <c r="I12" s="1343"/>
      <c r="J12" s="1343"/>
      <c r="K12" s="1343"/>
      <c r="L12" s="1340"/>
      <c r="M12" s="1343"/>
    </row>
    <row r="13" spans="2:14" ht="20.100000000000001" customHeight="1" x14ac:dyDescent="0.2">
      <c r="B13" s="1337" t="s">
        <v>2094</v>
      </c>
      <c r="C13" s="1341">
        <v>84.01</v>
      </c>
      <c r="D13" s="1342" t="s">
        <v>2095</v>
      </c>
      <c r="E13" s="1343"/>
      <c r="F13" s="1343">
        <v>431848</v>
      </c>
      <c r="G13" s="1343">
        <v>431848</v>
      </c>
      <c r="H13" s="1343"/>
      <c r="I13" s="1343"/>
      <c r="J13" s="1343"/>
      <c r="K13" s="1343"/>
      <c r="L13" s="1340">
        <f t="shared" ref="L13:L22" si="0">+G13+I13+K13</f>
        <v>431848</v>
      </c>
      <c r="M13" s="1343">
        <v>431848</v>
      </c>
    </row>
    <row r="14" spans="2:14" ht="20.100000000000001" customHeight="1" x14ac:dyDescent="0.2">
      <c r="B14" s="1337" t="s">
        <v>2094</v>
      </c>
      <c r="C14" s="1341">
        <v>84.01</v>
      </c>
      <c r="D14" s="1342" t="s">
        <v>2096</v>
      </c>
      <c r="E14" s="1343"/>
      <c r="F14" s="1343">
        <v>323158</v>
      </c>
      <c r="G14" s="1343"/>
      <c r="H14" s="1343"/>
      <c r="I14" s="1343">
        <v>364978</v>
      </c>
      <c r="J14" s="1343"/>
      <c r="K14" s="1343"/>
      <c r="L14" s="1340">
        <f t="shared" si="0"/>
        <v>364978</v>
      </c>
      <c r="M14" s="1343">
        <v>387908</v>
      </c>
    </row>
    <row r="15" spans="2:14" ht="20.100000000000001" customHeight="1" x14ac:dyDescent="0.2">
      <c r="B15" s="1337" t="s">
        <v>2098</v>
      </c>
      <c r="C15" s="1341">
        <v>84.367000000000004</v>
      </c>
      <c r="D15" s="1342" t="s">
        <v>2099</v>
      </c>
      <c r="E15" s="1343"/>
      <c r="F15" s="1343">
        <v>43057</v>
      </c>
      <c r="G15" s="1343">
        <v>43057</v>
      </c>
      <c r="H15" s="1343"/>
      <c r="I15" s="1343"/>
      <c r="J15" s="1343"/>
      <c r="K15" s="1343"/>
      <c r="L15" s="1340">
        <f t="shared" si="0"/>
        <v>43057</v>
      </c>
      <c r="M15" s="1343">
        <v>43057</v>
      </c>
    </row>
    <row r="16" spans="2:14" ht="20.100000000000001" customHeight="1" x14ac:dyDescent="0.2">
      <c r="B16" s="1337" t="s">
        <v>2098</v>
      </c>
      <c r="C16" s="1341">
        <v>84.367000000000004</v>
      </c>
      <c r="D16" s="1342" t="s">
        <v>2100</v>
      </c>
      <c r="E16" s="1343"/>
      <c r="F16" s="1343">
        <v>47232</v>
      </c>
      <c r="G16" s="1343"/>
      <c r="H16" s="1343"/>
      <c r="I16" s="1343">
        <v>64098</v>
      </c>
      <c r="J16" s="1343"/>
      <c r="K16" s="1343"/>
      <c r="L16" s="1340">
        <f t="shared" si="0"/>
        <v>64098</v>
      </c>
      <c r="M16" s="1343">
        <v>81166</v>
      </c>
    </row>
    <row r="17" spans="2:14" ht="20.100000000000001" customHeight="1" x14ac:dyDescent="0.2">
      <c r="B17" s="1337" t="s">
        <v>2101</v>
      </c>
      <c r="C17" s="1341">
        <v>84.364999999999995</v>
      </c>
      <c r="D17" s="1342" t="s">
        <v>2102</v>
      </c>
      <c r="E17" s="1343"/>
      <c r="F17" s="1343">
        <v>47510</v>
      </c>
      <c r="G17" s="1343">
        <v>47510</v>
      </c>
      <c r="H17" s="1343"/>
      <c r="I17" s="1343"/>
      <c r="J17" s="1343"/>
      <c r="K17" s="1343"/>
      <c r="L17" s="1340">
        <f t="shared" si="0"/>
        <v>47510</v>
      </c>
      <c r="M17" s="1343">
        <v>49474</v>
      </c>
    </row>
    <row r="18" spans="2:14" ht="20.100000000000001" customHeight="1" x14ac:dyDescent="0.2">
      <c r="B18" s="1337" t="s">
        <v>2101</v>
      </c>
      <c r="C18" s="1341">
        <v>84.364999999999995</v>
      </c>
      <c r="D18" s="1342" t="s">
        <v>2103</v>
      </c>
      <c r="E18" s="1343"/>
      <c r="F18" s="1343">
        <v>22180</v>
      </c>
      <c r="G18" s="1343"/>
      <c r="H18" s="1343"/>
      <c r="I18" s="1343">
        <v>19987</v>
      </c>
      <c r="J18" s="1343"/>
      <c r="K18" s="1343"/>
      <c r="L18" s="1340" t="s">
        <v>2097</v>
      </c>
      <c r="M18" s="1343">
        <v>41502</v>
      </c>
    </row>
    <row r="19" spans="2:14" ht="20.100000000000001" customHeight="1" x14ac:dyDescent="0.2">
      <c r="B19" s="1337" t="s">
        <v>2104</v>
      </c>
      <c r="C19" s="1341">
        <v>84.364999999999995</v>
      </c>
      <c r="D19" s="1342" t="s">
        <v>2105</v>
      </c>
      <c r="E19" s="1343"/>
      <c r="F19" s="1343">
        <v>1718</v>
      </c>
      <c r="G19" s="1343">
        <v>1718</v>
      </c>
      <c r="H19" s="1343"/>
      <c r="I19" s="1343"/>
      <c r="J19" s="1343"/>
      <c r="K19" s="1343"/>
      <c r="L19" s="1340">
        <f t="shared" si="0"/>
        <v>1718</v>
      </c>
      <c r="M19" s="1343">
        <v>1718</v>
      </c>
    </row>
    <row r="20" spans="2:14" ht="20.100000000000001" customHeight="1" x14ac:dyDescent="0.2">
      <c r="B20" s="1337" t="s">
        <v>2104</v>
      </c>
      <c r="C20" s="1341">
        <v>84.364999999999995</v>
      </c>
      <c r="D20" s="1342" t="s">
        <v>2106</v>
      </c>
      <c r="E20" s="1343"/>
      <c r="F20" s="1343">
        <v>1618</v>
      </c>
      <c r="G20" s="1343"/>
      <c r="H20" s="1343"/>
      <c r="I20" s="1343">
        <v>1685</v>
      </c>
      <c r="J20" s="1343"/>
      <c r="K20" s="1343"/>
      <c r="L20" s="1340" t="s">
        <v>2097</v>
      </c>
      <c r="M20" s="1343">
        <v>1908</v>
      </c>
    </row>
    <row r="21" spans="2:14" ht="20.100000000000001" customHeight="1" x14ac:dyDescent="0.2">
      <c r="B21" s="1337" t="s">
        <v>2107</v>
      </c>
      <c r="C21" s="1341">
        <v>84.027000000000001</v>
      </c>
      <c r="D21" s="1342" t="s">
        <v>2108</v>
      </c>
      <c r="E21" s="1343"/>
      <c r="F21" s="1343">
        <v>17022</v>
      </c>
      <c r="G21" s="1343"/>
      <c r="H21" s="1343"/>
      <c r="I21" s="1343">
        <v>17022</v>
      </c>
      <c r="J21" s="1343"/>
      <c r="K21" s="1343"/>
      <c r="L21" s="1340">
        <f t="shared" si="0"/>
        <v>17022</v>
      </c>
      <c r="M21" s="1343" t="s">
        <v>2109</v>
      </c>
    </row>
    <row r="22" spans="2:14" ht="20.100000000000001" customHeight="1" x14ac:dyDescent="0.2">
      <c r="B22" s="1337" t="s">
        <v>2121</v>
      </c>
      <c r="C22" s="1341">
        <v>84.424000000000007</v>
      </c>
      <c r="D22" s="1342" t="s">
        <v>2122</v>
      </c>
      <c r="E22" s="1343"/>
      <c r="F22" s="1343">
        <v>15072</v>
      </c>
      <c r="G22" s="1343"/>
      <c r="H22" s="1343"/>
      <c r="I22" s="1343">
        <v>15072</v>
      </c>
      <c r="J22" s="1343"/>
      <c r="K22" s="1343"/>
      <c r="L22" s="1340">
        <f t="shared" si="0"/>
        <v>15072</v>
      </c>
      <c r="M22" s="1343">
        <v>15877</v>
      </c>
    </row>
    <row r="23" spans="2:14" ht="20.100000000000001" customHeight="1" x14ac:dyDescent="0.2">
      <c r="B23" s="1957" t="s">
        <v>2110</v>
      </c>
      <c r="C23" s="1341"/>
      <c r="D23" s="1342"/>
      <c r="E23" s="1343"/>
      <c r="F23" s="1343"/>
      <c r="G23" s="1343"/>
      <c r="H23" s="1343"/>
      <c r="I23" s="1343"/>
      <c r="J23" s="1343"/>
      <c r="K23" s="1343"/>
      <c r="L23" s="1340"/>
      <c r="M23" s="1343"/>
    </row>
    <row r="24" spans="2:14" ht="20.100000000000001" customHeight="1" x14ac:dyDescent="0.2">
      <c r="B24" s="1337" t="s">
        <v>2111</v>
      </c>
      <c r="C24" s="1341">
        <v>84.173000000000002</v>
      </c>
      <c r="D24" s="1342" t="s">
        <v>2112</v>
      </c>
      <c r="E24" s="1343">
        <v>19667</v>
      </c>
      <c r="F24" s="1343"/>
      <c r="G24" s="1343">
        <v>19667</v>
      </c>
      <c r="H24" s="1343"/>
      <c r="I24" s="1343"/>
      <c r="J24" s="1343"/>
      <c r="K24" s="1343"/>
      <c r="L24" s="1340">
        <f t="shared" ref="L24" si="1">+G24+I24+K24</f>
        <v>19667</v>
      </c>
      <c r="M24" s="1343" t="s">
        <v>2109</v>
      </c>
    </row>
    <row r="25" spans="2:14" ht="20.100000000000001" customHeight="1" x14ac:dyDescent="0.2">
      <c r="B25" s="1337" t="s">
        <v>2111</v>
      </c>
      <c r="C25" s="1341">
        <v>84.173000000000002</v>
      </c>
      <c r="D25" s="1342" t="s">
        <v>2113</v>
      </c>
      <c r="E25" s="1343"/>
      <c r="F25" s="1343">
        <v>17245</v>
      </c>
      <c r="G25" s="1343"/>
      <c r="H25" s="1343"/>
      <c r="I25" s="1343">
        <v>17245</v>
      </c>
      <c r="J25" s="1343"/>
      <c r="K25" s="1343"/>
      <c r="L25" s="1340">
        <f t="shared" ref="L25" si="2">+G25+I25+K25</f>
        <v>17245</v>
      </c>
      <c r="M25" s="1343" t="s">
        <v>2109</v>
      </c>
    </row>
    <row r="26" spans="2:14" ht="20.100000000000001" customHeight="1" x14ac:dyDescent="0.2">
      <c r="B26" s="1337" t="s">
        <v>2114</v>
      </c>
      <c r="C26" s="1341">
        <v>84.027000000000001</v>
      </c>
      <c r="D26" s="1342" t="s">
        <v>2115</v>
      </c>
      <c r="E26" s="1343">
        <v>327856</v>
      </c>
      <c r="F26" s="1343"/>
      <c r="G26" s="1343">
        <v>327856</v>
      </c>
      <c r="H26" s="1343"/>
      <c r="I26" s="1343"/>
      <c r="J26" s="1343"/>
      <c r="K26" s="1343"/>
      <c r="L26" s="1340">
        <f t="shared" ref="L26" si="3">+G26+I26+K26</f>
        <v>327856</v>
      </c>
      <c r="M26" s="1343" t="s">
        <v>2109</v>
      </c>
    </row>
    <row r="27" spans="2:14" ht="20.100000000000001" customHeight="1" x14ac:dyDescent="0.2">
      <c r="B27" s="1337" t="s">
        <v>2114</v>
      </c>
      <c r="C27" s="1341">
        <v>84.027000000000001</v>
      </c>
      <c r="D27" s="1342" t="s">
        <v>2116</v>
      </c>
      <c r="E27" s="1343"/>
      <c r="F27" s="1343">
        <v>318203</v>
      </c>
      <c r="G27" s="1343"/>
      <c r="H27" s="1343"/>
      <c r="I27" s="1343">
        <v>318203</v>
      </c>
      <c r="J27" s="1343"/>
      <c r="K27" s="1343"/>
      <c r="L27" s="1340">
        <f t="shared" ref="L27" si="4">+G27+I27+K27</f>
        <v>318203</v>
      </c>
      <c r="M27" s="1343" t="s">
        <v>2109</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3:L14 L21:L27 L15:L20"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X26" sqref="X2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1230</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2" t="s">
        <v>1731</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2" t="s">
        <v>331</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2076</v>
      </c>
      <c r="C53" s="179">
        <v>22</v>
      </c>
      <c r="D53" s="247" t="s">
        <v>1537</v>
      </c>
      <c r="E53" s="248"/>
      <c r="F53" s="249"/>
      <c r="G53" s="249" t="s">
        <v>1536</v>
      </c>
      <c r="H53" s="250">
        <v>33512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1390</v>
      </c>
      <c r="B70" s="2095"/>
      <c r="C70" s="2095"/>
      <c r="D70" s="2095"/>
      <c r="E70" s="2096"/>
      <c r="F70" s="2096"/>
      <c r="G70" s="2096"/>
      <c r="H70" s="2096"/>
      <c r="I70" s="209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1387</v>
      </c>
      <c r="B83" s="2097"/>
      <c r="C83" s="2097"/>
      <c r="D83" s="209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9"/>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2080</v>
      </c>
      <c r="D114" s="208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1397</v>
      </c>
      <c r="D117" s="2090"/>
      <c r="E117" s="2091"/>
      <c r="F117" s="2091"/>
      <c r="G117" s="2091"/>
      <c r="H117" s="2091"/>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H14" sqref="H14"/>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4" t="str">
        <f>'Single Audit Cover'!A7</f>
        <v>Beach Park CCSD 3</v>
      </c>
      <c r="C1" s="2470"/>
      <c r="D1" s="2470"/>
      <c r="E1" s="2470"/>
      <c r="F1" s="2470"/>
      <c r="G1" s="2470"/>
      <c r="H1" s="2470"/>
      <c r="I1" s="2470"/>
      <c r="J1" s="2470"/>
      <c r="K1" s="2470"/>
      <c r="L1" s="2470"/>
      <c r="M1" s="2470"/>
    </row>
    <row r="2" spans="2:14" ht="15" x14ac:dyDescent="0.2">
      <c r="B2" s="2459">
        <f>'Single Audit Cover'!E7</f>
        <v>34049003004</v>
      </c>
      <c r="C2" s="2459"/>
      <c r="D2" s="2459"/>
      <c r="E2" s="2459"/>
      <c r="F2" s="2459"/>
      <c r="G2" s="2459"/>
      <c r="H2" s="2459"/>
      <c r="I2" s="2459"/>
      <c r="J2" s="2459"/>
      <c r="K2" s="2459"/>
      <c r="L2" s="2459"/>
      <c r="M2" s="2459"/>
      <c r="N2" s="1302"/>
    </row>
    <row r="3" spans="2:14" ht="15" x14ac:dyDescent="0.2">
      <c r="B3" s="2471" t="s">
        <v>1281</v>
      </c>
      <c r="C3" s="2471"/>
      <c r="D3" s="2471"/>
      <c r="E3" s="2471"/>
      <c r="F3" s="2471"/>
      <c r="G3" s="2471"/>
      <c r="H3" s="2471"/>
      <c r="I3" s="2471"/>
      <c r="J3" s="2471"/>
      <c r="K3" s="2471"/>
      <c r="L3" s="2471"/>
      <c r="M3" s="2471"/>
      <c r="N3" s="1302"/>
    </row>
    <row r="4" spans="2:14" ht="15" x14ac:dyDescent="0.2">
      <c r="B4" s="2472" t="str">
        <f>'Single Audit Cover'!A4</f>
        <v>Year Ending June 30, 2018</v>
      </c>
      <c r="C4" s="2472"/>
      <c r="D4" s="2472"/>
      <c r="E4" s="2472"/>
      <c r="F4" s="2472"/>
      <c r="G4" s="2472"/>
      <c r="H4" s="2472"/>
      <c r="I4" s="2472"/>
      <c r="J4" s="2472"/>
      <c r="K4" s="2472"/>
      <c r="L4" s="2472"/>
      <c r="M4" s="2472"/>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1837</v>
      </c>
      <c r="D9" s="1314" t="s">
        <v>1838</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6" t="s">
        <v>2123</v>
      </c>
      <c r="C11" s="1338"/>
      <c r="D11" s="1339"/>
      <c r="E11" s="1340"/>
      <c r="F11" s="1959">
        <v>1285863</v>
      </c>
      <c r="G11" s="1340"/>
      <c r="H11" s="1340"/>
      <c r="I11" s="1959">
        <v>818290</v>
      </c>
      <c r="J11" s="1340"/>
      <c r="K11" s="1340"/>
      <c r="L11" s="1340"/>
      <c r="M11" s="1340"/>
    </row>
    <row r="12" spans="2:14" ht="20.100000000000001" customHeight="1" x14ac:dyDescent="0.2">
      <c r="B12" s="1956" t="s">
        <v>2117</v>
      </c>
      <c r="C12" s="1341"/>
      <c r="D12" s="1342"/>
      <c r="E12" s="1343"/>
      <c r="F12" s="1343"/>
      <c r="G12" s="1343"/>
      <c r="H12" s="1343"/>
      <c r="I12" s="1343"/>
      <c r="J12" s="1343"/>
      <c r="K12" s="1343"/>
      <c r="L12" s="1340"/>
      <c r="M12" s="1343"/>
    </row>
    <row r="13" spans="2:14" ht="20.100000000000001" customHeight="1" x14ac:dyDescent="0.2">
      <c r="B13" s="1957" t="s">
        <v>2093</v>
      </c>
      <c r="C13" s="1341"/>
      <c r="D13" s="1342"/>
      <c r="E13" s="1343"/>
      <c r="F13" s="1343"/>
      <c r="G13" s="1343"/>
      <c r="H13" s="1343"/>
      <c r="I13" s="1343"/>
      <c r="J13" s="1343"/>
      <c r="K13" s="1343"/>
      <c r="L13" s="1340"/>
      <c r="M13" s="1343"/>
    </row>
    <row r="14" spans="2:14" ht="20.100000000000001" customHeight="1" x14ac:dyDescent="0.2">
      <c r="B14" s="1337" t="s">
        <v>2118</v>
      </c>
      <c r="C14" s="1341">
        <v>10.555</v>
      </c>
      <c r="D14" s="1342" t="s">
        <v>2119</v>
      </c>
      <c r="E14" s="1343">
        <v>655875</v>
      </c>
      <c r="F14" s="1343">
        <v>101040</v>
      </c>
      <c r="G14" s="1343">
        <v>658261</v>
      </c>
      <c r="H14" s="1343"/>
      <c r="I14" s="1343">
        <v>98654</v>
      </c>
      <c r="J14" s="1343"/>
      <c r="K14" s="1343"/>
      <c r="L14" s="1340">
        <f t="shared" ref="L14" si="0">+G14+I14+K14</f>
        <v>756915</v>
      </c>
      <c r="M14" s="1343" t="s">
        <v>2109</v>
      </c>
    </row>
    <row r="15" spans="2:14" ht="20.100000000000001" customHeight="1" x14ac:dyDescent="0.2">
      <c r="B15" s="1337" t="s">
        <v>2118</v>
      </c>
      <c r="C15" s="1341">
        <v>10.555</v>
      </c>
      <c r="D15" s="1342" t="s">
        <v>2120</v>
      </c>
      <c r="E15" s="1343"/>
      <c r="F15" s="1343">
        <v>653754</v>
      </c>
      <c r="G15" s="1343"/>
      <c r="H15" s="1343"/>
      <c r="I15" s="1343">
        <v>653754</v>
      </c>
      <c r="J15" s="1343"/>
      <c r="K15" s="1343"/>
      <c r="L15" s="1340" t="s">
        <v>2124</v>
      </c>
      <c r="M15" s="1343" t="s">
        <v>2109</v>
      </c>
    </row>
    <row r="16" spans="2:14" ht="20.100000000000001" customHeight="1" x14ac:dyDescent="0.2">
      <c r="B16" s="1337" t="s">
        <v>2125</v>
      </c>
      <c r="C16" s="1341">
        <v>10.555999999999999</v>
      </c>
      <c r="D16" s="1342" t="s">
        <v>2126</v>
      </c>
      <c r="E16" s="1343">
        <v>167</v>
      </c>
      <c r="F16" s="1343">
        <v>20</v>
      </c>
      <c r="G16" s="1343">
        <v>167</v>
      </c>
      <c r="H16" s="1343"/>
      <c r="I16" s="1343">
        <v>20</v>
      </c>
      <c r="J16" s="1343"/>
      <c r="K16" s="1343"/>
      <c r="L16" s="1340">
        <f t="shared" ref="L16:L24" si="1">+G16+I16+K16</f>
        <v>187</v>
      </c>
      <c r="M16" s="1343" t="s">
        <v>2109</v>
      </c>
    </row>
    <row r="17" spans="2:14" ht="20.100000000000001" customHeight="1" x14ac:dyDescent="0.2">
      <c r="B17" s="1337" t="s">
        <v>2125</v>
      </c>
      <c r="C17" s="1341">
        <v>10.555999999999999</v>
      </c>
      <c r="D17" s="1342" t="s">
        <v>2127</v>
      </c>
      <c r="E17" s="1343"/>
      <c r="F17" s="1343">
        <v>134</v>
      </c>
      <c r="G17" s="1343"/>
      <c r="H17" s="1343"/>
      <c r="I17" s="1343">
        <v>134</v>
      </c>
      <c r="J17" s="1343"/>
      <c r="K17" s="1343"/>
      <c r="L17" s="1340">
        <f t="shared" si="1"/>
        <v>134</v>
      </c>
      <c r="M17" s="1343" t="s">
        <v>2109</v>
      </c>
    </row>
    <row r="18" spans="2:14" ht="20.100000000000001" customHeight="1" x14ac:dyDescent="0.2">
      <c r="B18" s="1337" t="s">
        <v>2129</v>
      </c>
      <c r="C18" s="1341">
        <v>10.555</v>
      </c>
      <c r="D18" s="1342" t="s">
        <v>2128</v>
      </c>
      <c r="E18" s="1343"/>
      <c r="F18" s="1343">
        <v>99495</v>
      </c>
      <c r="G18" s="1343"/>
      <c r="H18" s="1343"/>
      <c r="I18" s="1343">
        <v>99495</v>
      </c>
      <c r="J18" s="1343"/>
      <c r="K18" s="1343"/>
      <c r="L18" s="1340">
        <f t="shared" si="1"/>
        <v>99495</v>
      </c>
      <c r="M18" s="1343" t="s">
        <v>2109</v>
      </c>
    </row>
    <row r="19" spans="2:14" ht="20.100000000000001" customHeight="1" x14ac:dyDescent="0.2">
      <c r="B19" s="1337" t="s">
        <v>2130</v>
      </c>
      <c r="C19" s="1341">
        <v>10.553000000000001</v>
      </c>
      <c r="D19" s="1342" t="s">
        <v>2131</v>
      </c>
      <c r="E19" s="1343">
        <v>277460</v>
      </c>
      <c r="F19" s="1343">
        <v>50018</v>
      </c>
      <c r="G19" s="1343">
        <v>280798</v>
      </c>
      <c r="H19" s="1343"/>
      <c r="I19" s="1343">
        <v>46680</v>
      </c>
      <c r="J19" s="1343"/>
      <c r="K19" s="1343"/>
      <c r="L19" s="1340">
        <f t="shared" si="1"/>
        <v>327478</v>
      </c>
      <c r="M19" s="1343" t="s">
        <v>2109</v>
      </c>
    </row>
    <row r="20" spans="2:14" ht="20.100000000000001" customHeight="1" x14ac:dyDescent="0.2">
      <c r="B20" s="1337" t="s">
        <v>2130</v>
      </c>
      <c r="C20" s="1341">
        <v>10.553000000000001</v>
      </c>
      <c r="D20" s="1342" t="s">
        <v>2132</v>
      </c>
      <c r="E20" s="1343"/>
      <c r="F20" s="1343">
        <v>308208</v>
      </c>
      <c r="G20" s="1343"/>
      <c r="H20" s="1343"/>
      <c r="I20" s="1343">
        <v>308208</v>
      </c>
      <c r="J20" s="1343"/>
      <c r="K20" s="1343"/>
      <c r="L20" s="1340">
        <f t="shared" si="1"/>
        <v>308208</v>
      </c>
      <c r="M20" s="1343" t="s">
        <v>2109</v>
      </c>
    </row>
    <row r="21" spans="2:14" ht="20.100000000000001" customHeight="1" x14ac:dyDescent="0.2">
      <c r="B21" s="1956" t="s">
        <v>2133</v>
      </c>
      <c r="C21" s="1341"/>
      <c r="D21" s="1342"/>
      <c r="E21" s="1343"/>
      <c r="F21" s="1958">
        <f>SUM(F14:F20)</f>
        <v>1212669</v>
      </c>
      <c r="G21" s="1343"/>
      <c r="H21" s="1343"/>
      <c r="I21" s="1958">
        <f>SUM(I14:I20)</f>
        <v>1206945</v>
      </c>
      <c r="J21" s="1343"/>
      <c r="K21" s="1343"/>
      <c r="L21" s="1340"/>
      <c r="M21" s="1343"/>
    </row>
    <row r="22" spans="2:14" ht="20.100000000000001" customHeight="1" x14ac:dyDescent="0.2">
      <c r="B22" s="1956" t="s">
        <v>2134</v>
      </c>
      <c r="C22" s="1341"/>
      <c r="D22" s="1342"/>
      <c r="E22" s="1343"/>
      <c r="F22" s="1343"/>
      <c r="G22" s="1343"/>
      <c r="H22" s="1343"/>
      <c r="I22" s="1343"/>
      <c r="J22" s="1343"/>
      <c r="K22" s="1343"/>
      <c r="L22" s="1340"/>
      <c r="M22" s="1343"/>
    </row>
    <row r="23" spans="2:14" ht="20.100000000000001" customHeight="1" x14ac:dyDescent="0.2">
      <c r="B23" s="1957" t="s">
        <v>2135</v>
      </c>
      <c r="C23" s="1341"/>
      <c r="D23" s="1342"/>
      <c r="E23" s="1343"/>
      <c r="F23" s="1343"/>
      <c r="G23" s="1343"/>
      <c r="H23" s="1343"/>
      <c r="I23" s="1343"/>
      <c r="J23" s="1343"/>
      <c r="K23" s="1343"/>
      <c r="L23" s="1340"/>
      <c r="M23" s="1343"/>
    </row>
    <row r="24" spans="2:14" ht="20.100000000000001" customHeight="1" x14ac:dyDescent="0.2">
      <c r="B24" s="1337" t="s">
        <v>2136</v>
      </c>
      <c r="C24" s="1341">
        <v>93.778000000000006</v>
      </c>
      <c r="D24" s="1342" t="s">
        <v>2137</v>
      </c>
      <c r="E24" s="1343"/>
      <c r="F24" s="1343">
        <v>23191</v>
      </c>
      <c r="G24" s="1343"/>
      <c r="H24" s="1343"/>
      <c r="I24" s="1343">
        <v>23191</v>
      </c>
      <c r="J24" s="1343"/>
      <c r="K24" s="1343"/>
      <c r="L24" s="1340">
        <f t="shared" si="1"/>
        <v>23191</v>
      </c>
      <c r="M24" s="1343" t="s">
        <v>2109</v>
      </c>
    </row>
    <row r="25" spans="2:14" ht="20.100000000000001" customHeight="1" x14ac:dyDescent="0.2">
      <c r="B25" s="1956" t="s">
        <v>2138</v>
      </c>
      <c r="C25" s="1341"/>
      <c r="D25" s="1342"/>
      <c r="E25" s="1343"/>
      <c r="F25" s="1958">
        <f>SUM(F24)</f>
        <v>23191</v>
      </c>
      <c r="G25" s="1343"/>
      <c r="H25" s="1343"/>
      <c r="I25" s="1958">
        <f>SUM(I24)</f>
        <v>23191</v>
      </c>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960" t="s">
        <v>2139</v>
      </c>
      <c r="C27" s="1341"/>
      <c r="D27" s="1342"/>
      <c r="E27" s="1343"/>
      <c r="F27" s="1961">
        <f>1285863+1212669+23191</f>
        <v>2521723</v>
      </c>
      <c r="G27" s="1343"/>
      <c r="H27" s="1343"/>
      <c r="I27" s="1961">
        <f>818290+1206945+23191</f>
        <v>2048426</v>
      </c>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F21:I21 F25:I25 F27:I27 L14:L24"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6" zoomScale="110" zoomScaleNormal="110" workbookViewId="0">
      <selection activeCell="D29" sqref="D29:I29"/>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Beach Park CCSD 3</v>
      </c>
      <c r="C1" s="2478"/>
      <c r="D1" s="2478"/>
      <c r="E1" s="2478"/>
      <c r="F1" s="2478"/>
      <c r="G1" s="2478"/>
      <c r="H1" s="2478"/>
      <c r="I1" s="2478"/>
      <c r="J1" s="1422"/>
    </row>
    <row r="2" spans="2:10" s="317" customFormat="1" ht="12.75" customHeight="1" x14ac:dyDescent="0.2">
      <c r="B2" s="2479">
        <f>'Single Audit Cover'!E7</f>
        <v>34049003004</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t="s">
        <v>2140</v>
      </c>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2141</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2141</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2141</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2141</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2141</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t="s">
        <v>2163</v>
      </c>
      <c r="E29" s="2484"/>
      <c r="F29" s="2484"/>
      <c r="G29" s="2484"/>
      <c r="H29" s="2484"/>
      <c r="I29" s="2484"/>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2141</v>
      </c>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5" t="s">
        <v>1853</v>
      </c>
      <c r="D37" s="2486"/>
      <c r="E37" s="2486"/>
      <c r="F37" s="2487"/>
      <c r="G37" s="2485" t="s">
        <v>1674</v>
      </c>
      <c r="H37" s="2486"/>
      <c r="I37" s="2487"/>
    </row>
    <row r="38" spans="2:9" ht="16.5" customHeight="1" x14ac:dyDescent="0.2">
      <c r="B38" s="1444">
        <v>10.555</v>
      </c>
      <c r="C38" s="2473" t="s">
        <v>2142</v>
      </c>
      <c r="D38" s="2474"/>
      <c r="E38" s="2474"/>
      <c r="F38" s="2475"/>
      <c r="G38" s="2488">
        <f>98654+653754</f>
        <v>752408</v>
      </c>
      <c r="H38" s="2489"/>
      <c r="I38" s="2490"/>
    </row>
    <row r="39" spans="2:9" ht="16.5" customHeight="1" x14ac:dyDescent="0.2">
      <c r="B39" s="1444">
        <v>10.555</v>
      </c>
      <c r="C39" s="2473" t="s">
        <v>2143</v>
      </c>
      <c r="D39" s="2474"/>
      <c r="E39" s="2474"/>
      <c r="F39" s="2475"/>
      <c r="G39" s="2476">
        <v>99495</v>
      </c>
      <c r="H39" s="2476"/>
      <c r="I39" s="2476"/>
    </row>
    <row r="40" spans="2:9" ht="16.5" customHeight="1" x14ac:dyDescent="0.2">
      <c r="B40" s="1444">
        <v>10.553000000000001</v>
      </c>
      <c r="C40" s="2473" t="s">
        <v>2144</v>
      </c>
      <c r="D40" s="2474"/>
      <c r="E40" s="2474"/>
      <c r="F40" s="2475"/>
      <c r="G40" s="2476">
        <f>46680+308208</f>
        <v>354888</v>
      </c>
      <c r="H40" s="2476"/>
      <c r="I40" s="2476"/>
    </row>
    <row r="41" spans="2:9" ht="16.5" customHeight="1" x14ac:dyDescent="0.2">
      <c r="B41" s="1444">
        <v>10.555999999999999</v>
      </c>
      <c r="C41" s="2473" t="s">
        <v>2145</v>
      </c>
      <c r="D41" s="2474"/>
      <c r="E41" s="2474"/>
      <c r="F41" s="2475"/>
      <c r="G41" s="2476">
        <v>154</v>
      </c>
      <c r="H41" s="2476"/>
      <c r="I41" s="2476"/>
    </row>
    <row r="42" spans="2:9" ht="16.5" customHeight="1" x14ac:dyDescent="0.2">
      <c r="B42" s="1444"/>
      <c r="C42" s="2473"/>
      <c r="D42" s="2474"/>
      <c r="E42" s="2474"/>
      <c r="F42" s="2475"/>
      <c r="G42" s="2476"/>
      <c r="H42" s="2476"/>
      <c r="I42" s="2476"/>
    </row>
    <row r="43" spans="2:9" ht="16.5" customHeight="1" x14ac:dyDescent="0.2">
      <c r="B43" s="1444"/>
      <c r="C43" s="2491" t="s">
        <v>1675</v>
      </c>
      <c r="D43" s="2492"/>
      <c r="E43" s="2492"/>
      <c r="F43" s="2493"/>
      <c r="G43" s="2494">
        <f>SUM(G38:I42)</f>
        <v>1206945</v>
      </c>
      <c r="H43" s="2494"/>
      <c r="I43" s="2494"/>
    </row>
    <row r="44" spans="2:9" ht="12.75" customHeight="1" x14ac:dyDescent="0.2"/>
    <row r="45" spans="2:9" ht="12.75" customHeight="1" x14ac:dyDescent="0.2">
      <c r="B45" s="1435" t="s">
        <v>1951</v>
      </c>
      <c r="D45" s="2495">
        <v>2048426</v>
      </c>
      <c r="E45" s="2496"/>
    </row>
    <row r="46" spans="2:9" ht="5.25" customHeight="1" x14ac:dyDescent="0.2">
      <c r="B46" s="1445"/>
      <c r="D46" s="1446"/>
      <c r="E46" s="1447"/>
    </row>
    <row r="47" spans="2:9" ht="12.75" customHeight="1" x14ac:dyDescent="0.2">
      <c r="B47" s="1300" t="s">
        <v>1676</v>
      </c>
      <c r="C47" s="1300"/>
      <c r="D47" s="1448">
        <f>+G43/D45</f>
        <v>0.58920605381888336</v>
      </c>
      <c r="E47" s="1449"/>
      <c r="F47" s="1450"/>
      <c r="I47" s="1451"/>
    </row>
    <row r="48" spans="2:9" ht="9.9499999999999993" customHeight="1" x14ac:dyDescent="0.2"/>
    <row r="49" spans="1:9" x14ac:dyDescent="0.2">
      <c r="B49" s="1368" t="s">
        <v>1335</v>
      </c>
      <c r="C49" s="1282"/>
      <c r="D49" s="1282"/>
      <c r="E49" s="2497">
        <v>750000</v>
      </c>
      <c r="F49" s="2497"/>
      <c r="G49" s="2497"/>
      <c r="H49" s="322"/>
    </row>
    <row r="51" spans="1:9" ht="13.5" customHeight="1" x14ac:dyDescent="0.2">
      <c r="B51" s="1368" t="s">
        <v>1334</v>
      </c>
      <c r="C51" s="1282"/>
      <c r="E51" s="1438" t="s">
        <v>2141</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Beach Park CCSD 3</v>
      </c>
      <c r="C1" s="2477"/>
      <c r="D1" s="2477"/>
      <c r="E1" s="2477"/>
      <c r="F1" s="2477"/>
      <c r="G1" s="2477"/>
      <c r="H1" s="2477"/>
      <c r="I1" s="2477"/>
      <c r="J1" s="2477"/>
      <c r="K1" s="2477"/>
      <c r="L1" s="1374"/>
      <c r="M1" s="1374"/>
    </row>
    <row r="2" spans="1:13" ht="12" customHeight="1" x14ac:dyDescent="0.2">
      <c r="B2" s="2479">
        <f>'Single Audit Cover'!E7</f>
        <v>34049003004</v>
      </c>
      <c r="C2" s="2479"/>
      <c r="D2" s="2479"/>
      <c r="E2" s="2479"/>
      <c r="F2" s="2479"/>
      <c r="G2" s="2479"/>
      <c r="H2" s="2479"/>
      <c r="I2" s="2479"/>
      <c r="J2" s="2479"/>
      <c r="K2" s="2479"/>
      <c r="L2" s="1375"/>
      <c r="M2" s="1376"/>
    </row>
    <row r="3" spans="1:13" ht="10.35" customHeight="1" x14ac:dyDescent="0.2">
      <c r="B3" s="2500" t="s">
        <v>1347</v>
      </c>
      <c r="C3" s="2500"/>
      <c r="D3" s="2500"/>
      <c r="E3" s="2500"/>
      <c r="F3" s="2500"/>
      <c r="G3" s="2500"/>
      <c r="H3" s="2500"/>
      <c r="I3" s="2500"/>
      <c r="J3" s="2500"/>
      <c r="K3" s="2500"/>
      <c r="L3" s="1377"/>
      <c r="M3" s="1377"/>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1" t="s">
        <v>1363</v>
      </c>
      <c r="C7" s="2501"/>
      <c r="D7" s="2502"/>
      <c r="E7" s="2502"/>
      <c r="F7" s="2502"/>
      <c r="G7" s="2502"/>
      <c r="H7" s="2502"/>
      <c r="I7" s="2502"/>
      <c r="J7" s="2502"/>
      <c r="K7" s="250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t="s">
        <v>2146</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9"/>
      <c r="C14" s="2499"/>
      <c r="D14" s="2499"/>
      <c r="E14" s="2499"/>
      <c r="F14" s="2499"/>
      <c r="G14" s="2499"/>
      <c r="H14" s="2499"/>
      <c r="I14" s="2499"/>
      <c r="J14" s="2499"/>
      <c r="K14" s="249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9"/>
      <c r="C17" s="2499"/>
      <c r="D17" s="2499"/>
      <c r="E17" s="2499"/>
      <c r="F17" s="2499"/>
      <c r="G17" s="2499"/>
      <c r="H17" s="2499"/>
      <c r="I17" s="2499"/>
      <c r="J17" s="2499"/>
      <c r="K17" s="2499"/>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503"/>
      <c r="C20" s="2503"/>
      <c r="D20" s="2499"/>
      <c r="E20" s="2499"/>
      <c r="F20" s="2499"/>
      <c r="G20" s="2499"/>
      <c r="H20" s="2499"/>
      <c r="I20" s="2499"/>
      <c r="J20" s="2499"/>
      <c r="K20" s="2499"/>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9"/>
      <c r="C23" s="2499"/>
      <c r="D23" s="2499"/>
      <c r="E23" s="2499"/>
      <c r="F23" s="2499"/>
      <c r="G23" s="2499"/>
      <c r="H23" s="2499"/>
      <c r="I23" s="2499"/>
      <c r="J23" s="2499"/>
      <c r="K23" s="2499"/>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9"/>
      <c r="C26" s="2499"/>
      <c r="D26" s="2499"/>
      <c r="E26" s="2499"/>
      <c r="F26" s="2499"/>
      <c r="G26" s="2499"/>
      <c r="H26" s="2499"/>
      <c r="I26" s="2499"/>
      <c r="J26" s="2499"/>
      <c r="K26" s="2499"/>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8"/>
      <c r="C29" s="2498"/>
      <c r="D29" s="2499"/>
      <c r="E29" s="2499"/>
      <c r="F29" s="2499"/>
      <c r="G29" s="2499"/>
      <c r="H29" s="2499"/>
      <c r="I29" s="2499"/>
      <c r="J29" s="2499"/>
      <c r="K29" s="249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8"/>
      <c r="C32" s="2498"/>
      <c r="D32" s="2499"/>
      <c r="E32" s="2499"/>
      <c r="F32" s="2499"/>
      <c r="G32" s="2499"/>
      <c r="H32" s="2499"/>
      <c r="I32" s="2499"/>
      <c r="J32" s="2499"/>
      <c r="K32" s="2499"/>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1348</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20" sqref="B20:K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4" t="str">
        <f>'Single Audit Cover'!A7</f>
        <v>Beach Park CCSD 3</v>
      </c>
      <c r="C1" s="2504"/>
      <c r="D1" s="2504"/>
      <c r="E1" s="2504"/>
      <c r="F1" s="2504"/>
      <c r="G1" s="2504"/>
      <c r="H1" s="2504"/>
      <c r="I1" s="2504"/>
      <c r="J1" s="2504"/>
      <c r="K1" s="2504"/>
      <c r="L1" s="1465"/>
    </row>
    <row r="2" spans="1:12" ht="12.75" customHeight="1" x14ac:dyDescent="0.2">
      <c r="B2" s="2505">
        <f>'Single Audit Cover'!E7</f>
        <v>34049003004</v>
      </c>
      <c r="C2" s="2505"/>
      <c r="D2" s="2505"/>
      <c r="E2" s="2505"/>
      <c r="F2" s="2505"/>
      <c r="G2" s="2505"/>
      <c r="H2" s="2505"/>
      <c r="I2" s="2505"/>
      <c r="J2" s="2505"/>
      <c r="K2" s="2505"/>
      <c r="L2" s="1466"/>
    </row>
    <row r="3" spans="1:12" ht="12.75" customHeight="1" x14ac:dyDescent="0.2">
      <c r="B3" s="2500" t="s">
        <v>1347</v>
      </c>
      <c r="C3" s="2500"/>
      <c r="D3" s="2500"/>
      <c r="E3" s="2500"/>
      <c r="F3" s="2500"/>
      <c r="G3" s="2500"/>
      <c r="H3" s="2500"/>
      <c r="I3" s="2500"/>
      <c r="J3" s="2500"/>
      <c r="K3" s="2500"/>
      <c r="L3" s="1377"/>
    </row>
    <row r="4" spans="1:12" ht="12.75" customHeight="1" x14ac:dyDescent="0.2">
      <c r="B4" s="2500" t="str">
        <f>'Single Audit Cover'!A4</f>
        <v>Year Ending June 30, 2018</v>
      </c>
      <c r="C4" s="2500"/>
      <c r="D4" s="2500"/>
      <c r="E4" s="2500"/>
      <c r="F4" s="2500"/>
      <c r="G4" s="2500"/>
      <c r="H4" s="2500"/>
      <c r="I4" s="2500"/>
      <c r="J4" s="2500"/>
      <c r="K4" s="2500"/>
      <c r="L4" s="1377"/>
    </row>
    <row r="5" spans="1:12" ht="5.25" customHeight="1" x14ac:dyDescent="0.2">
      <c r="B5" s="1260" t="s">
        <v>1231</v>
      </c>
      <c r="C5" s="1260"/>
      <c r="L5" s="322"/>
    </row>
    <row r="6" spans="1:12" ht="30.75" customHeight="1" x14ac:dyDescent="0.2">
      <c r="A6" s="322"/>
      <c r="B6" s="2506" t="s">
        <v>1375</v>
      </c>
      <c r="C6" s="2506"/>
      <c r="D6" s="2506"/>
      <c r="E6" s="2506"/>
      <c r="F6" s="2506"/>
      <c r="G6" s="2506"/>
      <c r="H6" s="2506"/>
      <c r="I6" s="2506"/>
      <c r="J6" s="2506"/>
      <c r="K6" s="2506"/>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t="s">
        <v>2146</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7"/>
      <c r="E14" s="2507"/>
      <c r="F14" s="2507"/>
      <c r="H14" s="1475" t="s">
        <v>1370</v>
      </c>
      <c r="I14" s="2508"/>
      <c r="J14" s="2508"/>
      <c r="K14" s="250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8"/>
      <c r="E16" s="2508"/>
      <c r="F16" s="2508"/>
      <c r="G16" s="2508"/>
      <c r="H16" s="2508"/>
      <c r="I16" s="2508"/>
      <c r="J16" s="2508"/>
      <c r="K16" s="2508"/>
      <c r="L16" s="322"/>
    </row>
    <row r="17" spans="2:12" ht="13.5" customHeight="1" x14ac:dyDescent="0.2">
      <c r="B17" s="1387" t="s">
        <v>1368</v>
      </c>
      <c r="C17" s="1387"/>
      <c r="D17" s="2509"/>
      <c r="E17" s="2509"/>
      <c r="F17" s="2509"/>
      <c r="G17" s="2509"/>
      <c r="H17" s="2509"/>
      <c r="I17" s="2509"/>
      <c r="J17" s="2509"/>
      <c r="K17" s="250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9"/>
      <c r="C20" s="2499"/>
      <c r="D20" s="2499"/>
      <c r="E20" s="2499"/>
      <c r="F20" s="2499"/>
      <c r="G20" s="2499"/>
      <c r="H20" s="2499"/>
      <c r="I20" s="2499"/>
      <c r="J20" s="2499"/>
      <c r="K20" s="249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9"/>
      <c r="C23" s="2499"/>
      <c r="D23" s="2499"/>
      <c r="E23" s="2499"/>
      <c r="F23" s="2499"/>
      <c r="G23" s="2499"/>
      <c r="H23" s="2499"/>
      <c r="I23" s="2499"/>
      <c r="J23" s="2499"/>
      <c r="K23" s="249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9"/>
      <c r="C26" s="2499"/>
      <c r="D26" s="2499"/>
      <c r="E26" s="2499"/>
      <c r="F26" s="2499"/>
      <c r="G26" s="2499"/>
      <c r="H26" s="2499"/>
      <c r="I26" s="2499"/>
      <c r="J26" s="2499"/>
      <c r="K26" s="249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9"/>
      <c r="C29" s="2499"/>
      <c r="D29" s="2499"/>
      <c r="E29" s="2499"/>
      <c r="F29" s="2499"/>
      <c r="G29" s="2499"/>
      <c r="H29" s="2499"/>
      <c r="I29" s="2499"/>
      <c r="J29" s="2499"/>
      <c r="K29" s="249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9"/>
      <c r="C32" s="2499"/>
      <c r="D32" s="2499"/>
      <c r="E32" s="2499"/>
      <c r="F32" s="2499"/>
      <c r="G32" s="2499"/>
      <c r="H32" s="2499"/>
      <c r="I32" s="2499"/>
      <c r="J32" s="2499"/>
      <c r="K32" s="249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9"/>
      <c r="C35" s="2499"/>
      <c r="D35" s="2499"/>
      <c r="E35" s="2499"/>
      <c r="F35" s="2499"/>
      <c r="G35" s="2499"/>
      <c r="H35" s="2499"/>
      <c r="I35" s="2499"/>
      <c r="J35" s="2499"/>
      <c r="K35" s="249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9"/>
      <c r="C38" s="2499"/>
      <c r="D38" s="2499"/>
      <c r="E38" s="2499"/>
      <c r="F38" s="2499"/>
      <c r="G38" s="2499"/>
      <c r="H38" s="2499"/>
      <c r="I38" s="2499"/>
      <c r="J38" s="2499"/>
      <c r="K38" s="249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9"/>
      <c r="C41" s="2499"/>
      <c r="D41" s="2499"/>
      <c r="E41" s="2499"/>
      <c r="F41" s="2499"/>
      <c r="G41" s="2499"/>
      <c r="H41" s="2499"/>
      <c r="I41" s="2499"/>
      <c r="J41" s="2499"/>
      <c r="K41" s="2499"/>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Beach Park CCSD 3</v>
      </c>
      <c r="C1" s="2477"/>
      <c r="D1" s="2477"/>
      <c r="E1" s="1491"/>
    </row>
    <row r="2" spans="2:5" s="1282" customFormat="1" ht="12.75" customHeight="1" x14ac:dyDescent="0.2">
      <c r="B2" s="2479">
        <f>'Single Audit Cover'!E7</f>
        <v>34049003004</v>
      </c>
      <c r="C2" s="2479"/>
      <c r="D2" s="2479"/>
      <c r="E2" s="1492"/>
    </row>
    <row r="3" spans="2:5" ht="12.75" customHeight="1" x14ac:dyDescent="0.2">
      <c r="B3" s="2500" t="s">
        <v>1868</v>
      </c>
      <c r="C3" s="2500"/>
      <c r="D3" s="2500"/>
      <c r="E3" s="1274"/>
    </row>
    <row r="4" spans="2:5" s="1282" customFormat="1" ht="12.75" customHeight="1" x14ac:dyDescent="0.2">
      <c r="B4" s="2510" t="str">
        <f>'Single Audit Cover'!A4</f>
        <v>Year Ending June 30, 2018</v>
      </c>
      <c r="C4" s="2510"/>
      <c r="D4" s="2510"/>
      <c r="E4" s="1493"/>
    </row>
    <row r="5" spans="2:5" s="1282" customFormat="1" ht="40.15" customHeight="1" x14ac:dyDescent="0.2">
      <c r="B5" s="1494" t="s">
        <v>1869</v>
      </c>
      <c r="C5" s="328"/>
      <c r="D5" s="328"/>
      <c r="E5" s="328"/>
    </row>
    <row r="6" spans="2:5" s="1282" customFormat="1" ht="13.5" customHeight="1" x14ac:dyDescent="0.2">
      <c r="B6" s="1495" t="s">
        <v>1382</v>
      </c>
      <c r="C6" s="1495" t="s">
        <v>1381</v>
      </c>
      <c r="D6" s="1495" t="s">
        <v>1870</v>
      </c>
    </row>
    <row r="7" spans="2:5" ht="13.5" customHeight="1" x14ac:dyDescent="0.2">
      <c r="B7" s="1496" t="s">
        <v>2146</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1871</v>
      </c>
    </row>
    <row r="46" spans="2:5" ht="12.2" customHeight="1" x14ac:dyDescent="0.2">
      <c r="B46" s="1505" t="s">
        <v>1872</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X26" sqref="X2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404</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337891060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3.4380910000000001E-2</v>
      </c>
      <c r="E10" s="356" t="s">
        <v>1062</v>
      </c>
      <c r="F10" s="355">
        <v>4.8967000000000004E-3</v>
      </c>
      <c r="G10" s="356" t="s">
        <v>1062</v>
      </c>
      <c r="H10" s="355">
        <v>3.5185500000000001E-3</v>
      </c>
      <c r="I10" s="356" t="s">
        <v>1063</v>
      </c>
      <c r="J10" s="1754">
        <f>ROUND(D10+F10+H10,5)</f>
        <v>4.2799999999999998E-2</v>
      </c>
      <c r="K10" s="222"/>
      <c r="L10" s="355">
        <v>9.7940000000000001E-5</v>
      </c>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31230068</v>
      </c>
      <c r="E16" s="356"/>
      <c r="F16" s="1755">
        <f>SUM('Acct Summary 7-8'!C17,'Acct Summary 7-8'!D17,'Acct Summary 7-8'!F17)</f>
        <v>25488360</v>
      </c>
      <c r="G16" s="356"/>
      <c r="H16" s="1755">
        <f>SUM(D16-F16)</f>
        <v>5741708</v>
      </c>
      <c r="I16" s="222"/>
      <c r="J16" s="1755">
        <f>SUM('Acct Summary 7-8'!C81,'Acct Summary 7-8'!D81,'Acct Summary 7-8'!F81,'Acct Summary 7-8'!I81)</f>
        <v>11155711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607</v>
      </c>
      <c r="D31" s="237" t="s">
        <v>1132</v>
      </c>
      <c r="E31" s="222"/>
      <c r="F31" s="222"/>
      <c r="G31" s="363"/>
      <c r="H31" s="1757">
        <f>IF(B31="X",(J7*0.069),IF(B32="X",(J7*0.138),"Enter x in a.or b."))</f>
        <v>23314483.140000001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2436243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9" zoomScale="110" zoomScaleNormal="110" workbookViewId="0">
      <selection activeCell="X26" sqref="X2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577</v>
      </c>
      <c r="B2" s="2127"/>
      <c r="C2" s="2127"/>
      <c r="D2" s="2127"/>
      <c r="E2" s="2127"/>
      <c r="F2" s="2127"/>
      <c r="G2" s="2127"/>
      <c r="H2" s="2127"/>
      <c r="I2" s="2127"/>
      <c r="J2" s="2127"/>
      <c r="K2" s="2127"/>
      <c r="L2" s="2127"/>
      <c r="M2" s="2127"/>
      <c r="N2" s="2127"/>
      <c r="O2" s="2127"/>
      <c r="P2" s="2127"/>
      <c r="Q2" s="2127"/>
      <c r="R2" s="2127"/>
    </row>
    <row r="3" spans="1:18" ht="12.75" x14ac:dyDescent="0.2">
      <c r="A3" s="2128" t="s">
        <v>1480</v>
      </c>
      <c r="B3" s="2128"/>
      <c r="C3" s="2128"/>
      <c r="D3" s="2128"/>
      <c r="E3" s="2128"/>
      <c r="F3" s="2128"/>
      <c r="G3" s="2128"/>
      <c r="H3" s="2128"/>
      <c r="I3" s="2128"/>
      <c r="J3" s="2128"/>
      <c r="K3" s="2128"/>
      <c r="L3" s="2128"/>
      <c r="M3" s="2128"/>
      <c r="N3" s="2128"/>
      <c r="O3" s="2128"/>
      <c r="P3" s="2128"/>
      <c r="Q3" s="2128"/>
      <c r="R3" s="2128"/>
    </row>
    <row r="4" spans="1:18" x14ac:dyDescent="0.2">
      <c r="A4" s="2129" t="s">
        <v>1635</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Beach Park CCSD 3</v>
      </c>
      <c r="E7" s="391"/>
      <c r="G7" s="252"/>
      <c r="H7" s="387"/>
      <c r="I7" s="387"/>
      <c r="J7" s="387"/>
      <c r="K7" s="387"/>
      <c r="L7" s="329"/>
      <c r="M7" s="329"/>
      <c r="N7" s="329"/>
      <c r="O7" s="329"/>
      <c r="P7" s="329"/>
    </row>
    <row r="8" spans="1:18" ht="12.75" x14ac:dyDescent="0.2">
      <c r="A8" s="329"/>
      <c r="B8" s="329"/>
      <c r="C8" s="389" t="s">
        <v>1187</v>
      </c>
      <c r="D8" s="392">
        <f>COVER!A13</f>
        <v>34049003004</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11155711</v>
      </c>
      <c r="I12" s="404"/>
      <c r="J12" s="404"/>
      <c r="K12" s="405">
        <f>TRUNC((H12/H13*100000),5)/100000</f>
        <v>0.35795207470000001</v>
      </c>
      <c r="L12" s="406"/>
      <c r="M12" s="360" t="s">
        <v>1206</v>
      </c>
      <c r="N12" s="360"/>
      <c r="O12" s="407">
        <v>0.35</v>
      </c>
      <c r="P12" s="218"/>
      <c r="Q12" s="218"/>
    </row>
    <row r="13" spans="1:18" s="408" customFormat="1" ht="12.75" x14ac:dyDescent="0.2">
      <c r="A13" s="218"/>
      <c r="B13" s="401"/>
      <c r="C13" s="2125" t="s">
        <v>1391</v>
      </c>
      <c r="D13" s="2126"/>
      <c r="E13" s="218"/>
      <c r="F13" s="409" t="s">
        <v>826</v>
      </c>
      <c r="G13" s="402"/>
      <c r="H13" s="403">
        <f>SUM('Acct Summary 7-8'!C8+'Acct Summary 7-8'!D8+'Acct Summary 7-8'!F8+'Acct Summary 7-8'!I8)+H14</f>
        <v>31165376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-64692</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25488360</v>
      </c>
      <c r="I17" s="404"/>
      <c r="J17" s="416"/>
      <c r="K17" s="405">
        <f>TRUNC((H17/H18*100000),5)/100000</f>
        <v>0.81784221049999994</v>
      </c>
      <c r="L17" s="406"/>
      <c r="M17" s="417" t="s">
        <v>1233</v>
      </c>
      <c r="O17" s="418" t="str">
        <f>IF(AND(O16="2", J20 &gt; 2),"1",IF(AND(O16 = "1", J20 &gt; 2),"2",IF(AND(O16="1", J20 &gt;1),"1","0")))</f>
        <v>0</v>
      </c>
      <c r="P17" s="218"/>
    </row>
    <row r="18" spans="1:18" s="408" customFormat="1" ht="11.25" x14ac:dyDescent="0.2">
      <c r="A18" s="218"/>
      <c r="B18" s="401"/>
      <c r="C18" s="2125" t="s">
        <v>1384</v>
      </c>
      <c r="D18" s="2126"/>
      <c r="E18" s="218"/>
      <c r="F18" s="419" t="s">
        <v>827</v>
      </c>
      <c r="G18" s="402"/>
      <c r="H18" s="403">
        <f>SUM('Acct Summary 7-8'!C8+'Acct Summary 7-8'!D8+'Acct Summary 7-8'!F8+'Acct Summary 7-8'!I8)+H19</f>
        <v>31165376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-64692</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2" t="s">
        <v>1479</v>
      </c>
      <c r="D24" s="2122"/>
      <c r="E24" s="218"/>
      <c r="F24" s="218" t="s">
        <v>465</v>
      </c>
      <c r="G24" s="402"/>
      <c r="H24" s="403">
        <f>SUM('Assets-Liab 5-6'!C4+'Assets-Liab 5-6'!D4+'Assets-Liab 5-6'!F4+'Assets-Liab 5-6'!I4+'Assets-Liab 5-6'!C5+'Assets-Liab 5-6'!D5+'Assets-Liab 5-6'!F5+'Assets-Liab 5-6'!I5)</f>
        <v>11152909</v>
      </c>
      <c r="I24" s="422"/>
      <c r="J24" s="422"/>
      <c r="K24" s="423">
        <f>TRUNC(((H24/H25*100000)/100000),2)</f>
        <v>157.52000000000001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70801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12292476.762800001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2436243</v>
      </c>
      <c r="I32" s="420"/>
      <c r="J32" s="420"/>
      <c r="K32" s="423">
        <f>TRUNC(100-((((H32/H33*100))*100)/100),2)</f>
        <v>89.55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23314483.140000001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13" activePane="bottomLeft" state="frozen"/>
      <selection activeCell="X26" sqref="X26"/>
      <selection pane="bottomLeft" activeCell="X26" sqref="X2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2" t="s">
        <v>1030</v>
      </c>
      <c r="B3" s="2133"/>
      <c r="C3" s="1581"/>
      <c r="D3" s="1582"/>
      <c r="E3" s="1582"/>
      <c r="F3" s="1582"/>
      <c r="G3" s="1582"/>
      <c r="H3" s="1582"/>
      <c r="I3" s="1582"/>
      <c r="J3" s="1582"/>
      <c r="K3" s="1582"/>
      <c r="L3" s="1582"/>
      <c r="M3" s="1583"/>
      <c r="N3" s="1584"/>
    </row>
    <row r="4" spans="1:14" ht="13.5" customHeight="1" x14ac:dyDescent="0.2">
      <c r="A4" s="463" t="s">
        <v>1750</v>
      </c>
      <c r="B4" s="464"/>
      <c r="C4" s="465">
        <v>3528368</v>
      </c>
      <c r="D4" s="466">
        <v>3063749</v>
      </c>
      <c r="E4" s="466">
        <v>1896475</v>
      </c>
      <c r="F4" s="466">
        <v>4441407</v>
      </c>
      <c r="G4" s="466">
        <v>488851</v>
      </c>
      <c r="H4" s="466">
        <v>81055</v>
      </c>
      <c r="I4" s="466">
        <v>119385</v>
      </c>
      <c r="J4" s="467">
        <v>153987</v>
      </c>
      <c r="K4" s="466">
        <v>111029</v>
      </c>
      <c r="L4" s="466">
        <v>100510</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3528368</v>
      </c>
      <c r="D13" s="1759">
        <f t="shared" ref="D13:L13" si="0">SUM(D4:D12)</f>
        <v>3063749</v>
      </c>
      <c r="E13" s="1759">
        <f t="shared" si="0"/>
        <v>1896475</v>
      </c>
      <c r="F13" s="1759">
        <f t="shared" si="0"/>
        <v>4441407</v>
      </c>
      <c r="G13" s="1759">
        <f t="shared" si="0"/>
        <v>488851</v>
      </c>
      <c r="H13" s="1759">
        <f t="shared" si="0"/>
        <v>81055</v>
      </c>
      <c r="I13" s="1759">
        <f t="shared" si="0"/>
        <v>119385</v>
      </c>
      <c r="J13" s="1759">
        <f t="shared" si="0"/>
        <v>153987</v>
      </c>
      <c r="K13" s="1759">
        <f t="shared" si="0"/>
        <v>111029</v>
      </c>
      <c r="L13" s="1759">
        <f t="shared" si="0"/>
        <v>100510</v>
      </c>
      <c r="M13" s="468"/>
      <c r="N13" s="469"/>
    </row>
    <row r="14" spans="1:14" ht="18" customHeight="1" thickTop="1" x14ac:dyDescent="0.2">
      <c r="A14" s="2134" t="s">
        <v>149</v>
      </c>
      <c r="B14" s="2135"/>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967984</v>
      </c>
      <c r="N16" s="484"/>
    </row>
    <row r="17" spans="1:14" s="485" customFormat="1" ht="12.75" customHeight="1" x14ac:dyDescent="0.2">
      <c r="A17" s="482" t="s">
        <v>1470</v>
      </c>
      <c r="B17" s="483">
        <v>230</v>
      </c>
      <c r="C17" s="477"/>
      <c r="D17" s="477"/>
      <c r="E17" s="477"/>
      <c r="F17" s="477"/>
      <c r="G17" s="477"/>
      <c r="H17" s="477"/>
      <c r="I17" s="477"/>
      <c r="J17" s="477"/>
      <c r="K17" s="477"/>
      <c r="L17" s="477"/>
      <c r="M17" s="467">
        <v>52154065</v>
      </c>
      <c r="N17" s="484"/>
    </row>
    <row r="18" spans="1:14" s="485" customFormat="1" ht="12.75" customHeight="1" x14ac:dyDescent="0.2">
      <c r="A18" s="482" t="s">
        <v>1471</v>
      </c>
      <c r="B18" s="483">
        <v>240</v>
      </c>
      <c r="C18" s="477"/>
      <c r="D18" s="477"/>
      <c r="E18" s="477"/>
      <c r="F18" s="477"/>
      <c r="G18" s="477"/>
      <c r="H18" s="477"/>
      <c r="I18" s="477"/>
      <c r="J18" s="477"/>
      <c r="K18" s="477"/>
      <c r="L18" s="477"/>
      <c r="M18" s="467">
        <v>590394</v>
      </c>
      <c r="N18" s="484"/>
    </row>
    <row r="19" spans="1:14" s="485" customFormat="1" ht="12.75" customHeight="1" x14ac:dyDescent="0.2">
      <c r="A19" s="482" t="s">
        <v>1472</v>
      </c>
      <c r="B19" s="483">
        <v>250</v>
      </c>
      <c r="C19" s="477"/>
      <c r="D19" s="477"/>
      <c r="E19" s="477"/>
      <c r="F19" s="477"/>
      <c r="G19" s="477"/>
      <c r="H19" s="477"/>
      <c r="I19" s="477"/>
      <c r="J19" s="477"/>
      <c r="K19" s="477"/>
      <c r="L19" s="477"/>
      <c r="M19" s="467">
        <f>50079+2266427</f>
        <v>2316506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1896475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539768</v>
      </c>
    </row>
    <row r="23" spans="1:14" ht="13.5" customHeight="1" thickBot="1" x14ac:dyDescent="0.25">
      <c r="A23" s="1758" t="s">
        <v>664</v>
      </c>
      <c r="B23" s="1763"/>
      <c r="C23" s="468"/>
      <c r="D23" s="468"/>
      <c r="E23" s="468"/>
      <c r="F23" s="468"/>
      <c r="G23" s="468"/>
      <c r="H23" s="468"/>
      <c r="I23" s="468"/>
      <c r="J23" s="468"/>
      <c r="K23" s="468"/>
      <c r="L23" s="468"/>
      <c r="M23" s="1710">
        <f>SUM(M15:M22)</f>
        <v>56028949</v>
      </c>
      <c r="N23" s="1710">
        <f>SUM(N21:N22)</f>
        <v>2436243</v>
      </c>
    </row>
    <row r="24" spans="1:14" ht="18" customHeight="1" thickTop="1" x14ac:dyDescent="0.2">
      <c r="A24" s="2136" t="s">
        <v>619</v>
      </c>
      <c r="B24" s="2137"/>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-2802</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100510</v>
      </c>
      <c r="M33" s="468"/>
      <c r="N33" s="469"/>
    </row>
    <row r="34" spans="1:14" ht="13.5" customHeight="1" thickBot="1" x14ac:dyDescent="0.25">
      <c r="A34" s="1760" t="s">
        <v>675</v>
      </c>
      <c r="B34" s="1761"/>
      <c r="C34" s="1762">
        <f>SUM(C25:C33)</f>
        <v>-2802</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100510</v>
      </c>
      <c r="M34" s="468"/>
      <c r="N34" s="480"/>
    </row>
    <row r="35" spans="1:14" ht="18" customHeight="1" thickTop="1" x14ac:dyDescent="0.2">
      <c r="A35" s="2138" t="s">
        <v>550</v>
      </c>
      <c r="B35" s="2139"/>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2436243</v>
      </c>
    </row>
    <row r="37" spans="1:14" ht="13.5" thickBot="1" x14ac:dyDescent="0.25">
      <c r="A37" s="1758" t="s">
        <v>674</v>
      </c>
      <c r="B37" s="1763"/>
      <c r="C37" s="477"/>
      <c r="D37" s="477"/>
      <c r="E37" s="477"/>
      <c r="F37" s="477"/>
      <c r="G37" s="477"/>
      <c r="H37" s="477"/>
      <c r="I37" s="477"/>
      <c r="J37" s="477"/>
      <c r="K37" s="477"/>
      <c r="L37" s="480"/>
      <c r="M37" s="468"/>
      <c r="N37" s="1710">
        <f>SUM(N36:N36)</f>
        <v>2436243</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3531170</v>
      </c>
      <c r="D39" s="466">
        <v>3063749</v>
      </c>
      <c r="E39" s="466">
        <v>1896475</v>
      </c>
      <c r="F39" s="466">
        <v>4441407</v>
      </c>
      <c r="G39" s="466">
        <v>488851</v>
      </c>
      <c r="H39" s="466">
        <v>81055</v>
      </c>
      <c r="I39" s="466">
        <v>119385</v>
      </c>
      <c r="J39" s="467">
        <v>153987</v>
      </c>
      <c r="K39" s="466">
        <v>111029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56028949</v>
      </c>
      <c r="N40" s="497"/>
    </row>
    <row r="41" spans="1:14" ht="13.5" customHeight="1" thickBot="1" x14ac:dyDescent="0.25">
      <c r="A41" s="1758" t="s">
        <v>676</v>
      </c>
      <c r="B41" s="1728"/>
      <c r="C41" s="1710">
        <f>(SUM(C34,C37,C38,C39))</f>
        <v>3528368</v>
      </c>
      <c r="D41" s="1710">
        <f t="shared" ref="D41:L41" si="2">SUM(D34,D37,D38:D39)</f>
        <v>3063749</v>
      </c>
      <c r="E41" s="1710">
        <f t="shared" si="2"/>
        <v>1896475</v>
      </c>
      <c r="F41" s="1710">
        <f t="shared" si="2"/>
        <v>4441407</v>
      </c>
      <c r="G41" s="1710">
        <f t="shared" si="2"/>
        <v>488851</v>
      </c>
      <c r="H41" s="1710">
        <f t="shared" si="2"/>
        <v>81055</v>
      </c>
      <c r="I41" s="1710">
        <f t="shared" si="2"/>
        <v>119385</v>
      </c>
      <c r="J41" s="1710">
        <f t="shared" si="2"/>
        <v>153987</v>
      </c>
      <c r="K41" s="1710">
        <f t="shared" si="2"/>
        <v>111029</v>
      </c>
      <c r="L41" s="1710">
        <f t="shared" si="2"/>
        <v>100510</v>
      </c>
      <c r="M41" s="1710">
        <f>SUM(M40)</f>
        <v>56028949</v>
      </c>
      <c r="N41" s="1710">
        <f>SUM(N37)</f>
        <v>2436243</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8" activePane="bottomLeft" state="frozenSplit"/>
      <selection activeCell="X26" sqref="X26"/>
      <selection pane="bottomLeft" activeCell="X26" sqref="X2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0" t="s">
        <v>1237</v>
      </c>
      <c r="B3" s="2161"/>
      <c r="C3" s="1595"/>
      <c r="D3" s="1596"/>
      <c r="E3" s="1596"/>
      <c r="F3" s="1596"/>
      <c r="G3" s="1596"/>
      <c r="H3" s="1596"/>
      <c r="I3" s="1596"/>
      <c r="J3" s="1596"/>
      <c r="K3" s="1597"/>
      <c r="L3" s="506"/>
    </row>
    <row r="4" spans="1:13" ht="15.75" customHeight="1" x14ac:dyDescent="0.2">
      <c r="A4" s="1954" t="s">
        <v>1579</v>
      </c>
      <c r="B4" s="1955">
        <v>1000</v>
      </c>
      <c r="C4" s="1764">
        <f>'Revenues 9-14'!C109</f>
        <v>12902092</v>
      </c>
      <c r="D4" s="1764">
        <f>'Revenues 9-14'!D109</f>
        <v>1871043</v>
      </c>
      <c r="E4" s="1764">
        <f>'Revenues 9-14'!E109</f>
        <v>2915112</v>
      </c>
      <c r="F4" s="1764">
        <f>'Revenues 9-14'!F109</f>
        <v>1440318</v>
      </c>
      <c r="G4" s="1764">
        <f>'Revenues 9-14'!G109</f>
        <v>823862</v>
      </c>
      <c r="H4" s="1764">
        <f>'Revenues 9-14'!H109</f>
        <v>102</v>
      </c>
      <c r="I4" s="1764">
        <f>'Revenues 9-14'!I109</f>
        <v>33360</v>
      </c>
      <c r="J4" s="1764">
        <f>'Revenues 9-14'!J109</f>
        <v>289204</v>
      </c>
      <c r="K4" s="1764">
        <f>'Revenues 9-14'!K109</f>
        <v>33156</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10573442</v>
      </c>
      <c r="D6" s="1765">
        <f>'Revenues 9-14'!D173</f>
        <v>0</v>
      </c>
      <c r="E6" s="1765">
        <f>'Revenues 9-14'!E173</f>
        <v>0</v>
      </c>
      <c r="F6" s="1765">
        <f>'Revenues 9-14'!F173</f>
        <v>1641982</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2767831</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26243365</v>
      </c>
      <c r="D8" s="1710">
        <f t="shared" ref="D8:K8" si="0">SUM(D4:D7)</f>
        <v>1871043</v>
      </c>
      <c r="E8" s="1710">
        <f t="shared" si="0"/>
        <v>2915112</v>
      </c>
      <c r="F8" s="1710">
        <f t="shared" si="0"/>
        <v>3082300</v>
      </c>
      <c r="G8" s="1710">
        <f t="shared" si="0"/>
        <v>823862</v>
      </c>
      <c r="H8" s="1710">
        <f t="shared" si="0"/>
        <v>102</v>
      </c>
      <c r="I8" s="1710">
        <f t="shared" si="0"/>
        <v>33360</v>
      </c>
      <c r="J8" s="1710">
        <f t="shared" si="0"/>
        <v>289204</v>
      </c>
      <c r="K8" s="1710">
        <f t="shared" si="0"/>
        <v>33156</v>
      </c>
      <c r="L8" s="347"/>
    </row>
    <row r="9" spans="1:13" ht="15.75" thickTop="1" x14ac:dyDescent="0.2">
      <c r="A9" s="514" t="s">
        <v>1752</v>
      </c>
      <c r="B9" s="515">
        <v>3998</v>
      </c>
      <c r="C9" s="481">
        <v>9433307</v>
      </c>
      <c r="D9" s="516"/>
      <c r="E9" s="481"/>
      <c r="F9" s="481"/>
      <c r="G9" s="517"/>
      <c r="H9" s="481"/>
      <c r="I9" s="509" t="s">
        <v>1231</v>
      </c>
      <c r="J9" s="478"/>
      <c r="K9" s="481"/>
      <c r="L9" s="347"/>
    </row>
    <row r="10" spans="1:13" s="519" customFormat="1" ht="13.5" thickBot="1" x14ac:dyDescent="0.25">
      <c r="A10" s="1758" t="s">
        <v>1235</v>
      </c>
      <c r="B10" s="1731"/>
      <c r="C10" s="1710">
        <f>SUM(C8:C9)</f>
        <v>35676672</v>
      </c>
      <c r="D10" s="1710">
        <f t="shared" ref="D10:K10" si="1">SUM(D8:D9)</f>
        <v>1871043</v>
      </c>
      <c r="E10" s="1710">
        <f t="shared" si="1"/>
        <v>2915112</v>
      </c>
      <c r="F10" s="1710">
        <f t="shared" si="1"/>
        <v>3082300</v>
      </c>
      <c r="G10" s="1710">
        <f t="shared" si="1"/>
        <v>823862</v>
      </c>
      <c r="H10" s="1710">
        <f t="shared" si="1"/>
        <v>102</v>
      </c>
      <c r="I10" s="1710">
        <f t="shared" si="1"/>
        <v>33360</v>
      </c>
      <c r="J10" s="1710">
        <f t="shared" si="1"/>
        <v>289204</v>
      </c>
      <c r="K10" s="1710">
        <f t="shared" si="1"/>
        <v>33156</v>
      </c>
      <c r="L10" s="518"/>
    </row>
    <row r="11" spans="1:13" s="519" customFormat="1" ht="16.7" customHeight="1" thickTop="1" x14ac:dyDescent="0.2">
      <c r="A11" s="2134" t="s">
        <v>1238</v>
      </c>
      <c r="B11" s="2135"/>
      <c r="C11" s="1592"/>
      <c r="D11" s="1593"/>
      <c r="E11" s="1593"/>
      <c r="F11" s="1593"/>
      <c r="G11" s="1593"/>
      <c r="H11" s="1593"/>
      <c r="I11" s="1593"/>
      <c r="J11" s="1593"/>
      <c r="K11" s="1594"/>
      <c r="L11" s="518"/>
    </row>
    <row r="12" spans="1:13" ht="15.75" customHeight="1" x14ac:dyDescent="0.2">
      <c r="A12" s="1598" t="s">
        <v>476</v>
      </c>
      <c r="B12" s="1600">
        <v>1000</v>
      </c>
      <c r="C12" s="1764">
        <f>'Expenditures 15-22'!K33</f>
        <v>15018384</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5242258</v>
      </c>
      <c r="D13" s="1765">
        <f>'Expenditures 15-22'!K129</f>
        <v>1578713</v>
      </c>
      <c r="E13" s="469" t="s">
        <v>1231</v>
      </c>
      <c r="F13" s="1765">
        <f>'Expenditures 15-22'!K184</f>
        <v>2213608</v>
      </c>
      <c r="G13" s="1765">
        <f>'Expenditures 15-22'!K279</f>
        <v>681789</v>
      </c>
      <c r="H13" s="1765">
        <f>'Expenditures 15-22'!K303</f>
        <v>0</v>
      </c>
      <c r="I13" s="468" t="s">
        <v>1231</v>
      </c>
      <c r="J13" s="1765">
        <f>'Expenditures 15-22'!K330</f>
        <v>175066</v>
      </c>
      <c r="K13" s="1769">
        <f>'Expenditures 15-22'!K352</f>
        <v>8533</v>
      </c>
      <c r="L13" s="347"/>
    </row>
    <row r="14" spans="1:13" ht="15.75" customHeight="1" x14ac:dyDescent="0.2">
      <c r="A14" s="1598" t="s">
        <v>469</v>
      </c>
      <c r="B14" s="1600">
        <v>3000</v>
      </c>
      <c r="C14" s="1765">
        <f>'Expenditures 15-22'!K75</f>
        <v>17015</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1418382</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2969658</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21696039</v>
      </c>
      <c r="D17" s="1710">
        <f t="shared" si="2"/>
        <v>1578713</v>
      </c>
      <c r="E17" s="1710">
        <f t="shared" si="2"/>
        <v>2969658</v>
      </c>
      <c r="F17" s="1710">
        <f t="shared" si="2"/>
        <v>2213608</v>
      </c>
      <c r="G17" s="1710">
        <f t="shared" si="2"/>
        <v>681789</v>
      </c>
      <c r="H17" s="1710">
        <f t="shared" si="2"/>
        <v>0</v>
      </c>
      <c r="I17" s="468"/>
      <c r="J17" s="1710">
        <f>SUM(J12:J16)</f>
        <v>175066</v>
      </c>
      <c r="K17" s="1710">
        <f>SUM(K12:K16)</f>
        <v>8533</v>
      </c>
      <c r="L17" s="347"/>
    </row>
    <row r="18" spans="1:12" ht="15" customHeight="1" thickTop="1" x14ac:dyDescent="0.2">
      <c r="A18" s="1766" t="s">
        <v>1753</v>
      </c>
      <c r="B18" s="1767">
        <v>4180</v>
      </c>
      <c r="C18" s="1764">
        <f t="shared" ref="C18:H18" si="3">C9</f>
        <v>9433307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31129346</v>
      </c>
      <c r="D19" s="1710">
        <f t="shared" si="4"/>
        <v>1578713</v>
      </c>
      <c r="E19" s="1710">
        <f t="shared" si="4"/>
        <v>2969658</v>
      </c>
      <c r="F19" s="1710">
        <f t="shared" si="4"/>
        <v>2213608</v>
      </c>
      <c r="G19" s="1710">
        <f t="shared" si="4"/>
        <v>681789</v>
      </c>
      <c r="H19" s="1710">
        <f t="shared" si="4"/>
        <v>0</v>
      </c>
      <c r="I19" s="468"/>
      <c r="J19" s="1710">
        <f>SUM(J17:J18)</f>
        <v>175066</v>
      </c>
      <c r="K19" s="1710">
        <f>SUM(K17:K18)</f>
        <v>8533</v>
      </c>
      <c r="L19" s="347"/>
    </row>
    <row r="20" spans="1:12" ht="16.5" thickTop="1" thickBot="1" x14ac:dyDescent="0.25">
      <c r="A20" s="2150" t="s">
        <v>1754</v>
      </c>
      <c r="B20" s="2151"/>
      <c r="C20" s="1768">
        <f>C8-C17</f>
        <v>4547326</v>
      </c>
      <c r="D20" s="1768">
        <f t="shared" ref="D20:K20" si="5">D8-D17</f>
        <v>292330</v>
      </c>
      <c r="E20" s="1768">
        <f t="shared" si="5"/>
        <v>-54546</v>
      </c>
      <c r="F20" s="1768">
        <f t="shared" si="5"/>
        <v>868692</v>
      </c>
      <c r="G20" s="1768">
        <f t="shared" si="5"/>
        <v>142073</v>
      </c>
      <c r="H20" s="1768">
        <f t="shared" si="5"/>
        <v>102</v>
      </c>
      <c r="I20" s="1768">
        <f t="shared" si="5"/>
        <v>33360</v>
      </c>
      <c r="J20" s="1768">
        <f t="shared" si="5"/>
        <v>114138</v>
      </c>
      <c r="K20" s="1768">
        <f t="shared" si="5"/>
        <v>24623</v>
      </c>
      <c r="L20" s="347"/>
    </row>
    <row r="21" spans="1:12" ht="16.7" customHeight="1" thickTop="1" x14ac:dyDescent="0.2">
      <c r="A21" s="2162" t="s">
        <v>616</v>
      </c>
      <c r="B21" s="2163"/>
      <c r="C21" s="1592"/>
      <c r="D21" s="1593"/>
      <c r="E21" s="1593"/>
      <c r="F21" s="1593"/>
      <c r="G21" s="1593"/>
      <c r="H21" s="1593"/>
      <c r="I21" s="1593"/>
      <c r="J21" s="1593"/>
      <c r="K21" s="1594"/>
      <c r="L21" s="524"/>
    </row>
    <row r="22" spans="1:12" ht="15.75" customHeight="1" collapsed="1" x14ac:dyDescent="0.2">
      <c r="A22" s="2158" t="s">
        <v>617</v>
      </c>
      <c r="B22" s="2159"/>
      <c r="C22" s="477"/>
      <c r="D22" s="477"/>
      <c r="E22" s="477"/>
      <c r="F22" s="477"/>
      <c r="G22" s="477"/>
      <c r="H22" s="477"/>
      <c r="I22" s="477"/>
      <c r="J22" s="477"/>
      <c r="K22" s="477"/>
      <c r="L22" s="347"/>
    </row>
    <row r="23" spans="1:12" s="485" customFormat="1" ht="15.75" customHeight="1" x14ac:dyDescent="0.2">
      <c r="A23" s="2154" t="s">
        <v>311</v>
      </c>
      <c r="B23" s="2155"/>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56" t="s">
        <v>1038</v>
      </c>
      <c r="B32" s="2157"/>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56859</v>
      </c>
      <c r="F37" s="475"/>
      <c r="G37" s="475"/>
      <c r="H37" s="475"/>
      <c r="I37" s="477"/>
      <c r="J37" s="475"/>
      <c r="K37" s="475"/>
      <c r="L37" s="524"/>
    </row>
    <row r="38" spans="1:12" s="485" customFormat="1" x14ac:dyDescent="0.2">
      <c r="A38" s="1511" t="s">
        <v>462</v>
      </c>
      <c r="B38" s="525">
        <v>7500</v>
      </c>
      <c r="C38" s="477"/>
      <c r="D38" s="477"/>
      <c r="E38" s="1765">
        <f>SUM(C58:D61,H58:H61)</f>
        <v>7833</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4" t="s">
        <v>392</v>
      </c>
      <c r="B44" s="2165"/>
      <c r="C44" s="1725">
        <f>SUM(C24:C43)</f>
        <v>0</v>
      </c>
      <c r="D44" s="1725">
        <f t="shared" ref="D44:K44" si="6">SUM(D24:D43)</f>
        <v>0</v>
      </c>
      <c r="E44" s="1725">
        <f t="shared" si="6"/>
        <v>64692</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8" t="s">
        <v>110</v>
      </c>
      <c r="B45" s="2159"/>
      <c r="C45" s="528"/>
      <c r="D45" s="528"/>
      <c r="E45" s="528"/>
      <c r="F45" s="528"/>
      <c r="G45" s="528"/>
      <c r="H45" s="528"/>
      <c r="I45" s="528"/>
      <c r="J45" s="528"/>
      <c r="K45" s="528"/>
      <c r="L45" s="347"/>
    </row>
    <row r="46" spans="1:12" s="485" customFormat="1" ht="15.75" customHeight="1" x14ac:dyDescent="0.2">
      <c r="A46" s="2166" t="s">
        <v>111</v>
      </c>
      <c r="B46" s="2167"/>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v>56859</v>
      </c>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v>7833</v>
      </c>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0" t="s">
        <v>460</v>
      </c>
      <c r="B76" s="2141"/>
      <c r="C76" s="1725">
        <f t="shared" ref="C76:K76" si="7">SUM(C47:C75)</f>
        <v>64692</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2" t="s">
        <v>1239</v>
      </c>
      <c r="B77" s="2143"/>
      <c r="C77" s="1725">
        <f t="shared" ref="C77:K77" si="8">C44-C76</f>
        <v>-64692</v>
      </c>
      <c r="D77" s="1725">
        <f t="shared" si="8"/>
        <v>0</v>
      </c>
      <c r="E77" s="1725">
        <f t="shared" si="8"/>
        <v>64692</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6" t="s">
        <v>618</v>
      </c>
      <c r="B78" s="2147"/>
      <c r="C78" s="1724">
        <f t="shared" ref="C78:K78" si="9">C20+C77</f>
        <v>4482634</v>
      </c>
      <c r="D78" s="1724">
        <f t="shared" si="9"/>
        <v>292330</v>
      </c>
      <c r="E78" s="1724">
        <f t="shared" si="9"/>
        <v>10146</v>
      </c>
      <c r="F78" s="1724">
        <f t="shared" si="9"/>
        <v>868692</v>
      </c>
      <c r="G78" s="1724">
        <f t="shared" si="9"/>
        <v>142073</v>
      </c>
      <c r="H78" s="1724">
        <f t="shared" si="9"/>
        <v>102</v>
      </c>
      <c r="I78" s="1724">
        <f t="shared" si="9"/>
        <v>33360</v>
      </c>
      <c r="J78" s="1724">
        <f t="shared" si="9"/>
        <v>114138</v>
      </c>
      <c r="K78" s="1724">
        <f t="shared" si="9"/>
        <v>24623</v>
      </c>
      <c r="L78" s="533"/>
    </row>
    <row r="79" spans="1:12" ht="13.5" thickTop="1" x14ac:dyDescent="0.2">
      <c r="A79" s="1516" t="s">
        <v>2072</v>
      </c>
      <c r="B79" s="534"/>
      <c r="C79" s="478">
        <v>-951464</v>
      </c>
      <c r="D79" s="535">
        <v>2771419</v>
      </c>
      <c r="E79" s="535">
        <v>1886329</v>
      </c>
      <c r="F79" s="535">
        <v>3572715</v>
      </c>
      <c r="G79" s="535">
        <v>346778</v>
      </c>
      <c r="H79" s="535">
        <v>80953</v>
      </c>
      <c r="I79" s="535">
        <v>86025</v>
      </c>
      <c r="J79" s="535">
        <v>39849</v>
      </c>
      <c r="K79" s="535">
        <v>86406</v>
      </c>
      <c r="L79" s="347"/>
    </row>
    <row r="80" spans="1:12" x14ac:dyDescent="0.2">
      <c r="A80" s="2152" t="s">
        <v>1897</v>
      </c>
      <c r="B80" s="2153"/>
      <c r="C80" s="467"/>
      <c r="D80" s="467"/>
      <c r="E80" s="467"/>
      <c r="F80" s="467"/>
      <c r="G80" s="467"/>
      <c r="H80" s="467"/>
      <c r="I80" s="467"/>
      <c r="J80" s="467"/>
      <c r="K80" s="467"/>
      <c r="L80" s="347"/>
    </row>
    <row r="81" spans="1:12" ht="13.5" thickBot="1" x14ac:dyDescent="0.25">
      <c r="A81" s="2144" t="s">
        <v>2073</v>
      </c>
      <c r="B81" s="2145"/>
      <c r="C81" s="1710">
        <f>(SUM(C78:C80))</f>
        <v>3531170</v>
      </c>
      <c r="D81" s="1710">
        <f>SUM(D78:D80)</f>
        <v>3063749</v>
      </c>
      <c r="E81" s="1710">
        <f t="shared" ref="E81:K81" si="10">SUM(E78:E80)</f>
        <v>1896475</v>
      </c>
      <c r="F81" s="1710">
        <f t="shared" si="10"/>
        <v>4441407</v>
      </c>
      <c r="G81" s="1710">
        <f t="shared" si="10"/>
        <v>488851</v>
      </c>
      <c r="H81" s="1710">
        <f t="shared" si="10"/>
        <v>81055</v>
      </c>
      <c r="I81" s="1710">
        <f t="shared" si="10"/>
        <v>119385</v>
      </c>
      <c r="J81" s="1710">
        <f t="shared" si="10"/>
        <v>153987</v>
      </c>
      <c r="K81" s="1710">
        <f t="shared" si="10"/>
        <v>111029</v>
      </c>
      <c r="L81" s="347"/>
    </row>
    <row r="82" spans="1:12" ht="0.75" customHeight="1" thickTop="1" thickBot="1" x14ac:dyDescent="0.25">
      <c r="A82" s="536" t="s">
        <v>361</v>
      </c>
      <c r="B82" s="537"/>
      <c r="C82" s="538">
        <f>(C81-C79)</f>
        <v>4482634</v>
      </c>
      <c r="D82" s="538">
        <f t="shared" ref="D82:K82" si="11">(D81-D79)</f>
        <v>292330</v>
      </c>
      <c r="E82" s="538">
        <f t="shared" si="11"/>
        <v>10146</v>
      </c>
      <c r="F82" s="538">
        <f t="shared" si="11"/>
        <v>868692</v>
      </c>
      <c r="G82" s="538">
        <f t="shared" si="11"/>
        <v>142073</v>
      </c>
      <c r="H82" s="538">
        <f t="shared" si="11"/>
        <v>102</v>
      </c>
      <c r="I82" s="538">
        <f t="shared" si="11"/>
        <v>33360</v>
      </c>
      <c r="J82" s="538">
        <f t="shared" si="11"/>
        <v>114138</v>
      </c>
      <c r="K82" s="538">
        <f t="shared" si="11"/>
        <v>24623</v>
      </c>
    </row>
    <row r="83" spans="1:12" ht="14.25" hidden="1" thickTop="1" thickBot="1" x14ac:dyDescent="0.25">
      <c r="A83" s="539" t="s">
        <v>362</v>
      </c>
      <c r="B83" s="464"/>
      <c r="C83" s="540">
        <f>C82/C81</f>
        <v>1.2694472370347505</v>
      </c>
      <c r="D83" s="540">
        <f t="shared" ref="D83:K83" si="12">D82/D81</f>
        <v>9.5415779817471999E-2</v>
      </c>
      <c r="E83" s="540">
        <f t="shared" si="12"/>
        <v>5.3499255197142067E-3</v>
      </c>
      <c r="F83" s="540">
        <f t="shared" si="12"/>
        <v>0.19558937066564716</v>
      </c>
      <c r="G83" s="540">
        <f t="shared" si="12"/>
        <v>0.29062638718137018</v>
      </c>
      <c r="H83" s="540">
        <f t="shared" si="12"/>
        <v>1.2584047868731108E-3</v>
      </c>
      <c r="I83" s="540">
        <f t="shared" si="12"/>
        <v>0.2794320894584747</v>
      </c>
      <c r="J83" s="540">
        <f t="shared" si="12"/>
        <v>0.74121841454148729</v>
      </c>
      <c r="K83" s="540">
        <f t="shared" si="12"/>
        <v>0.2217708886867395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X26" sqref="X26"/>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8" t="s">
        <v>1904</v>
      </c>
      <c r="B1" s="452"/>
      <c r="C1" s="453" t="s">
        <v>445</v>
      </c>
      <c r="D1" s="453" t="s">
        <v>446</v>
      </c>
      <c r="E1" s="453" t="s">
        <v>447</v>
      </c>
      <c r="F1" s="453" t="s">
        <v>448</v>
      </c>
      <c r="G1" s="453" t="s">
        <v>449</v>
      </c>
      <c r="H1" s="453" t="s">
        <v>450</v>
      </c>
      <c r="I1" s="453" t="s">
        <v>451</v>
      </c>
      <c r="J1" s="453" t="s">
        <v>452</v>
      </c>
      <c r="K1" s="453" t="s">
        <v>780</v>
      </c>
    </row>
    <row r="2" spans="1:12" ht="36" x14ac:dyDescent="0.2">
      <c r="A2" s="214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11350514</v>
      </c>
      <c r="D5" s="481">
        <v>1661738</v>
      </c>
      <c r="E5" s="466">
        <v>2913345</v>
      </c>
      <c r="F5" s="548">
        <v>1435287</v>
      </c>
      <c r="G5" s="466">
        <v>24074</v>
      </c>
      <c r="H5" s="466"/>
      <c r="I5" s="466">
        <v>33236</v>
      </c>
      <c r="J5" s="467">
        <v>289213</v>
      </c>
      <c r="K5" s="466">
        <v>33035</v>
      </c>
    </row>
    <row r="6" spans="1:12" ht="15" x14ac:dyDescent="0.2">
      <c r="A6" s="463" t="s">
        <v>1761</v>
      </c>
      <c r="B6" s="470">
        <v>1130</v>
      </c>
      <c r="C6" s="466"/>
      <c r="D6" s="466"/>
      <c r="E6" s="475"/>
      <c r="F6" s="475"/>
      <c r="G6" s="468"/>
      <c r="H6" s="468"/>
      <c r="I6" s="468"/>
      <c r="J6" s="468"/>
      <c r="K6" s="468"/>
    </row>
    <row r="7" spans="1:12" x14ac:dyDescent="0.2">
      <c r="A7" s="463" t="s">
        <v>112</v>
      </c>
      <c r="B7" s="549">
        <v>1140</v>
      </c>
      <c r="C7" s="466">
        <v>1225286</v>
      </c>
      <c r="D7" s="466"/>
      <c r="E7" s="468"/>
      <c r="F7" s="467"/>
      <c r="G7" s="467"/>
      <c r="H7" s="467"/>
      <c r="I7" s="468"/>
      <c r="J7" s="468"/>
      <c r="K7" s="468"/>
    </row>
    <row r="8" spans="1:12" x14ac:dyDescent="0.2">
      <c r="A8" s="463" t="s">
        <v>433</v>
      </c>
      <c r="B8" s="470">
        <v>1150</v>
      </c>
      <c r="C8" s="475"/>
      <c r="D8" s="475"/>
      <c r="E8" s="477"/>
      <c r="F8" s="477"/>
      <c r="G8" s="481">
        <v>774230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v>24175</v>
      </c>
      <c r="H11" s="466"/>
      <c r="I11" s="466"/>
      <c r="J11" s="467"/>
      <c r="K11" s="466"/>
      <c r="L11" s="552"/>
    </row>
    <row r="12" spans="1:12" ht="12.75" customHeight="1" thickBot="1" x14ac:dyDescent="0.25">
      <c r="A12" s="1727" t="s">
        <v>29</v>
      </c>
      <c r="B12" s="1728"/>
      <c r="C12" s="1729">
        <f t="shared" ref="C12:K12" si="0">SUM(C5:C11)</f>
        <v>12575800</v>
      </c>
      <c r="D12" s="1729">
        <f t="shared" si="0"/>
        <v>1661738</v>
      </c>
      <c r="E12" s="1729">
        <f t="shared" si="0"/>
        <v>2913345</v>
      </c>
      <c r="F12" s="1729">
        <f t="shared" si="0"/>
        <v>1435287</v>
      </c>
      <c r="G12" s="1729">
        <f t="shared" si="0"/>
        <v>822479</v>
      </c>
      <c r="H12" s="1729">
        <f t="shared" si="0"/>
        <v>0</v>
      </c>
      <c r="I12" s="1729">
        <f t="shared" si="0"/>
        <v>33236</v>
      </c>
      <c r="J12" s="1729">
        <f t="shared" si="0"/>
        <v>289213</v>
      </c>
      <c r="K12" s="1710">
        <f t="shared" si="0"/>
        <v>33035</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90158</v>
      </c>
      <c r="D16" s="466"/>
      <c r="E16" s="466"/>
      <c r="F16" s="466"/>
      <c r="G16" s="466">
        <v>1000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90158</v>
      </c>
      <c r="D18" s="1732">
        <f t="shared" ref="D18:K18" si="1">SUM(D14:D17)</f>
        <v>0</v>
      </c>
      <c r="E18" s="1732">
        <f t="shared" si="1"/>
        <v>0</v>
      </c>
      <c r="F18" s="1732">
        <f t="shared" si="1"/>
        <v>0</v>
      </c>
      <c r="G18" s="1732">
        <f t="shared" si="1"/>
        <v>1000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-1814</v>
      </c>
      <c r="D65" s="466">
        <v>3280</v>
      </c>
      <c r="E65" s="466">
        <v>1767</v>
      </c>
      <c r="F65" s="467">
        <v>5031</v>
      </c>
      <c r="G65" s="466">
        <v>383</v>
      </c>
      <c r="H65" s="466">
        <v>102</v>
      </c>
      <c r="I65" s="466">
        <v>124</v>
      </c>
      <c r="J65" s="467">
        <v>-9</v>
      </c>
      <c r="K65" s="466">
        <v>121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-1814</v>
      </c>
      <c r="D67" s="1710">
        <f t="shared" ref="D67:K67" si="2">SUM(D65:D66)</f>
        <v>3280</v>
      </c>
      <c r="E67" s="1710">
        <f t="shared" si="2"/>
        <v>1767</v>
      </c>
      <c r="F67" s="1710">
        <f t="shared" si="2"/>
        <v>5031</v>
      </c>
      <c r="G67" s="1710">
        <f t="shared" si="2"/>
        <v>383</v>
      </c>
      <c r="H67" s="1710">
        <f t="shared" si="2"/>
        <v>102</v>
      </c>
      <c r="I67" s="1710">
        <f t="shared" si="2"/>
        <v>124</v>
      </c>
      <c r="J67" s="1710">
        <f t="shared" si="2"/>
        <v>-9</v>
      </c>
      <c r="K67" s="1710">
        <f t="shared" si="2"/>
        <v>121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14712</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14712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102419</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102419</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10009</v>
      </c>
      <c r="E95" s="521"/>
      <c r="F95" s="521"/>
      <c r="G95" s="521"/>
      <c r="H95" s="521"/>
      <c r="I95" s="521"/>
      <c r="J95" s="521"/>
      <c r="K95" s="521"/>
    </row>
    <row r="96" spans="1:11" ht="12.75" customHeight="1" x14ac:dyDescent="0.2">
      <c r="A96" s="463" t="s">
        <v>409</v>
      </c>
      <c r="B96" s="470">
        <v>1920</v>
      </c>
      <c r="C96" s="551">
        <v>115274</v>
      </c>
      <c r="D96" s="551">
        <v>196016</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v>4277</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1266</v>
      </c>
      <c r="D107" s="466"/>
      <c r="E107" s="466"/>
      <c r="F107" s="466"/>
      <c r="G107" s="466"/>
      <c r="H107" s="466"/>
      <c r="I107" s="466"/>
      <c r="J107" s="467"/>
      <c r="K107" s="466"/>
    </row>
    <row r="108" spans="1:12" ht="12.75" customHeight="1" thickBot="1" x14ac:dyDescent="0.25">
      <c r="A108" s="1730" t="s">
        <v>508</v>
      </c>
      <c r="B108" s="1734"/>
      <c r="C108" s="1729">
        <f>SUM(C95:C107)</f>
        <v>120817</v>
      </c>
      <c r="D108" s="1729">
        <f t="shared" ref="D108:K108" si="3">SUM(D95:D107)</f>
        <v>206025</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12902092</v>
      </c>
      <c r="D109" s="1737">
        <f t="shared" si="4"/>
        <v>1871043</v>
      </c>
      <c r="E109" s="1737">
        <f t="shared" si="4"/>
        <v>2915112</v>
      </c>
      <c r="F109" s="1737">
        <f t="shared" si="4"/>
        <v>1440318</v>
      </c>
      <c r="G109" s="1737">
        <f t="shared" si="4"/>
        <v>823862</v>
      </c>
      <c r="H109" s="1737">
        <f t="shared" si="4"/>
        <v>102</v>
      </c>
      <c r="I109" s="1737">
        <f t="shared" si="4"/>
        <v>33360</v>
      </c>
      <c r="J109" s="1737">
        <f t="shared" si="4"/>
        <v>289204</v>
      </c>
      <c r="K109" s="1724">
        <f t="shared" si="4"/>
        <v>33156</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9788195</v>
      </c>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9788195</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105452</v>
      </c>
      <c r="D124" s="561"/>
      <c r="E124" s="468"/>
      <c r="F124" s="548"/>
      <c r="G124" s="468"/>
      <c r="H124" s="468"/>
      <c r="I124" s="468"/>
      <c r="J124" s="468"/>
      <c r="K124" s="468"/>
    </row>
    <row r="125" spans="1:11" ht="12.75" customHeight="1" x14ac:dyDescent="0.2">
      <c r="A125" s="463" t="s">
        <v>1521</v>
      </c>
      <c r="B125" s="562">
        <v>3105</v>
      </c>
      <c r="C125" s="466">
        <v>161285</v>
      </c>
      <c r="D125" s="561"/>
      <c r="E125" s="468"/>
      <c r="F125" s="466"/>
      <c r="G125" s="468"/>
      <c r="H125" s="468"/>
      <c r="I125" s="468"/>
      <c r="J125" s="468"/>
      <c r="K125" s="468"/>
    </row>
    <row r="126" spans="1:11" ht="12.75" customHeight="1" x14ac:dyDescent="0.2">
      <c r="A126" s="463" t="s">
        <v>922</v>
      </c>
      <c r="B126" s="562">
        <v>3110</v>
      </c>
      <c r="C126" s="551">
        <v>193849</v>
      </c>
      <c r="D126" s="466"/>
      <c r="E126" s="468"/>
      <c r="F126" s="466"/>
      <c r="G126" s="468"/>
      <c r="H126" s="468"/>
      <c r="I126" s="468"/>
      <c r="J126" s="468"/>
      <c r="K126" s="468"/>
    </row>
    <row r="127" spans="1:11" ht="12.75" customHeight="1" x14ac:dyDescent="0.2">
      <c r="A127" s="463" t="s">
        <v>107</v>
      </c>
      <c r="B127" s="562">
        <v>3120</v>
      </c>
      <c r="C127" s="466">
        <v>135085</v>
      </c>
      <c r="D127" s="561"/>
      <c r="E127" s="468"/>
      <c r="F127" s="466"/>
      <c r="G127" s="468"/>
      <c r="H127" s="468"/>
      <c r="I127" s="468"/>
      <c r="J127" s="468"/>
      <c r="K127" s="468"/>
    </row>
    <row r="128" spans="1:11" ht="12.75" customHeight="1" x14ac:dyDescent="0.2">
      <c r="A128" s="463" t="s">
        <v>1522</v>
      </c>
      <c r="B128" s="562">
        <v>3130</v>
      </c>
      <c r="C128" s="466">
        <v>5997</v>
      </c>
      <c r="D128" s="561"/>
      <c r="E128" s="468"/>
      <c r="F128" s="466"/>
      <c r="G128" s="468"/>
      <c r="H128" s="468"/>
      <c r="I128" s="468"/>
      <c r="J128" s="468"/>
      <c r="K128" s="468"/>
    </row>
    <row r="129" spans="1:11" ht="12.75" customHeight="1" x14ac:dyDescent="0.2">
      <c r="A129" s="463" t="s">
        <v>139</v>
      </c>
      <c r="B129" s="562">
        <v>3145</v>
      </c>
      <c r="C129" s="466">
        <v>9530</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611198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151380</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151380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19526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700499</v>
      </c>
      <c r="G151" s="467"/>
      <c r="H151" s="468"/>
      <c r="I151" s="468"/>
      <c r="J151" s="468"/>
      <c r="K151" s="468"/>
    </row>
    <row r="152" spans="1:11" ht="12.75" customHeight="1" x14ac:dyDescent="0.2">
      <c r="A152" s="463" t="s">
        <v>1117</v>
      </c>
      <c r="B152" s="562">
        <v>3510</v>
      </c>
      <c r="C152" s="551"/>
      <c r="D152" s="466"/>
      <c r="E152" s="561"/>
      <c r="F152" s="466">
        <v>941483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1641982</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3143</v>
      </c>
      <c r="D171" s="580"/>
      <c r="E171" s="580"/>
      <c r="F171" s="580"/>
      <c r="G171" s="581"/>
      <c r="H171" s="582"/>
      <c r="I171" s="581"/>
      <c r="J171" s="581"/>
      <c r="K171" s="582"/>
    </row>
    <row r="172" spans="1:11" ht="12.75" customHeight="1" thickTop="1" thickBot="1" x14ac:dyDescent="0.25">
      <c r="A172" s="2168" t="s">
        <v>418</v>
      </c>
      <c r="B172" s="2169"/>
      <c r="C172" s="1744">
        <f t="shared" ref="C172:K172" si="6">SUM(C131,C140,C144,C145:C149,C154,C155:C170,C171)</f>
        <v>785247</v>
      </c>
      <c r="D172" s="1744">
        <f t="shared" si="6"/>
        <v>0</v>
      </c>
      <c r="E172" s="1744">
        <f t="shared" si="6"/>
        <v>0</v>
      </c>
      <c r="F172" s="1744">
        <f t="shared" si="6"/>
        <v>1641982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10573442</v>
      </c>
      <c r="D173" s="1737">
        <f>SUM(D121,D172)</f>
        <v>0</v>
      </c>
      <c r="E173" s="1737">
        <f>SUM(E121,E172)</f>
        <v>0</v>
      </c>
      <c r="F173" s="1737">
        <f t="shared" ref="F173:K173" si="7">SUM(F121,F172)</f>
        <v>1641982</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0" t="s">
        <v>1572</v>
      </c>
      <c r="B175" s="2171"/>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4" t="s">
        <v>1764</v>
      </c>
      <c r="B178" s="2175"/>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8" t="s">
        <v>1763</v>
      </c>
      <c r="B179" s="217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6" t="s">
        <v>818</v>
      </c>
      <c r="B184" s="2177"/>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2" t="s">
        <v>1905</v>
      </c>
      <c r="B185" s="2173"/>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754794</v>
      </c>
      <c r="D194" s="468"/>
      <c r="E194" s="561"/>
      <c r="F194" s="468"/>
      <c r="G194" s="585"/>
      <c r="H194" s="468"/>
      <c r="I194" s="468"/>
      <c r="J194" s="468"/>
      <c r="K194" s="468"/>
    </row>
    <row r="195" spans="1:11" ht="12.75" customHeight="1" x14ac:dyDescent="0.2">
      <c r="A195" s="463" t="s">
        <v>1107</v>
      </c>
      <c r="B195" s="470">
        <v>4215</v>
      </c>
      <c r="C195" s="551">
        <v>154</v>
      </c>
      <c r="D195" s="468"/>
      <c r="E195" s="561"/>
      <c r="F195" s="468"/>
      <c r="G195" s="585"/>
      <c r="H195" s="468"/>
      <c r="I195" s="468"/>
      <c r="J195" s="468"/>
      <c r="K195" s="468"/>
    </row>
    <row r="196" spans="1:11" ht="12.75" customHeight="1" x14ac:dyDescent="0.2">
      <c r="A196" s="463" t="s">
        <v>1119</v>
      </c>
      <c r="B196" s="470">
        <v>4220</v>
      </c>
      <c r="C196" s="551">
        <v>358226</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1113174</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755006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755006</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15072</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15072</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17245</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335225</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352470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v>3336</v>
      </c>
      <c r="D263" s="468"/>
      <c r="E263" s="468"/>
      <c r="F263" s="578"/>
      <c r="G263" s="573"/>
      <c r="H263" s="468"/>
      <c r="I263" s="468"/>
      <c r="J263" s="468"/>
      <c r="K263" s="468"/>
    </row>
    <row r="264" spans="1:11" ht="12.75" customHeight="1" thickTop="1" thickBot="1" x14ac:dyDescent="0.25">
      <c r="A264" s="463" t="s">
        <v>1532</v>
      </c>
      <c r="B264" s="470">
        <v>4909</v>
      </c>
      <c r="C264" s="576">
        <v>69690</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90289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23191</v>
      </c>
      <c r="D270" s="576"/>
      <c r="E270" s="468"/>
      <c r="F270" s="576"/>
      <c r="G270" s="576"/>
      <c r="H270" s="468"/>
      <c r="I270" s="468"/>
      <c r="J270" s="468"/>
      <c r="K270" s="468"/>
    </row>
    <row r="271" spans="1:11" ht="12.75" customHeight="1" thickTop="1" thickBot="1" x14ac:dyDescent="0.25">
      <c r="A271" s="463" t="s">
        <v>395</v>
      </c>
      <c r="B271" s="470">
        <v>4992</v>
      </c>
      <c r="C271" s="575">
        <v>345603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2767831</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2767831</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26243365</v>
      </c>
      <c r="D275" s="1737">
        <f t="shared" si="12"/>
        <v>1871043</v>
      </c>
      <c r="E275" s="1737">
        <f t="shared" si="12"/>
        <v>2915112</v>
      </c>
      <c r="F275" s="1737">
        <f t="shared" si="12"/>
        <v>3082300</v>
      </c>
      <c r="G275" s="1737">
        <f t="shared" si="12"/>
        <v>823862</v>
      </c>
      <c r="H275" s="1737">
        <f t="shared" si="12"/>
        <v>102</v>
      </c>
      <c r="I275" s="1737">
        <f t="shared" si="12"/>
        <v>33360</v>
      </c>
      <c r="J275" s="1737">
        <f t="shared" si="12"/>
        <v>289204</v>
      </c>
      <c r="K275" s="1724">
        <f t="shared" si="12"/>
        <v>33156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50" activePane="bottomLeft" state="frozen"/>
      <selection activeCell="X26" sqref="X26"/>
      <selection pane="bottomLeft" activeCell="X26" sqref="X2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8"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8" t="s">
        <v>315</v>
      </c>
      <c r="B3" s="218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9546819</v>
      </c>
      <c r="D5" s="466">
        <v>1579726</v>
      </c>
      <c r="E5" s="466">
        <v>191551</v>
      </c>
      <c r="F5" s="466">
        <v>547006</v>
      </c>
      <c r="G5" s="466">
        <v>75324</v>
      </c>
      <c r="H5" s="466"/>
      <c r="I5" s="467">
        <v>112132</v>
      </c>
      <c r="J5" s="467"/>
      <c r="K5" s="1693">
        <f>SUM(C5:J5)</f>
        <v>12052558</v>
      </c>
      <c r="L5" s="466">
        <v>12620800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1958190</v>
      </c>
      <c r="D8" s="466">
        <v>512222</v>
      </c>
      <c r="E8" s="466">
        <v>22529</v>
      </c>
      <c r="F8" s="466">
        <v>9416</v>
      </c>
      <c r="G8" s="466"/>
      <c r="H8" s="466"/>
      <c r="I8" s="467"/>
      <c r="J8" s="467"/>
      <c r="K8" s="1693">
        <f t="shared" si="0"/>
        <v>2502357</v>
      </c>
      <c r="L8" s="466">
        <v>2503816</v>
      </c>
    </row>
    <row r="9" spans="1:14" x14ac:dyDescent="0.2">
      <c r="A9" s="1526" t="s">
        <v>745</v>
      </c>
      <c r="B9" s="615" t="s">
        <v>1025</v>
      </c>
      <c r="C9" s="467">
        <v>126990</v>
      </c>
      <c r="D9" s="467">
        <v>38464</v>
      </c>
      <c r="E9" s="467"/>
      <c r="F9" s="467">
        <v>122</v>
      </c>
      <c r="G9" s="467"/>
      <c r="H9" s="467"/>
      <c r="I9" s="467"/>
      <c r="J9" s="467"/>
      <c r="K9" s="1693">
        <f t="shared" si="0"/>
        <v>165576</v>
      </c>
      <c r="L9" s="466">
        <v>162148</v>
      </c>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v>8353</v>
      </c>
      <c r="D15" s="466">
        <v>72</v>
      </c>
      <c r="E15" s="466"/>
      <c r="F15" s="466">
        <v>126</v>
      </c>
      <c r="G15" s="466"/>
      <c r="H15" s="466"/>
      <c r="I15" s="467"/>
      <c r="J15" s="467"/>
      <c r="K15" s="1693">
        <f t="shared" si="0"/>
        <v>8551</v>
      </c>
      <c r="L15" s="466">
        <v>18628</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289342</v>
      </c>
      <c r="I22" s="617"/>
      <c r="J22" s="477"/>
      <c r="K22" s="1693">
        <f t="shared" si="0"/>
        <v>289342</v>
      </c>
      <c r="L22" s="471">
        <v>395000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11640352</v>
      </c>
      <c r="D33" s="1692">
        <f t="shared" ref="D33:L33" si="1">SUM(D5:D32)</f>
        <v>2130484</v>
      </c>
      <c r="E33" s="1692">
        <f t="shared" si="1"/>
        <v>214080</v>
      </c>
      <c r="F33" s="1692">
        <f t="shared" si="1"/>
        <v>556670</v>
      </c>
      <c r="G33" s="1692">
        <f t="shared" si="1"/>
        <v>75324</v>
      </c>
      <c r="H33" s="1692">
        <f t="shared" si="1"/>
        <v>289342</v>
      </c>
      <c r="I33" s="1692">
        <f t="shared" si="1"/>
        <v>112132</v>
      </c>
      <c r="J33" s="1692">
        <f t="shared" si="1"/>
        <v>0</v>
      </c>
      <c r="K33" s="1692">
        <f t="shared" si="1"/>
        <v>15018384</v>
      </c>
      <c r="L33" s="1692">
        <f t="shared" si="1"/>
        <v>15700392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503769</v>
      </c>
      <c r="D36" s="481">
        <v>88503</v>
      </c>
      <c r="E36" s="481">
        <v>5060</v>
      </c>
      <c r="F36" s="481">
        <v>311</v>
      </c>
      <c r="G36" s="481"/>
      <c r="H36" s="481"/>
      <c r="I36" s="467"/>
      <c r="J36" s="467"/>
      <c r="K36" s="1693">
        <f t="shared" ref="K36:K41" si="2">SUM(C36:J36)</f>
        <v>597643</v>
      </c>
      <c r="L36" s="466">
        <v>589595</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307650</v>
      </c>
      <c r="D38" s="466">
        <v>63684</v>
      </c>
      <c r="E38" s="466">
        <v>67263</v>
      </c>
      <c r="F38" s="466">
        <v>7187</v>
      </c>
      <c r="G38" s="466"/>
      <c r="H38" s="466"/>
      <c r="I38" s="467"/>
      <c r="J38" s="467"/>
      <c r="K38" s="1693">
        <f t="shared" si="2"/>
        <v>445784</v>
      </c>
      <c r="L38" s="466">
        <v>438024</v>
      </c>
    </row>
    <row r="39" spans="1:14" x14ac:dyDescent="0.2">
      <c r="A39" s="1526" t="s">
        <v>208</v>
      </c>
      <c r="B39" s="615">
        <v>2140</v>
      </c>
      <c r="C39" s="466"/>
      <c r="D39" s="466"/>
      <c r="E39" s="466">
        <v>200790</v>
      </c>
      <c r="F39" s="466"/>
      <c r="G39" s="466"/>
      <c r="H39" s="466"/>
      <c r="I39" s="467"/>
      <c r="J39" s="467"/>
      <c r="K39" s="1693">
        <f t="shared" si="2"/>
        <v>200790</v>
      </c>
      <c r="L39" s="466">
        <v>185200</v>
      </c>
    </row>
    <row r="40" spans="1:14" x14ac:dyDescent="0.2">
      <c r="A40" s="1526" t="s">
        <v>209</v>
      </c>
      <c r="B40" s="615">
        <v>2150</v>
      </c>
      <c r="C40" s="466">
        <v>258686</v>
      </c>
      <c r="D40" s="466">
        <v>46981</v>
      </c>
      <c r="E40" s="466">
        <v>242370</v>
      </c>
      <c r="F40" s="466">
        <v>1712</v>
      </c>
      <c r="G40" s="466"/>
      <c r="H40" s="466">
        <v>1226</v>
      </c>
      <c r="I40" s="467"/>
      <c r="J40" s="467"/>
      <c r="K40" s="1693">
        <f t="shared" si="2"/>
        <v>550975</v>
      </c>
      <c r="L40" s="466">
        <v>682959</v>
      </c>
    </row>
    <row r="41" spans="1:14" x14ac:dyDescent="0.2">
      <c r="A41" s="1526" t="s">
        <v>1768</v>
      </c>
      <c r="B41" s="615">
        <v>2190</v>
      </c>
      <c r="C41" s="466">
        <v>130215</v>
      </c>
      <c r="D41" s="466"/>
      <c r="E41" s="466"/>
      <c r="F41" s="466"/>
      <c r="G41" s="466"/>
      <c r="H41" s="466"/>
      <c r="I41" s="467"/>
      <c r="J41" s="467"/>
      <c r="K41" s="1693">
        <f t="shared" si="2"/>
        <v>130215</v>
      </c>
      <c r="L41" s="466">
        <v>156910</v>
      </c>
    </row>
    <row r="42" spans="1:14" ht="12.75" customHeight="1" thickBot="1" x14ac:dyDescent="0.25">
      <c r="A42" s="1690" t="s">
        <v>581</v>
      </c>
      <c r="B42" s="1691" t="s">
        <v>740</v>
      </c>
      <c r="C42" s="1692">
        <f>SUM(C36:C41)</f>
        <v>1200320</v>
      </c>
      <c r="D42" s="1692">
        <f t="shared" ref="D42:L42" si="3">SUM(D36:D41)</f>
        <v>199168</v>
      </c>
      <c r="E42" s="1692">
        <f t="shared" si="3"/>
        <v>515483</v>
      </c>
      <c r="F42" s="1692">
        <f t="shared" si="3"/>
        <v>9210</v>
      </c>
      <c r="G42" s="1692">
        <f t="shared" si="3"/>
        <v>0</v>
      </c>
      <c r="H42" s="1692">
        <f t="shared" si="3"/>
        <v>1226</v>
      </c>
      <c r="I42" s="1692">
        <f t="shared" si="3"/>
        <v>0</v>
      </c>
      <c r="J42" s="1692">
        <f t="shared" si="3"/>
        <v>0</v>
      </c>
      <c r="K42" s="1692">
        <f t="shared" si="3"/>
        <v>1925407</v>
      </c>
      <c r="L42" s="1692">
        <f t="shared" si="3"/>
        <v>2052688</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39585</v>
      </c>
      <c r="D44" s="481">
        <v>12127</v>
      </c>
      <c r="E44" s="481">
        <v>66279</v>
      </c>
      <c r="F44" s="481">
        <v>23075</v>
      </c>
      <c r="G44" s="481"/>
      <c r="H44" s="481"/>
      <c r="I44" s="467"/>
      <c r="J44" s="467"/>
      <c r="K44" s="1694">
        <f>SUM(C44:J44)</f>
        <v>141066</v>
      </c>
      <c r="L44" s="481">
        <v>300947</v>
      </c>
    </row>
    <row r="45" spans="1:14" x14ac:dyDescent="0.2">
      <c r="A45" s="1526" t="s">
        <v>869</v>
      </c>
      <c r="B45" s="615">
        <v>2220</v>
      </c>
      <c r="C45" s="466">
        <v>183822</v>
      </c>
      <c r="D45" s="466">
        <v>40738</v>
      </c>
      <c r="E45" s="466">
        <v>7763</v>
      </c>
      <c r="F45" s="466"/>
      <c r="G45" s="466"/>
      <c r="H45" s="466"/>
      <c r="I45" s="467"/>
      <c r="J45" s="467"/>
      <c r="K45" s="1694">
        <f>SUM(C45:J45)</f>
        <v>232323</v>
      </c>
      <c r="L45" s="466">
        <v>253052</v>
      </c>
    </row>
    <row r="46" spans="1:14" x14ac:dyDescent="0.2">
      <c r="A46" s="1526" t="s">
        <v>870</v>
      </c>
      <c r="B46" s="615">
        <v>2230</v>
      </c>
      <c r="C46" s="466"/>
      <c r="D46" s="466"/>
      <c r="E46" s="466">
        <v>43100</v>
      </c>
      <c r="F46" s="466"/>
      <c r="G46" s="466"/>
      <c r="H46" s="466"/>
      <c r="I46" s="467"/>
      <c r="J46" s="467"/>
      <c r="K46" s="1694">
        <f>SUM(C46:J46)</f>
        <v>43100</v>
      </c>
      <c r="L46" s="466">
        <v>0</v>
      </c>
    </row>
    <row r="47" spans="1:14" ht="12.75" customHeight="1" thickBot="1" x14ac:dyDescent="0.25">
      <c r="A47" s="1690" t="s">
        <v>582</v>
      </c>
      <c r="B47" s="1691" t="s">
        <v>32</v>
      </c>
      <c r="C47" s="1692">
        <f>SUM(C44:C46)</f>
        <v>223407</v>
      </c>
      <c r="D47" s="1692">
        <f t="shared" ref="D47:K47" si="4">SUM(D44:D46)</f>
        <v>52865</v>
      </c>
      <c r="E47" s="1692">
        <f t="shared" si="4"/>
        <v>117142</v>
      </c>
      <c r="F47" s="1692">
        <f t="shared" si="4"/>
        <v>23075</v>
      </c>
      <c r="G47" s="1692">
        <f t="shared" si="4"/>
        <v>0</v>
      </c>
      <c r="H47" s="1692">
        <f t="shared" si="4"/>
        <v>0</v>
      </c>
      <c r="I47" s="1692">
        <f t="shared" si="4"/>
        <v>0</v>
      </c>
      <c r="J47" s="1692">
        <f t="shared" si="4"/>
        <v>0</v>
      </c>
      <c r="K47" s="1692">
        <f t="shared" si="4"/>
        <v>416489</v>
      </c>
      <c r="L47" s="1692">
        <f>SUM(L44:L46)</f>
        <v>553999</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5812</v>
      </c>
      <c r="D49" s="481"/>
      <c r="E49" s="481">
        <v>130904</v>
      </c>
      <c r="F49" s="481">
        <v>8196</v>
      </c>
      <c r="G49" s="481"/>
      <c r="H49" s="481">
        <v>9729</v>
      </c>
      <c r="I49" s="467"/>
      <c r="J49" s="467"/>
      <c r="K49" s="1694">
        <f>SUM(C49:J49)</f>
        <v>154641</v>
      </c>
      <c r="L49" s="481">
        <v>200312</v>
      </c>
    </row>
    <row r="50" spans="1:14" x14ac:dyDescent="0.2">
      <c r="A50" s="1526" t="s">
        <v>872</v>
      </c>
      <c r="B50" s="615">
        <v>2320</v>
      </c>
      <c r="C50" s="466">
        <v>163776</v>
      </c>
      <c r="D50" s="466">
        <v>490</v>
      </c>
      <c r="E50" s="466"/>
      <c r="F50" s="466">
        <v>94</v>
      </c>
      <c r="G50" s="466"/>
      <c r="H50" s="466">
        <v>200</v>
      </c>
      <c r="I50" s="467"/>
      <c r="J50" s="467"/>
      <c r="K50" s="1694">
        <f>SUM(C50:J50)</f>
        <v>164560</v>
      </c>
      <c r="L50" s="466">
        <v>318354</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169588</v>
      </c>
      <c r="D53" s="1692">
        <f t="shared" ref="D53:L53" si="5">SUM(D49:D52)</f>
        <v>490</v>
      </c>
      <c r="E53" s="1692">
        <f t="shared" si="5"/>
        <v>130904</v>
      </c>
      <c r="F53" s="1692">
        <f t="shared" si="5"/>
        <v>8290</v>
      </c>
      <c r="G53" s="1692">
        <f t="shared" si="5"/>
        <v>0</v>
      </c>
      <c r="H53" s="1692">
        <f t="shared" si="5"/>
        <v>9929</v>
      </c>
      <c r="I53" s="1692">
        <f t="shared" si="5"/>
        <v>0</v>
      </c>
      <c r="J53" s="1692">
        <f t="shared" si="5"/>
        <v>0</v>
      </c>
      <c r="K53" s="1692">
        <f t="shared" si="5"/>
        <v>319201</v>
      </c>
      <c r="L53" s="1692">
        <f t="shared" si="5"/>
        <v>518666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786615</v>
      </c>
      <c r="D55" s="481">
        <v>260830</v>
      </c>
      <c r="E55" s="481">
        <v>659</v>
      </c>
      <c r="F55" s="481">
        <v>3797</v>
      </c>
      <c r="G55" s="481"/>
      <c r="H55" s="481"/>
      <c r="I55" s="467"/>
      <c r="J55" s="467"/>
      <c r="K55" s="1694">
        <f>SUM(C55:J55)</f>
        <v>1051901</v>
      </c>
      <c r="L55" s="481">
        <v>983625</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786615</v>
      </c>
      <c r="D57" s="1696">
        <f t="shared" ref="D57:K57" si="6">SUM(D55:D56)</f>
        <v>260830</v>
      </c>
      <c r="E57" s="1696">
        <f t="shared" si="6"/>
        <v>659</v>
      </c>
      <c r="F57" s="1696">
        <f t="shared" si="6"/>
        <v>3797</v>
      </c>
      <c r="G57" s="1696">
        <f t="shared" si="6"/>
        <v>0</v>
      </c>
      <c r="H57" s="1696">
        <f t="shared" si="6"/>
        <v>0</v>
      </c>
      <c r="I57" s="1696">
        <f t="shared" si="6"/>
        <v>0</v>
      </c>
      <c r="J57" s="1696">
        <f t="shared" si="6"/>
        <v>0</v>
      </c>
      <c r="K57" s="1696">
        <f t="shared" si="6"/>
        <v>1051901</v>
      </c>
      <c r="L57" s="1692">
        <f>SUM(L55:L56)</f>
        <v>983625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100038</v>
      </c>
      <c r="D59" s="481">
        <v>37072</v>
      </c>
      <c r="E59" s="481"/>
      <c r="F59" s="481"/>
      <c r="G59" s="481"/>
      <c r="H59" s="481">
        <v>1337</v>
      </c>
      <c r="I59" s="467"/>
      <c r="J59" s="467"/>
      <c r="K59" s="1694">
        <f t="shared" ref="K59:K64" si="7">SUM(C59:J59)</f>
        <v>138447</v>
      </c>
      <c r="L59" s="481">
        <v>138631</v>
      </c>
      <c r="M59" s="610"/>
      <c r="N59" s="610"/>
    </row>
    <row r="60" spans="1:14" s="343" customFormat="1" x14ac:dyDescent="0.2">
      <c r="A60" s="1526" t="s">
        <v>483</v>
      </c>
      <c r="B60" s="615">
        <v>2520</v>
      </c>
      <c r="C60" s="466">
        <v>214330</v>
      </c>
      <c r="D60" s="466">
        <v>33563</v>
      </c>
      <c r="E60" s="466">
        <v>22778</v>
      </c>
      <c r="F60" s="466">
        <v>41189</v>
      </c>
      <c r="G60" s="466"/>
      <c r="H60" s="466">
        <v>500</v>
      </c>
      <c r="I60" s="467"/>
      <c r="J60" s="467"/>
      <c r="K60" s="1694">
        <f t="shared" si="7"/>
        <v>312360</v>
      </c>
      <c r="L60" s="466">
        <v>393209</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187864</v>
      </c>
      <c r="D63" s="466">
        <v>43961</v>
      </c>
      <c r="E63" s="466">
        <v>741184</v>
      </c>
      <c r="F63" s="466">
        <f>204939-99495</f>
        <v>105444</v>
      </c>
      <c r="G63" s="466"/>
      <c r="H63" s="466"/>
      <c r="I63" s="467"/>
      <c r="J63" s="467"/>
      <c r="K63" s="1694">
        <f t="shared" si="7"/>
        <v>1078453</v>
      </c>
      <c r="L63" s="466">
        <v>1275666</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502232</v>
      </c>
      <c r="D65" s="1692">
        <f t="shared" ref="D65:L65" si="8">SUM(D59:D64)</f>
        <v>114596</v>
      </c>
      <c r="E65" s="1692">
        <f t="shared" si="8"/>
        <v>763962</v>
      </c>
      <c r="F65" s="1692">
        <f t="shared" si="8"/>
        <v>146633</v>
      </c>
      <c r="G65" s="1692">
        <f t="shared" si="8"/>
        <v>0</v>
      </c>
      <c r="H65" s="1692">
        <f t="shared" si="8"/>
        <v>1837</v>
      </c>
      <c r="I65" s="1692">
        <f t="shared" si="8"/>
        <v>0</v>
      </c>
      <c r="J65" s="1692">
        <f t="shared" si="8"/>
        <v>0</v>
      </c>
      <c r="K65" s="1692">
        <f t="shared" si="8"/>
        <v>1529260</v>
      </c>
      <c r="L65" s="1692">
        <f t="shared" si="8"/>
        <v>1807506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2882162</v>
      </c>
      <c r="D74" s="1699">
        <f t="shared" ref="D74:K74" si="10">SUM(D42,D47,D53,D57,D65,D72,D73)</f>
        <v>627949</v>
      </c>
      <c r="E74" s="1699">
        <f t="shared" si="10"/>
        <v>1528150</v>
      </c>
      <c r="F74" s="1699">
        <f t="shared" si="10"/>
        <v>191005</v>
      </c>
      <c r="G74" s="1699">
        <f t="shared" si="10"/>
        <v>0</v>
      </c>
      <c r="H74" s="1699">
        <f t="shared" si="10"/>
        <v>12992</v>
      </c>
      <c r="I74" s="1699">
        <f t="shared" si="10"/>
        <v>0</v>
      </c>
      <c r="J74" s="1699">
        <f t="shared" si="10"/>
        <v>0</v>
      </c>
      <c r="K74" s="1699">
        <f t="shared" si="10"/>
        <v>5242258</v>
      </c>
      <c r="L74" s="1699">
        <f>SUM(L42,L47,L53,L57,L65,L72,L73)</f>
        <v>5916484</v>
      </c>
    </row>
    <row r="75" spans="1:14" s="259" customFormat="1" ht="15.75" customHeight="1" thickTop="1" thickBot="1" x14ac:dyDescent="0.25">
      <c r="A75" s="1632" t="s">
        <v>49</v>
      </c>
      <c r="B75" s="1633" t="s">
        <v>596</v>
      </c>
      <c r="C75" s="573"/>
      <c r="D75" s="573"/>
      <c r="E75" s="573">
        <v>16169</v>
      </c>
      <c r="F75" s="573">
        <v>846</v>
      </c>
      <c r="G75" s="573"/>
      <c r="H75" s="573"/>
      <c r="I75" s="531"/>
      <c r="J75" s="531"/>
      <c r="K75" s="1692">
        <f>SUM(C75:J75)</f>
        <v>17015</v>
      </c>
      <c r="L75" s="576">
        <v>35046</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1418382</v>
      </c>
      <c r="I79" s="477"/>
      <c r="J79" s="477"/>
      <c r="K79" s="1693">
        <f t="shared" si="11"/>
        <v>1418382</v>
      </c>
      <c r="L79" s="466">
        <v>1500000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1418382</v>
      </c>
      <c r="I84" s="477"/>
      <c r="J84" s="477"/>
      <c r="K84" s="1692">
        <f>SUM(K78:K83)</f>
        <v>1418382</v>
      </c>
      <c r="L84" s="1692">
        <f>SUM(L78:L83)</f>
        <v>1500000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1418382</v>
      </c>
      <c r="I102" s="477"/>
      <c r="J102" s="477"/>
      <c r="K102" s="1699">
        <f>SUM(K84,K92,K100,K101)</f>
        <v>1418382</v>
      </c>
      <c r="L102" s="1699">
        <f>SUM(L84,L92,L100,L101)</f>
        <v>1500000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15000</v>
      </c>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15000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15000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14522514</v>
      </c>
      <c r="D114" s="1692">
        <f t="shared" ref="D114:K114" si="13">SUM(D33,D74,D75,D102,D112,D113)</f>
        <v>2758433</v>
      </c>
      <c r="E114" s="1692">
        <f t="shared" si="13"/>
        <v>1758399</v>
      </c>
      <c r="F114" s="1692">
        <f t="shared" si="13"/>
        <v>748521</v>
      </c>
      <c r="G114" s="1692">
        <f t="shared" si="13"/>
        <v>75324</v>
      </c>
      <c r="H114" s="1692">
        <f>SUM(H33,H74,H75,H102,H112,H113)</f>
        <v>1720716</v>
      </c>
      <c r="I114" s="1692">
        <f t="shared" si="13"/>
        <v>112132</v>
      </c>
      <c r="J114" s="1692">
        <f t="shared" si="13"/>
        <v>0</v>
      </c>
      <c r="K114" s="1692">
        <f t="shared" si="13"/>
        <v>21696039</v>
      </c>
      <c r="L114" s="1692">
        <f>SUM(L33,L74,L75,L102,L112,L113)</f>
        <v>23166922</v>
      </c>
    </row>
    <row r="115" spans="1:14" ht="13.5" thickTop="1" x14ac:dyDescent="0.2">
      <c r="A115" s="2180" t="s">
        <v>1053</v>
      </c>
      <c r="B115" s="2181"/>
      <c r="C115" s="619"/>
      <c r="D115" s="619"/>
      <c r="E115" s="619"/>
      <c r="F115" s="619"/>
      <c r="G115" s="619"/>
      <c r="H115" s="619"/>
      <c r="I115" s="619"/>
      <c r="J115" s="619"/>
      <c r="K115" s="1706">
        <f>'Revenues 9-14'!C275-'Expenditures 15-22'!K114</f>
        <v>4547326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5" t="s">
        <v>314</v>
      </c>
      <c r="B117" s="218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244780</v>
      </c>
      <c r="D124" s="466">
        <v>45855</v>
      </c>
      <c r="E124" s="466">
        <v>826229</v>
      </c>
      <c r="F124" s="466">
        <v>434840</v>
      </c>
      <c r="G124" s="466">
        <v>11861</v>
      </c>
      <c r="H124" s="466"/>
      <c r="I124" s="467">
        <v>15148</v>
      </c>
      <c r="J124" s="467"/>
      <c r="K124" s="1692">
        <f>SUM(C124:J124)</f>
        <v>1578713</v>
      </c>
      <c r="L124" s="466">
        <v>2149852</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244780</v>
      </c>
      <c r="D127" s="1692">
        <f t="shared" ref="D127:L127" si="14">SUM(D122:D126)</f>
        <v>45855</v>
      </c>
      <c r="E127" s="1692">
        <f t="shared" si="14"/>
        <v>826229</v>
      </c>
      <c r="F127" s="1692">
        <f t="shared" si="14"/>
        <v>434840</v>
      </c>
      <c r="G127" s="1692">
        <f t="shared" si="14"/>
        <v>11861</v>
      </c>
      <c r="H127" s="1692">
        <f t="shared" si="14"/>
        <v>0</v>
      </c>
      <c r="I127" s="1692">
        <f t="shared" si="14"/>
        <v>15148</v>
      </c>
      <c r="J127" s="1692">
        <f t="shared" si="14"/>
        <v>0</v>
      </c>
      <c r="K127" s="1692">
        <f t="shared" si="14"/>
        <v>1578713</v>
      </c>
      <c r="L127" s="1692">
        <f t="shared" si="14"/>
        <v>2149852</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244780</v>
      </c>
      <c r="D129" s="1699">
        <f t="shared" ref="D129:L129" si="15">SUM(D120,D127,D128)</f>
        <v>45855</v>
      </c>
      <c r="E129" s="1699">
        <f t="shared" si="15"/>
        <v>826229</v>
      </c>
      <c r="F129" s="1699">
        <f t="shared" si="15"/>
        <v>434840</v>
      </c>
      <c r="G129" s="1699">
        <f t="shared" si="15"/>
        <v>11861</v>
      </c>
      <c r="H129" s="1699">
        <f t="shared" si="15"/>
        <v>0</v>
      </c>
      <c r="I129" s="1699">
        <f t="shared" si="15"/>
        <v>15148</v>
      </c>
      <c r="J129" s="1699">
        <f t="shared" si="15"/>
        <v>0</v>
      </c>
      <c r="K129" s="1699">
        <f t="shared" si="15"/>
        <v>1578713</v>
      </c>
      <c r="L129" s="1699">
        <f t="shared" si="15"/>
        <v>2149852</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7" t="s">
        <v>641</v>
      </c>
      <c r="B151" s="2177"/>
      <c r="C151" s="1692">
        <f>SUM(C129,C130,C139,C149,C150)</f>
        <v>244780</v>
      </c>
      <c r="D151" s="1692">
        <f t="shared" ref="D151:K151" si="16">SUM(D129,D130,D139,D149,D150)</f>
        <v>45855</v>
      </c>
      <c r="E151" s="1692">
        <f t="shared" si="16"/>
        <v>826229</v>
      </c>
      <c r="F151" s="1692">
        <f t="shared" si="16"/>
        <v>434840</v>
      </c>
      <c r="G151" s="1692">
        <f t="shared" si="16"/>
        <v>11861</v>
      </c>
      <c r="H151" s="1692">
        <f t="shared" si="16"/>
        <v>0</v>
      </c>
      <c r="I151" s="1692">
        <f t="shared" si="16"/>
        <v>15148</v>
      </c>
      <c r="J151" s="1692">
        <f t="shared" si="16"/>
        <v>0</v>
      </c>
      <c r="K151" s="1692">
        <f t="shared" si="16"/>
        <v>1578713</v>
      </c>
      <c r="L151" s="1692">
        <f>SUM(L129,L130,L139,L149,L150)</f>
        <v>2149852</v>
      </c>
    </row>
    <row r="152" spans="1:14" ht="12.75" customHeight="1" thickTop="1" x14ac:dyDescent="0.2">
      <c r="A152" s="2200" t="s">
        <v>1240</v>
      </c>
      <c r="B152" s="2201"/>
      <c r="C152" s="619"/>
      <c r="D152" s="619"/>
      <c r="E152" s="619"/>
      <c r="F152" s="619"/>
      <c r="G152" s="619"/>
      <c r="H152" s="619"/>
      <c r="I152" s="619"/>
      <c r="J152" s="617"/>
      <c r="K152" s="1706">
        <f>'Revenues 9-14'!D275-'Expenditures 15-22'!K151</f>
        <v>292330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5" t="s">
        <v>642</v>
      </c>
      <c r="B154" s="218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2032874</v>
      </c>
      <c r="I169" s="617"/>
      <c r="J169" s="617"/>
      <c r="K169" s="1693">
        <f>SUM(C169:H169)</f>
        <v>2032874</v>
      </c>
      <c r="L169" s="657"/>
    </row>
    <row r="170" spans="1:14" ht="33.75" customHeight="1" x14ac:dyDescent="0.2">
      <c r="A170" s="670" t="s">
        <v>1769</v>
      </c>
      <c r="B170" s="672" t="s">
        <v>31</v>
      </c>
      <c r="C170" s="617"/>
      <c r="D170" s="617"/>
      <c r="E170" s="617"/>
      <c r="F170" s="617"/>
      <c r="G170" s="617"/>
      <c r="H170" s="569">
        <v>936784</v>
      </c>
      <c r="I170" s="617"/>
      <c r="J170" s="617"/>
      <c r="K170" s="1693">
        <f>SUM(C170:J170)</f>
        <v>936784</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2969658</v>
      </c>
      <c r="I172" s="639"/>
      <c r="J172" s="617"/>
      <c r="K172" s="1699">
        <f>SUM(K168,K169,K170,K171)</f>
        <v>2969658</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2969658</v>
      </c>
      <c r="I174" s="639"/>
      <c r="J174" s="617"/>
      <c r="K174" s="1699">
        <f>SUM(K160,K172,K173)</f>
        <v>2969658</v>
      </c>
      <c r="L174" s="1699">
        <f>SUM(L160,L172,L173)</f>
        <v>0</v>
      </c>
    </row>
    <row r="175" spans="1:14" ht="13.5" thickTop="1" x14ac:dyDescent="0.2">
      <c r="A175" s="2180" t="s">
        <v>1053</v>
      </c>
      <c r="B175" s="2181"/>
      <c r="C175" s="617"/>
      <c r="D175" s="617"/>
      <c r="E175" s="617"/>
      <c r="F175" s="617"/>
      <c r="G175" s="617"/>
      <c r="H175" s="619"/>
      <c r="I175" s="617"/>
      <c r="J175" s="617"/>
      <c r="K175" s="1706">
        <f>'Revenues 9-14'!E275-'Expenditures 15-22'!K174</f>
        <v>-54546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9059</v>
      </c>
      <c r="D182" s="466"/>
      <c r="E182" s="466">
        <v>2025860</v>
      </c>
      <c r="F182" s="466">
        <v>178689</v>
      </c>
      <c r="G182" s="466"/>
      <c r="H182" s="466"/>
      <c r="I182" s="467"/>
      <c r="J182" s="467"/>
      <c r="K182" s="1693">
        <f>SUM(C182:J182)</f>
        <v>2213608</v>
      </c>
      <c r="L182" s="466">
        <v>2368424</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9059</v>
      </c>
      <c r="D184" s="1699">
        <f t="shared" ref="D184:J184" si="17">SUM(D180,D182,D183)</f>
        <v>0</v>
      </c>
      <c r="E184" s="1699">
        <f t="shared" si="17"/>
        <v>2025860</v>
      </c>
      <c r="F184" s="1699">
        <f t="shared" si="17"/>
        <v>178689</v>
      </c>
      <c r="G184" s="1699">
        <f t="shared" si="17"/>
        <v>0</v>
      </c>
      <c r="H184" s="1699">
        <f t="shared" si="17"/>
        <v>0</v>
      </c>
      <c r="I184" s="1699">
        <f t="shared" si="17"/>
        <v>0</v>
      </c>
      <c r="J184" s="1699">
        <f t="shared" si="17"/>
        <v>0</v>
      </c>
      <c r="K184" s="1699">
        <f>SUM(K180,K182,K183)</f>
        <v>2213608</v>
      </c>
      <c r="L184" s="1699">
        <f>SUM(L180, L182:L183)</f>
        <v>2368424</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9059</v>
      </c>
      <c r="D210" s="1692">
        <f>SUM(D184,D185)</f>
        <v>0</v>
      </c>
      <c r="E210" s="1692">
        <f>SUM(E184,E185,E196)</f>
        <v>2025860</v>
      </c>
      <c r="F210" s="1692">
        <f>SUM(F184,F185)</f>
        <v>178689</v>
      </c>
      <c r="G210" s="1692">
        <f>SUM(G184,G185)</f>
        <v>0</v>
      </c>
      <c r="H210" s="1692">
        <f>SUM(H184,H185,H196,H208,H209)</f>
        <v>0</v>
      </c>
      <c r="I210" s="1692">
        <f>SUM(I184,I185)</f>
        <v>0</v>
      </c>
      <c r="J210" s="1692">
        <f>SUM(J184,J185)</f>
        <v>0</v>
      </c>
      <c r="K210" s="1693">
        <f>SUM(K184,K185,K196,K208,K209)</f>
        <v>2213608</v>
      </c>
      <c r="L210" s="1692">
        <f>SUM(L184,L185,L196,L208,L209)</f>
        <v>2368424</v>
      </c>
    </row>
    <row r="211" spans="1:14" ht="13.5" thickTop="1" x14ac:dyDescent="0.2">
      <c r="A211" s="2180" t="s">
        <v>1053</v>
      </c>
      <c r="B211" s="2181"/>
      <c r="C211" s="619"/>
      <c r="D211" s="619"/>
      <c r="E211" s="619"/>
      <c r="F211" s="619"/>
      <c r="G211" s="619"/>
      <c r="H211" s="619"/>
      <c r="I211" s="617"/>
      <c r="J211" s="617"/>
      <c r="K211" s="1706">
        <f>'Revenues 9-14'!F275-'Expenditures 15-22'!K210</f>
        <v>868692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2" t="s">
        <v>1022</v>
      </c>
      <c r="B213" s="220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681789</v>
      </c>
      <c r="E245" s="617"/>
      <c r="F245" s="617"/>
      <c r="G245" s="617"/>
      <c r="H245" s="617"/>
      <c r="I245" s="617"/>
      <c r="J245" s="617"/>
      <c r="K245" s="1694">
        <f>D245</f>
        <v>681789</v>
      </c>
      <c r="L245" s="481">
        <v>660302</v>
      </c>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1907</v>
      </c>
      <c r="B249" s="684" t="s">
        <v>300</v>
      </c>
      <c r="C249" s="617"/>
      <c r="D249" s="474"/>
      <c r="E249" s="617"/>
      <c r="F249" s="617"/>
      <c r="G249" s="617"/>
      <c r="H249" s="617"/>
      <c r="I249" s="617"/>
      <c r="J249" s="617"/>
      <c r="K249" s="1694">
        <f t="shared" si="21"/>
        <v>0</v>
      </c>
      <c r="L249" s="466"/>
    </row>
    <row r="250" spans="1:12" x14ac:dyDescent="0.2">
      <c r="A250" s="1527" t="s">
        <v>1908</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681789</v>
      </c>
      <c r="E257" s="617"/>
      <c r="F257" s="617"/>
      <c r="G257" s="617"/>
      <c r="H257" s="617"/>
      <c r="I257" s="617"/>
      <c r="J257" s="617"/>
      <c r="K257" s="1692">
        <f>SUM(K245:K256)</f>
        <v>681789</v>
      </c>
      <c r="L257" s="1692">
        <f>SUM(L245:L256)</f>
        <v>660302</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1906</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681789</v>
      </c>
      <c r="E279" s="617"/>
      <c r="F279" s="617"/>
      <c r="G279" s="617"/>
      <c r="H279" s="617"/>
      <c r="I279" s="617"/>
      <c r="J279" s="617"/>
      <c r="K279" s="1699">
        <f>SUM(K238,K243,K257,K261,K270,K277,K278)</f>
        <v>681789</v>
      </c>
      <c r="L279" s="1699">
        <f>SUM(L238,L243,L257,L261,L270,L277,L278)</f>
        <v>660302</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8" t="s">
        <v>526</v>
      </c>
      <c r="B295" s="2199"/>
      <c r="C295" s="617"/>
      <c r="D295" s="1692">
        <f>SUM(D229,D279,D280,D285)</f>
        <v>681789</v>
      </c>
      <c r="E295" s="617"/>
      <c r="F295" s="617"/>
      <c r="G295" s="617"/>
      <c r="H295" s="1692">
        <f>H293</f>
        <v>0</v>
      </c>
      <c r="I295" s="617"/>
      <c r="J295" s="617"/>
      <c r="K295" s="1692">
        <f>SUM(K229,K279,K280,K285,K293,K294)</f>
        <v>681789</v>
      </c>
      <c r="L295" s="1692">
        <f>SUM(L229,L279,L280,L285,L293,L294)</f>
        <v>660302</v>
      </c>
    </row>
    <row r="296" spans="1:14" ht="13.5" thickTop="1" x14ac:dyDescent="0.2">
      <c r="A296" s="2180" t="s">
        <v>1053</v>
      </c>
      <c r="B296" s="2181"/>
      <c r="C296" s="617"/>
      <c r="D296" s="619"/>
      <c r="E296" s="617"/>
      <c r="F296" s="617"/>
      <c r="G296" s="617"/>
      <c r="H296" s="688"/>
      <c r="I296" s="617"/>
      <c r="J296" s="617"/>
      <c r="K296" s="1706">
        <f>'Revenues 9-14'!G275-'Expenditures 15-22'!K295</f>
        <v>142073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0" t="s">
        <v>145</v>
      </c>
      <c r="B298" s="218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v>7500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7500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5" t="s">
        <v>295</v>
      </c>
      <c r="B312" s="2196"/>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7500</v>
      </c>
      <c r="M312" s="666"/>
      <c r="N312" s="666"/>
    </row>
    <row r="313" spans="1:14" ht="13.5" thickTop="1" x14ac:dyDescent="0.2">
      <c r="A313" s="2191" t="s">
        <v>1053</v>
      </c>
      <c r="B313" s="2192"/>
      <c r="C313" s="627"/>
      <c r="D313" s="627"/>
      <c r="E313" s="627"/>
      <c r="F313" s="627"/>
      <c r="G313" s="627"/>
      <c r="H313" s="627"/>
      <c r="I313" s="627"/>
      <c r="J313" s="627"/>
      <c r="K313" s="1707">
        <f>'Revenues 9-14'!H275-'Expenditures 15-22'!K312</f>
        <v>102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4" t="s">
        <v>151</v>
      </c>
      <c r="B315" s="220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6" t="s">
        <v>954</v>
      </c>
      <c r="B317" s="220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1907</v>
      </c>
      <c r="B320" s="699" t="s">
        <v>300</v>
      </c>
      <c r="C320" s="467"/>
      <c r="D320" s="467"/>
      <c r="E320" s="467">
        <v>76574</v>
      </c>
      <c r="F320" s="467"/>
      <c r="G320" s="467"/>
      <c r="H320" s="467"/>
      <c r="I320" s="467"/>
      <c r="J320" s="467"/>
      <c r="K320" s="1693">
        <f t="shared" ref="K320:K327" si="24">SUM(C320:J320)</f>
        <v>76574</v>
      </c>
      <c r="L320" s="467">
        <v>76574</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28000</v>
      </c>
      <c r="M321" s="666"/>
      <c r="N321" s="666"/>
    </row>
    <row r="322" spans="1:14" s="675" customFormat="1" x14ac:dyDescent="0.2">
      <c r="A322" s="1541" t="s">
        <v>256</v>
      </c>
      <c r="B322" s="698" t="s">
        <v>302</v>
      </c>
      <c r="C322" s="467"/>
      <c r="D322" s="467"/>
      <c r="E322" s="467">
        <v>74475</v>
      </c>
      <c r="F322" s="467"/>
      <c r="G322" s="467"/>
      <c r="H322" s="467"/>
      <c r="I322" s="467"/>
      <c r="J322" s="467"/>
      <c r="K322" s="1693">
        <f t="shared" si="24"/>
        <v>74475</v>
      </c>
      <c r="L322" s="467">
        <v>74475</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24017</v>
      </c>
      <c r="F327" s="467"/>
      <c r="G327" s="467"/>
      <c r="H327" s="467"/>
      <c r="I327" s="467"/>
      <c r="J327" s="467"/>
      <c r="K327" s="1693">
        <f t="shared" si="24"/>
        <v>24017</v>
      </c>
      <c r="L327" s="467">
        <v>90000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175066</v>
      </c>
      <c r="F330" s="1692">
        <f t="shared" si="25"/>
        <v>0</v>
      </c>
      <c r="G330" s="1692">
        <f t="shared" si="25"/>
        <v>0</v>
      </c>
      <c r="H330" s="1692">
        <f t="shared" si="25"/>
        <v>0</v>
      </c>
      <c r="I330" s="1692">
        <f t="shared" si="25"/>
        <v>0</v>
      </c>
      <c r="J330" s="1692">
        <f t="shared" si="25"/>
        <v>0</v>
      </c>
      <c r="K330" s="1692">
        <f>SUM(K319:K329)</f>
        <v>175066</v>
      </c>
      <c r="L330" s="1692">
        <f>SUM(L319:L329)</f>
        <v>269049</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175066</v>
      </c>
      <c r="F342" s="1692">
        <f>SUM(F330)</f>
        <v>0</v>
      </c>
      <c r="G342" s="1692">
        <f>SUM(G330)</f>
        <v>0</v>
      </c>
      <c r="H342" s="1692">
        <f>SUM(H330,H334,H340)</f>
        <v>0</v>
      </c>
      <c r="I342" s="1692">
        <f>SUM(I330)</f>
        <v>0</v>
      </c>
      <c r="J342" s="1692">
        <f>SUM(J330)</f>
        <v>0</v>
      </c>
      <c r="K342" s="1692">
        <f>SUM(K330,K334,K340)</f>
        <v>175066</v>
      </c>
      <c r="L342" s="1699">
        <f>SUM(L330,L340,L341)</f>
        <v>269049</v>
      </c>
    </row>
    <row r="343" spans="1:14" ht="12.75" customHeight="1" thickTop="1" x14ac:dyDescent="0.2">
      <c r="A343" s="2193" t="s">
        <v>1053</v>
      </c>
      <c r="B343" s="2194"/>
      <c r="C343" s="617"/>
      <c r="D343" s="617"/>
      <c r="E343" s="617"/>
      <c r="F343" s="617"/>
      <c r="G343" s="617"/>
      <c r="H343" s="617"/>
      <c r="I343" s="617"/>
      <c r="J343" s="617"/>
      <c r="K343" s="1706">
        <f>'Revenues 9-14'!J275-'Expenditures 15-22'!K342</f>
        <v>114138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3" t="s">
        <v>1023</v>
      </c>
      <c r="B345" s="218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v>8533</v>
      </c>
      <c r="G348" s="466"/>
      <c r="H348" s="466"/>
      <c r="I348" s="467"/>
      <c r="J348" s="467"/>
      <c r="K348" s="1693">
        <f>SUM(C348:J348)</f>
        <v>8533</v>
      </c>
      <c r="L348" s="466">
        <v>11952</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8533</v>
      </c>
      <c r="G350" s="1692">
        <f t="shared" si="26"/>
        <v>0</v>
      </c>
      <c r="H350" s="1692">
        <f t="shared" si="26"/>
        <v>0</v>
      </c>
      <c r="I350" s="1692">
        <f t="shared" si="26"/>
        <v>0</v>
      </c>
      <c r="J350" s="1692">
        <f t="shared" si="26"/>
        <v>0</v>
      </c>
      <c r="K350" s="1692">
        <f t="shared" si="26"/>
        <v>8533</v>
      </c>
      <c r="L350" s="1692">
        <f t="shared" si="26"/>
        <v>11952</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8533</v>
      </c>
      <c r="G352" s="1692">
        <f t="shared" si="27"/>
        <v>0</v>
      </c>
      <c r="H352" s="1692">
        <f t="shared" si="27"/>
        <v>0</v>
      </c>
      <c r="I352" s="1692">
        <f t="shared" si="27"/>
        <v>0</v>
      </c>
      <c r="J352" s="1692">
        <f t="shared" si="27"/>
        <v>0</v>
      </c>
      <c r="K352" s="1692">
        <f t="shared" si="27"/>
        <v>8533</v>
      </c>
      <c r="L352" s="1692">
        <f t="shared" si="27"/>
        <v>11952</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8533</v>
      </c>
      <c r="G367" s="1692">
        <f t="shared" si="28"/>
        <v>0</v>
      </c>
      <c r="H367" s="1692">
        <f t="shared" si="28"/>
        <v>0</v>
      </c>
      <c r="I367" s="1692">
        <f t="shared" si="28"/>
        <v>0</v>
      </c>
      <c r="J367" s="1692">
        <f t="shared" si="28"/>
        <v>0</v>
      </c>
      <c r="K367" s="1692">
        <f t="shared" si="28"/>
        <v>8533</v>
      </c>
      <c r="L367" s="1692">
        <f t="shared" si="28"/>
        <v>11952</v>
      </c>
    </row>
    <row r="368" spans="1:14" ht="13.5" thickTop="1" x14ac:dyDescent="0.2">
      <c r="A368" s="2180" t="s">
        <v>1053</v>
      </c>
      <c r="B368" s="2181"/>
      <c r="C368" s="655"/>
      <c r="D368" s="655"/>
      <c r="E368" s="627"/>
      <c r="F368" s="627"/>
      <c r="G368" s="627"/>
      <c r="H368" s="627"/>
      <c r="I368" s="627"/>
      <c r="J368" s="624"/>
      <c r="K368" s="1693">
        <f>'Revenues 9-14'!K275-'Expenditures 15-22'!K367</f>
        <v>24623</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d21dc803-237d-4c68-8692-8d731fd29118"/>
    <ds:schemaRef ds:uri="http://schemas.microsoft.com/office/infopath/2007/PartnerControls"/>
    <ds:schemaRef ds:uri="http://schemas.microsoft.com/sharepoint/v3"/>
    <ds:schemaRef ds:uri="http://schemas.microsoft.com/office/2006/documentManagement/types"/>
    <ds:schemaRef ds:uri="http://purl.org/dc/elements/1.1/"/>
    <ds:schemaRef ds:uri="6ce3111e-7420-4802-b50a-75d4e9a0b980"/>
    <ds:schemaRef ds:uri="http://purl.org/dc/terms/"/>
    <ds:schemaRef ds:uri="http://www.w3.org/XML/1998/namespace"/>
    <ds:schemaRef ds:uri="http://schemas.openxmlformats.org/package/2006/metadata/core-properties"/>
    <ds:schemaRef ds:uri="4d435f69-8686-490b-bd6d-b153bf22ab50"/>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Sheet1</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2018-10-01T22:52:01Z</cp:lastPrinted>
  <dcterms:created xsi:type="dcterms:W3CDTF">2003-10-29T19:06:34Z</dcterms:created>
  <dcterms:modified xsi:type="dcterms:W3CDTF">2018-11-05T21:47:51Z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vt:lpwstr>
  </property>
  <property fmtid="{D5CDD505-2E9C-101B-9397-08002B2CF9AE}" pid="3" name="ContentTypeId">
    <vt:lpwstr>0x010100552988822C20F24E83D1DD5E4C131AA0</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140</vt:lpwstr>
  </property>
  <property fmtid="{D5CDD505-2E9C-101B-9397-08002B2CF9AE}" pid="8" name="workpaperIndex">
    <vt:lpwstr>
    </vt:lpwstr>
  </property>
</Properties>
</file>