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7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2 (4)" sheetId="185" r:id="rId34"/>
    <sheet name="SF&amp;QC Sec-2 (5)" sheetId="186" r:id="rId35"/>
    <sheet name="SF&amp;QC Sec-2 (6)" sheetId="187" r:id="rId36"/>
    <sheet name="SF&amp;QC Sec-3" sheetId="176" r:id="rId37"/>
    <sheet name="SSPAF" sheetId="177" r:id="rId38"/>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6">'SF&amp;QC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B4" i="187" l="1"/>
  <c r="B4" i="186"/>
  <c r="B4" i="185"/>
  <c r="B4" i="184"/>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4" i="181"/>
  <c r="G24" i="181" s="1"/>
  <c r="E24" i="181"/>
  <c r="F23" i="181"/>
  <c r="G23" i="181" s="1"/>
  <c r="E23" i="181"/>
  <c r="F22" i="181"/>
  <c r="G22" i="181" s="1"/>
  <c r="E22" i="181"/>
  <c r="F21" i="181"/>
  <c r="G21" i="181" s="1"/>
  <c r="E21" i="181"/>
  <c r="F20" i="181"/>
  <c r="G20" i="181" s="1"/>
  <c r="E20" i="181"/>
  <c r="F25" i="181"/>
  <c r="G25" i="181" s="1"/>
  <c r="E25" i="181"/>
  <c r="E19" i="181"/>
  <c r="F19" i="181" s="1"/>
  <c r="G19" i="181" s="1"/>
  <c r="E18" i="181"/>
  <c r="F18" i="181" s="1"/>
  <c r="G18" i="181" s="1"/>
  <c r="D26" i="181" l="1"/>
  <c r="D80" i="36" l="1"/>
  <c r="B7797" i="106"/>
  <c r="E26" i="181"/>
  <c r="E17" i="181"/>
  <c r="E16" i="181"/>
  <c r="F16" i="181" s="1"/>
  <c r="G16" i="181" s="1"/>
  <c r="F17" i="181" l="1"/>
  <c r="G17" i="181" s="1"/>
  <c r="G26" i="181" s="1"/>
  <c r="G40" i="108" l="1"/>
  <c r="B7799" i="106"/>
  <c r="F2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87" l="1"/>
  <c r="B2" i="185"/>
  <c r="B2" i="186"/>
  <c r="B2" i="184"/>
  <c r="B2" i="177"/>
  <c r="B2" i="174"/>
  <c r="B1" i="183"/>
  <c r="B1" i="186"/>
  <c r="B1" i="184"/>
  <c r="B1" i="187"/>
  <c r="B1" i="185"/>
  <c r="B2" i="183"/>
  <c r="B2" i="179"/>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D4" i="7"/>
  <c r="B1760" i="106" s="1"/>
  <c r="D1760" i="106" s="1"/>
  <c r="D9" i="7"/>
  <c r="B1767" i="106" s="1"/>
  <c r="D1767" i="106" s="1"/>
  <c r="F136" i="34"/>
  <c r="F130" i="34"/>
  <c r="F127" i="34"/>
  <c r="B5847" i="106"/>
  <c r="D5847" i="106" s="1"/>
  <c r="B5752" i="106"/>
  <c r="D5752" i="106" s="1"/>
  <c r="B5599" i="106"/>
  <c r="D5599" i="106" s="1"/>
  <c r="H173" i="5"/>
  <c r="B5906" i="106" s="1"/>
  <c r="D5906" i="106" s="1"/>
  <c r="D109" i="5"/>
  <c r="B5356" i="106" s="1"/>
  <c r="D5356" i="106" s="1"/>
  <c r="D7" i="7"/>
  <c r="B1763" i="106" s="1"/>
  <c r="D1763" i="106" s="1"/>
  <c r="D4" i="4"/>
  <c r="B2564" i="106" s="1"/>
  <c r="D2564" i="106" s="1"/>
  <c r="B1746" i="106"/>
  <c r="D1746" i="106" s="1"/>
  <c r="D17" i="7"/>
  <c r="B4104" i="106" s="1"/>
  <c r="D4104" i="106" s="1"/>
  <c r="D12" i="7"/>
  <c r="B1769" i="106" s="1"/>
  <c r="D1769" i="106" s="1"/>
  <c r="D11" i="7"/>
  <c r="B1768" i="106" s="1"/>
  <c r="D1768" i="106" s="1"/>
  <c r="D15" i="7" l="1"/>
  <c r="B1772" i="106" s="1"/>
  <c r="D1772" i="106" s="1"/>
  <c r="H6" i="4"/>
  <c r="B2656" i="106" s="1"/>
  <c r="D2656" i="106" s="1"/>
  <c r="F106" i="34"/>
  <c r="H109" i="5"/>
  <c r="K274" i="5"/>
  <c r="F111" i="34"/>
  <c r="F131" i="34"/>
  <c r="B5770" i="106"/>
  <c r="D5770" i="106" s="1"/>
  <c r="D5" i="7"/>
  <c r="B1761" i="106" s="1"/>
  <c r="D1761" i="106" s="1"/>
  <c r="L5" i="11"/>
  <c r="B2056" i="106" s="1"/>
  <c r="D2056" i="106" s="1"/>
  <c r="K28" i="118"/>
  <c r="O27" i="118" s="1"/>
  <c r="O29" i="118" s="1"/>
  <c r="I173" i="5"/>
  <c r="B4216" i="106" s="1"/>
  <c r="D4216" i="106" s="1"/>
  <c r="F172" i="5"/>
  <c r="B5644" i="106" s="1"/>
  <c r="D5644" i="106" s="1"/>
  <c r="L367" i="29"/>
  <c r="D7245" i="106"/>
  <c r="I342" i="29"/>
  <c r="B7222" i="106" s="1"/>
  <c r="D7222" i="106" s="1"/>
  <c r="J77" i="4"/>
  <c r="B6262" i="106" s="1"/>
  <c r="D6262" i="106" s="1"/>
  <c r="B6191" i="106"/>
  <c r="D6191" i="106" s="1"/>
  <c r="J41" i="3"/>
  <c r="K350" i="29"/>
  <c r="K76" i="4"/>
  <c r="B3586" i="106" s="1"/>
  <c r="D3586" i="106" s="1"/>
  <c r="H76" i="4"/>
  <c r="B3298" i="106" s="1"/>
  <c r="D3298" i="106" s="1"/>
  <c r="G210" i="29"/>
  <c r="B1365" i="106" s="1"/>
  <c r="D1365" i="106" s="1"/>
  <c r="B3649" i="106"/>
  <c r="D3649" i="106" s="1"/>
  <c r="G367" i="29"/>
  <c r="B3621" i="106"/>
  <c r="D3621" i="106" s="1"/>
  <c r="C367" i="29"/>
  <c r="D54" i="36"/>
  <c r="B6995" i="106"/>
  <c r="D6995" i="106" s="1"/>
  <c r="G30" i="108"/>
  <c r="E30" i="108"/>
  <c r="C172" i="5"/>
  <c r="E109" i="5"/>
  <c r="E4" i="4" s="1"/>
  <c r="B2630" i="106" s="1"/>
  <c r="D2630" i="106" s="1"/>
  <c r="B5096" i="106"/>
  <c r="D5096" i="106" s="1"/>
  <c r="C109" i="5"/>
  <c r="B5121" i="106" s="1"/>
  <c r="D5121" i="106" s="1"/>
  <c r="G109" i="5"/>
  <c r="D13" i="7"/>
  <c r="B3726" i="106" s="1"/>
  <c r="D3726" i="106" s="1"/>
  <c r="L13" i="11"/>
  <c r="B2060" i="106" s="1"/>
  <c r="D2060" i="106" s="1"/>
  <c r="K24" i="12"/>
  <c r="B7727" i="106"/>
  <c r="D7727" i="106" s="1"/>
  <c r="F19" i="7"/>
  <c r="B1807" i="106" s="1"/>
  <c r="D1807" i="106" s="1"/>
  <c r="F67" i="34"/>
  <c r="B1410" i="106"/>
  <c r="D1410" i="106" s="1"/>
  <c r="E29" i="108"/>
  <c r="G29" i="108"/>
  <c r="K184" i="29"/>
  <c r="F13" i="4" s="1"/>
  <c r="B2596" i="106" s="1"/>
  <c r="D2596" i="106" s="1"/>
  <c r="B1329" i="106"/>
  <c r="D1329" i="106" s="1"/>
  <c r="F61" i="34"/>
  <c r="F28" i="108"/>
  <c r="E28" i="108"/>
  <c r="C129" i="29"/>
  <c r="D11" i="37"/>
  <c r="D31" i="36"/>
  <c r="H33" i="118"/>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3670" i="106" l="1"/>
  <c r="D3670" i="106" s="1"/>
  <c r="K352" i="29"/>
  <c r="B6025" i="106"/>
  <c r="D6025" i="106" s="1"/>
  <c r="H4" i="4"/>
  <c r="K367" i="29"/>
  <c r="D7253" i="106"/>
  <c r="D7252" i="106"/>
  <c r="F274" i="5"/>
  <c r="F65" i="34"/>
  <c r="H367" i="29"/>
  <c r="B3660" i="106" s="1"/>
  <c r="D3660" i="106" s="1"/>
  <c r="L114" i="29"/>
  <c r="F6" i="4"/>
  <c r="B2593" i="106" s="1"/>
  <c r="D2593" i="106" s="1"/>
  <c r="F275" i="5"/>
  <c r="B5720" i="106" s="1"/>
  <c r="D5720" i="106" s="1"/>
  <c r="B5214" i="106"/>
  <c r="D5214" i="106" s="1"/>
  <c r="C173" i="5"/>
  <c r="B6024" i="106"/>
  <c r="D6024" i="106" s="1"/>
  <c r="G4" i="4"/>
  <c r="B2603" i="106" s="1"/>
  <c r="D2603" i="106" s="1"/>
  <c r="D19" i="7"/>
  <c r="B1775" i="106" s="1"/>
  <c r="D1775" i="106" s="1"/>
  <c r="L16" i="11"/>
  <c r="B2061" i="106" s="1"/>
  <c r="D2061" i="106" s="1"/>
  <c r="B7733" i="106"/>
  <c r="D7733" i="106" s="1"/>
  <c r="K26" i="12"/>
  <c r="B7743" i="106" s="1"/>
  <c r="D7743" i="106" s="1"/>
  <c r="B1381" i="106"/>
  <c r="D138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2655" i="106" l="1"/>
  <c r="D2655" i="106" s="1"/>
  <c r="H8" i="4"/>
  <c r="K13" i="4"/>
  <c r="B3572" i="106" s="1"/>
  <c r="D3572" i="106" s="1"/>
  <c r="B3672" i="106"/>
  <c r="D3672" i="106" s="1"/>
  <c r="B5223" i="106"/>
  <c r="D5223" i="106" s="1"/>
  <c r="C6" i="4"/>
  <c r="B2553" i="106" s="1"/>
  <c r="D2553" i="106" s="1"/>
  <c r="F8" i="4"/>
  <c r="F10" i="4" s="1"/>
  <c r="B4125" i="106" s="1"/>
  <c r="D4125" i="106" s="1"/>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H10" i="4"/>
  <c r="B4127" i="106" s="1"/>
  <c r="D4127" i="106" s="1"/>
  <c r="B2658" i="106"/>
  <c r="D2658" i="106" s="1"/>
  <c r="D10" i="171"/>
  <c r="D19" i="171" s="1"/>
  <c r="D32" i="171" s="1"/>
  <c r="D49" i="171" s="1"/>
  <c r="B2595" i="106"/>
  <c r="D2595" i="106" s="1"/>
  <c r="B6227" i="106"/>
  <c r="D6227" i="106" s="1"/>
  <c r="J20" i="4"/>
  <c r="J78" i="4"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<sst xmlns="http://schemas.openxmlformats.org/spreadsheetml/2006/main" count="5235" uniqueCount="2175">
  <si>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</si>
  <si>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</si>
  <si>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</si>
  <si>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</si>
  <si>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</si>
  <si>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</si>
  <si>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</si>
  <si>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</si>
  <si>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</si>
  <si>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</si>
  <si>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</si>
  <si>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</si>
  <si>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</si>
  <si>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</si>
  <si>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</si>
  <si>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</si>
  <si>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</si>
  <si>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</si>
  <si>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</si>
  <si>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</si>
  <si>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</si>
  <si>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</si>
  <si>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</si>
  <si>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</si>
  <si>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</si>
  <si>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</si>
  <si>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</si>
  <si>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</si>
  <si>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</si>
  <si>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</si>
  <si>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</si>
  <si>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</si>
  <si>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</si>
  <si>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</si>
  <si>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</si>
  <si>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</si>
  <si>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</si>
  <si>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</si>
  <si>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</si>
  <si>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</si>
  <si>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</si>
  <si>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</si>
  <si>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</si>
  <si>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</si>
  <si>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</si>
  <si>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</si>
  <si>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</si>
  <si>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</si>
  <si>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</si>
  <si>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</si>
  <si>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</si>
  <si>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</si>
  <si>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</si>
  <si>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</si>
  <si>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</si>
  <si>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</si>
  <si>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</si>
  <si>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</si>
  <si>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</si>
  <si>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</si>
  <si>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</si>
  <si>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</si>
  <si>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</si>
  <si>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</si>
  <si>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</si>
  <si>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</si>
  <si>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</si>
  <si>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</si>
  <si>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</si>
  <si>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</si>
  <si>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</si>
  <si>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</si>
  <si>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</si>
  <si>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</si>
  <si>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</si>
  <si>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</si>
  <si>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</si>
  <si>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</si>
  <si>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</si>
  <si>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</si>
  <si>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</si>
  <si>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</si>
  <si>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</si>
  <si>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</si>
  <si>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</si>
  <si>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</si>
  <si>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</si>
  <si>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</si>
  <si>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</si>
  <si>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</si>
  <si>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</si>
  <si>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</si>
  <si>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</si>
  <si>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</si>
  <si>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</si>
  <si>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</si>
  <si>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</si>
  <si>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</si>
  <si>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</si>
  <si>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</si>
  <si>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</si>
  <si>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</si>
  <si>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</si>
  <si>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</si>
  <si>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</si>
  <si>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</si>
  <si>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</si>
  <si>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</si>
  <si>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</si>
  <si>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</si>
  <si>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</si>
  <si>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</si>
  <si>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</si>
  <si>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</si>
  <si>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</si>
  <si>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</si>
  <si>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</si>
  <si>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</si>
  <si>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</si>
  <si>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</si>
  <si>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</si>
  <si>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</si>
  <si>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</si>
  <si>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</si>
  <si>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</si>
  <si>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</si>
  <si>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</si>
  <si>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</si>
  <si>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</si>
  <si>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</si>
  <si>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</si>
  <si>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</si>
  <si>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</si>
  <si>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</si>
  <si>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</si>
  <si>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</si>
  <si>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</si>
  <si>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</si>
  <si>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</si>
  <si>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</si>
  <si>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</si>
  <si>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</si>
  <si>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</si>
  <si>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</si>
  <si>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</si>
  <si>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</si>
  <si>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</si>
  <si>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</si>
  <si>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</si>
  <si>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</si>
  <si>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</si>
  <si>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</si>
  <si>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</si>
  <si>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</si>
  <si>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</si>
  <si>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</si>
  <si>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</si>
  <si>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</si>
  <si>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</si>
  <si>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</si>
  <si>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</si>
  <si>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</si>
  <si>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</si>
  <si>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</si>
  <si>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</si>
  <si>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</si>
  <si>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</si>
  <si>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</si>
  <si>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</si>
  <si>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</si>
  <si>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</si>
  <si>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</si>
  <si>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</si>
  <si>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</si>
  <si>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</si>
  <si>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</si>
  <si>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</si>
  <si>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</si>
  <si>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</si>
  <si>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</si>
  <si>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</si>
  <si>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</si>
  <si>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</si>
  <si>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</si>
  <si>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</si>
  <si>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</si>
  <si>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</si>
  <si>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</si>
  <si>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</si>
  <si>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</si>
  <si>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</si>
  <si>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</si>
  <si>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</si>
  <si>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</si>
  <si>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</si>
  <si>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</si>
  <si>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</si>
  <si>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</si>
  <si>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</si>
  <si>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</si>
  <si>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</si>
  <si>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</si>
  <si>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</si>
  <si>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</si>
  <si>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</si>
  <si>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</si>
  <si>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</si>
  <si>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</si>
  <si>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</si>
  <si>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</si>
  <si>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</si>
  <si>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</si>
  <si>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</si>
  <si>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</si>
  <si>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</si>
  <si>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</si>
  <si>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</si>
  <si>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</si>
  <si>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</si>
  <si>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</si>
  <si>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</si>
  <si>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</si>
  <si>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</si>
  <si>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</si>
  <si>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</si>
  <si>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</si>
  <si>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</si>
  <si>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</si>
  <si>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</si>
  <si>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</si>
  <si>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</si>
  <si>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</si>
  <si>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</si>
  <si>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</si>
  <si>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</si>
  <si>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</si>
  <si>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</si>
  <si>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</si>
  <si>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</si>
  <si>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</si>
  <si>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</si>
  <si>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</si>
  <si>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</si>
  <si>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</si>
  <si>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</si>
  <si>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</si>
  <si>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</si>
  <si>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</si>
  <si>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</si>
  <si>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</si>
  <si>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</si>
  <si>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</si>
  <si>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</si>
  <si>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</si>
  <si>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</si>
  <si>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</si>
  <si>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</si>
  <si>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</si>
  <si>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</si>
  <si>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</si>
  <si>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</si>
  <si>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</si>
  <si>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</si>
  <si>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</si>
  <si>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</si>
  <si>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</si>
  <si>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</si>
  <si>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</si>
  <si>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</si>
  <si>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</si>
  <si>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</si>
  <si>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</si>
  <si>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</si>
  <si>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</si>
  <si>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</si>
  <si>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</si>
  <si>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</si>
  <si>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</si>
  <si>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</si>
  <si>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</si>
  <si>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</si>
  <si>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</si>
  <si>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</si>
  <si>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</si>
  <si>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</si>
  <si>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</si>
  <si>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</si>
  <si>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</si>
  <si>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</si>
  <si>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</si>
  <si>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</si>
  <si>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</si>
  <si>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</si>
  <si>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</si>
  <si>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</si>
  <si>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</si>
  <si>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</si>
  <si>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</si>
  <si>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</si>
  <si>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</si>
  <si>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</si>
  <si>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</si>
  <si>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</si>
  <si>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</si>
  <si>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</si>
  <si>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</si>
  <si>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</si>
  <si>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</si>
  <si>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</si>
  <si>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</si>
  <si>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</si>
  <si>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</si>
  <si>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</si>
  <si>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</si>
  <si>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</si>
  <si>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</si>
  <si>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</si>
  <si>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</si>
  <si>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</si>
  <si>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</si>
  <si>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</si>
  <si>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</si>
  <si>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</si>
  <si>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</si>
  <si>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</si>
  <si>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</si>
  <si>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</si>
  <si>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</si>
  <si>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</si>
  <si>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</si>
  <si>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</si>
  <si>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</si>
  <si>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</si>
  <si>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</si>
  <si>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</si>
  <si>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</si>
  <si>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</si>
  <si>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</si>
  <si>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</si>
  <si>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</si>
  <si>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</si>
  <si>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</si>
  <si>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</si>
  <si>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</si>
  <si>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</si>
  <si>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</si>
  <si>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</si>
  <si>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</si>
  <si>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</si>
  <si>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</si>
  <si>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</si>
  <si>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</si>
  <si>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</si>
  <si>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</si>
  <si>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</si>
  <si>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</si>
  <si>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</si>
  <si>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</si>
  <si>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</si>
  <si>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</si>
  <si>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</si>
  <si>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</si>
  <si>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</si>
  <si>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</si>
  <si>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</si>
  <si>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</si>
  <si>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</si>
  <si>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</si>
  <si>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</si>
  <si>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</si>
  <si>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</si>
  <si>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</si>
  <si>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</si>
  <si>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</si>
  <si>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</si>
  <si>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</si>
  <si>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</si>
  <si>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</si>
  <si>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</si>
  <si>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</si>
  <si>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</si>
  <si>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</si>
  <si>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</si>
  <si>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</si>
  <si>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</si>
  <si>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</si>
  <si>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</si>
  <si>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</si>
  <si>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</si>
  <si>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</si>
  <si>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</si>
  <si>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</si>
  <si>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</si>
  <si>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</si>
  <si>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</si>
  <si>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</si>
  <si>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</si>
  <si>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</si>
  <si>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</si>
  <si>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</si>
  <si>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</si>
  <si>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</si>
  <si>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</si>
  <si>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</si>
  <si>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</si>
  <si>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</si>
  <si>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</si>
  <si>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</si>
  <si>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</si>
  <si>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</si>
  <si>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</si>
  <si>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</si>
  <si>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</si>
  <si>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</si>
  <si>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</si>
  <si>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</si>
  <si>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</si>
  <si>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</si>
  <si>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</si>
  <si>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</si>
  <si>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</si>
  <si>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</si>
  <si>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</si>
  <si>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</si>
  <si>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</si>
  <si>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</si>
  <si>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</si>
  <si>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</si>
  <si>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</si>
  <si>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</si>
  <si>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</si>
  <si>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</si>
  <si>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</si>
  <si>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</si>
  <si>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</si>
  <si>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</si>
  <si>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</si>
  <si>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</si>
  <si>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</si>
  <si>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</si>
  <si>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</si>
  <si>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</si>
  <si>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</si>
  <si>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</si>
  <si>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</si>
  <si>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</si>
  <si>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</si>
  <si>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</si>
  <si>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</si>
  <si>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</si>
  <si>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</si>
  <si>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</si>
  <si>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</si>
  <si>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</si>
  <si>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</si>
  <si>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</si>
  <si>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</si>
  <si>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</si>
  <si>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</si>
  <si>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</si>
  <si>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</si>
  <si>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</si>
  <si>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</si>
  <si>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</si>
  <si>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</si>
  <si>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</si>
  <si>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</si>
  <si>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</si>
  <si>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</si>
  <si>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</si>
  <si>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</si>
  <si>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</si>
  <si>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</si>
  <si>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</si>
  <si>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</si>
  <si>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</si>
  <si>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</si>
  <si>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</si>
  <si>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</si>
  <si>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</si>
  <si>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</si>
  <si>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</si>
  <si>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</si>
  <si>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</si>
  <si>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</si>
  <si>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</si>
  <si>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</si>
  <si>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</si>
  <si>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</si>
  <si>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</si>
  <si>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</si>
  <si>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</si>
  <si>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</si>
  <si>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</si>
  <si>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</si>
  <si>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</si>
  <si>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</si>
  <si>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</si>
  <si>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</si>
  <si>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</si>
  <si>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</si>
  <si>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</si>
  <si>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</si>
  <si>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</si>
  <si>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</si>
  <si>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</si>
  <si>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</si>
  <si>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</si>
  <si>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</si>
  <si>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</si>
  <si>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</si>
  <si>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</si>
  <si>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</si>
  <si>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</si>
  <si>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</si>
  <si>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</si>
  <si>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</si>
  <si>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</si>
  <si>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</si>
  <si>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</si>
  <si>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</si>
  <si>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</si>
  <si>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</si>
  <si>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</si>
  <si>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</si>
  <si>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</si>
  <si>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</si>
  <si>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</si>
  <si>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</si>
  <si>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</si>
  <si>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</si>
  <si>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</si>
  <si>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</si>
  <si>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</si>
  <si>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</si>
  <si>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</si>
  <si>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</si>
  <si>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</si>
  <si>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</si>
  <si>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</si>
  <si>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</si>
  <si>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</si>
  <si>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</si>
  <si>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</si>
  <si>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</si>
  <si>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</si>
  <si>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</si>
  <si>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</si>
  <si>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</si>
  <si>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</si>
  <si>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</si>
  <si>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</si>
  <si>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</si>
  <si>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</si>
  <si>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</si>
  <si>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</si>
  <si>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</si>
  <si>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</si>
  <si>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</si>
  <si>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</si>
  <si>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</si>
  <si>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</si>
  <si>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</si>
  <si>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</si>
  <si>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</si>
  <si>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</si>
  <si>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</si>
  <si>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</si>
  <si>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</si>
  <si>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</si>
  <si>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</si>
  <si>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</si>
  <si>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</si>
  <si>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</si>
  <si>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</si>
  <si>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</si>
  <si>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</si>
  <si>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</si>
  <si>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</si>
  <si>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</si>
  <si>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</si>
  <si>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</si>
  <si>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</si>
  <si>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</si>
  <si>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</si>
  <si>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</si>
  <si>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</si>
  <si>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</si>
  <si>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</si>
  <si>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</si>
  <si>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</si>
  <si>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</si>
  <si>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</si>
  <si>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</si>
  <si>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</si>
  <si>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</si>
  <si>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</si>
  <si>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</si>
  <si>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</si>
  <si>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</si>
  <si>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</si>
  <si>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</si>
  <si>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</si>
  <si>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</si>
  <si>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</si>
  <si>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</si>
  <si>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</si>
  <si>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</si>
  <si>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</si>
  <si>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</si>
  <si>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</si>
  <si>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</si>
  <si>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</si>
  <si>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</si>
  <si>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</si>
  <si>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</si>
  <si>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</si>
  <si>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</si>
  <si>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</si>
  <si>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</si>
  <si>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</si>
  <si>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</si>
  <si>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</si>
  <si>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</si>
  <si>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</si>
  <si>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</si>
  <si>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</si>
  <si>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</si>
  <si>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</si>
  <si>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</si>
  <si>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</si>
  <si>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</si>
  <si>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</si>
  <si>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</si>
  <si>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</si>
  <si>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</si>
  <si>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</si>
  <si>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</si>
  <si>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</si>
  <si>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</si>
  <si>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</si>
  <si>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</si>
  <si>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</si>
  <si>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</si>
  <si>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</si>
  <si>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</si>
  <si>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</si>
  <si>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</si>
  <si>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</si>
  <si>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</si>
  <si>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</si>
  <si>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</si>
  <si>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</si>
  <si>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</si>
  <si>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</si>
  <si>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</si>
  <si>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</si>
  <si>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</si>
  <si>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</si>
  <si>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</si>
  <si>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</si>
  <si>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</si>
  <si>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</si>
  <si>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</si>
  <si>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</si>
  <si>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</si>
  <si>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</si>
  <si>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</si>
  <si>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</si>
  <si>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</si>
  <si>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</si>
  <si>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</si>
  <si>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</si>
  <si>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</si>
  <si>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</si>
  <si>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</si>
  <si>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</si>
  <si>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</si>
  <si>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</si>
  <si>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</si>
  <si>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</si>
  <si>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</si>
  <si>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</si>
  <si>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</si>
  <si>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</si>
  <si>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</si>
  <si>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</si>
  <si>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</si>
  <si>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</si>
  <si>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</si>
  <si>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</si>
  <si>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</si>
  <si>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</si>
  <si>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</si>
  <si>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</si>
  <si>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</si>
  <si>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</si>
  <si>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</si>
  <si>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</si>
  <si>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</si>
  <si>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</si>
  <si>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</si>
  <si>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</si>
  <si>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</si>
  <si>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</si>
  <si>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</si>
  <si>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</si>
  <si>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</si>
  <si>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</si>
  <si>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</si>
  <si>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</si>
  <si>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</si>
  <si>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</si>
  <si>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</si>
  <si>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</si>
  <si>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</si>
  <si>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</si>
  <si>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</si>
  <si>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</si>
  <si>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</si>
  <si>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</si>
  <si>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</si>
  <si>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</si>
  <si>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</si>
  <si>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</si>
  <si>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</si>
  <si>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</si>
  <si>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</si>
  <si>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</si>
  <si>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</si>
  <si>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</si>
  <si>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</si>
  <si>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</si>
  <si>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</si>
  <si>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</si>
  <si>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</si>
  <si>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</si>
  <si>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</si>
  <si>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</si>
  <si>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</si>
  <si>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</si>
  <si>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</si>
  <si>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</si>
  <si>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</si>
  <si>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</si>
  <si>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</si>
  <si>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</si>
  <si>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</si>
  <si>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</si>
  <si>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</si>
  <si>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</si>
  <si>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</si>
  <si>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</si>
  <si>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</si>
  <si>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</si>
  <si>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</si>
  <si>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</si>
  <si>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</si>
  <si>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</si>
  <si>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</si>
  <si>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</si>
  <si>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</si>
  <si>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</si>
  <si>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</si>
  <si>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</si>
  <si>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</si>
  <si>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</si>
  <si>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</si>
  <si>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</si>
  <si>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</si>
  <si>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</si>
  <si>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</si>
  <si>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</si>
  <si>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</si>
  <si>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</si>
  <si>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</si>
  <si>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</si>
  <si>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</si>
  <si>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</si>
  <si>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</si>
  <si>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</si>
  <si>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</si>
  <si>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</si>
  <si>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</si>
  <si>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</si>
  <si>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</si>
  <si>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</si>
  <si>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</si>
  <si>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</si>
  <si>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</si>
  <si>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</si>
  <si>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</si>
  <si>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</si>
  <si>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</si>
  <si>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</si>
  <si>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</si>
  <si>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</si>
  <si>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</si>
  <si>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</si>
  <si>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</si>
  <si>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</si>
  <si>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</si>
  <si>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</si>
  <si>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</si>
  <si>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</si>
  <si>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</si>
  <si>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</si>
  <si>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</si>
  <si>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</si>
  <si>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</si>
  <si>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</si>
  <si>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</si>
  <si>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</si>
  <si>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</si>
  <si>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</si>
  <si>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</si>
  <si>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</si>
  <si>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</si>
  <si>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</si>
  <si>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</si>
  <si>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</si>
  <si>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</si>
  <si>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</si>
  <si>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</si>
  <si>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</si>
  <si>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</si>
  <si>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</si>
  <si>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</si>
  <si>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</si>
  <si>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</si>
  <si>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</si>
  <si>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</si>
  <si>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</si>
  <si>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</si>
  <si>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</si>
  <si>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</si>
  <si>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</si>
  <si>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</si>
  <si>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</si>
  <si>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</si>
  <si>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</si>
  <si>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</si>
  <si>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</si>
  <si>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</si>
  <si>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</si>
  <si>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</si>
  <si>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</si>
  <si>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</si>
  <si>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</si>
  <si>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</si>
  <si>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</si>
  <si>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</si>
  <si>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</si>
  <si>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</si>
  <si>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</si>
  <si>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</si>
  <si>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</si>
  <si>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</si>
  <si>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</si>
  <si>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</si>
  <si>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</si>
  <si>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</si>
  <si>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</si>
  <si>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</si>
  <si>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</si>
  <si>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</si>
  <si>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</si>
  <si>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</si>
  <si>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</si>
  <si>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</si>
  <si>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</si>
  <si>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</si>
  <si>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</si>
  <si>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</si>
  <si>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</si>
  <si>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</si>
  <si>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</si>
  <si>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</si>
  <si>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</si>
  <si>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</si>
  <si>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</si>
  <si>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</si>
  <si>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</si>
  <si>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</si>
  <si>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</si>
  <si>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</si>
  <si>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</si>
  <si>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</si>
  <si>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</si>
  <si>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</si>
  <si>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</si>
  <si>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</si>
  <si>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</si>
  <si>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</si>
  <si>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</si>
  <si>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</si>
  <si>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</si>
  <si>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</si>
  <si>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</si>
  <si>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</si>
  <si>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</si>
  <si>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</si>
  <si>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</si>
  <si>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</si>
  <si>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</si>
  <si>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</si>
  <si>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</si>
  <si>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</si>
  <si>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</si>
  <si>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</si>
  <si>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</si>
  <si>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</si>
  <si>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</si>
  <si>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</si>
  <si>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</si>
  <si>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</si>
  <si>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</si>
  <si>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</si>
  <si>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</si>
  <si>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</si>
  <si>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</si>
  <si>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</si>
  <si>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</si>
  <si>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</si>
  <si>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</si>
  <si>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</si>
  <si>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</si>
  <si>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</si>
  <si>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</si>
  <si>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</si>
  <si>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</si>
  <si>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</si>
  <si>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</si>
  <si>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</si>
  <si>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</si>
  <si>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</si>
  <si>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</si>
  <si>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</si>
  <si>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</si>
  <si>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</si>
  <si>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</si>
  <si>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</si>
  <si>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</si>
  <si>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</si>
  <si>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</si>
  <si>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</si>
  <si>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</si>
  <si>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</si>
  <si>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</si>
  <si>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</si>
  <si>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</si>
  <si>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</si>
  <si>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</si>
  <si>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</si>
  <si>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</si>
  <si>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</si>
  <si>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</si>
  <si>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</si>
  <si>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</si>
  <si>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</si>
  <si>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</si>
  <si>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</si>
  <si>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</si>
  <si>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</si>
  <si>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</si>
  <si>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</si>
  <si>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</si>
  <si>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</si>
  <si>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</si>
  <si>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</si>
  <si>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</si>
  <si>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</si>
  <si>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</si>
  <si>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</si>
  <si>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</si>
  <si>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</si>
  <si>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</si>
  <si>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</si>
  <si>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</si>
  <si>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</si>
  <si>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</si>
  <si>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</si>
  <si>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</si>
  <si>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</si>
  <si>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</si>
  <si>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</si>
  <si>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</si>
  <si>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</si>
  <si>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</si>
  <si>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</si>
  <si>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</si>
  <si>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</si>
  <si>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</si>
  <si>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</si>
  <si>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</si>
  <si>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</si>
  <si>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</si>
  <si>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</si>
  <si>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</si>
  <si>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</si>
  <si>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</si>
  <si>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</si>
  <si>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</si>
  <si>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</si>
  <si>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</si>
  <si>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</si>
  <si>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</si>
  <si>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</si>
  <si>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</si>
  <si>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</si>
  <si>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</si>
  <si>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</si>
  <si>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</si>
  <si>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</si>
  <si>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</si>
  <si>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</si>
  <si>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</si>
  <si>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</si>
  <si>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</si>
  <si>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</si>
  <si>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</si>
  <si>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</si>
  <si>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</si>
  <si>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</si>
  <si>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</si>
  <si>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</si>
  <si>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</si>
  <si>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</si>
  <si>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</si>
  <si>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</si>
  <si>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</si>
  <si>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</si>
  <si>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</si>
  <si>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</si>
  <si>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</si>
  <si>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</si>
  <si>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</si>
  <si>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</si>
  <si>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</si>
  <si>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</si>
  <si>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</si>
  <si>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</si>
  <si>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</si>
  <si>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</si>
  <si>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</si>
  <si>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</si>
  <si>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</si>
  <si>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</si>
  <si>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</si>
  <si>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</si>
  <si>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</si>
  <si>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</si>
  <si>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</si>
  <si>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</si>
  <si>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</si>
  <si>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</si>
  <si>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</si>
  <si>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</si>
  <si>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</si>
  <si>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</si>
  <si>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</si>
  <si>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</si>
  <si>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</si>
  <si>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</si>
  <si>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</si>
  <si>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</si>
  <si>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</si>
  <si>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</si>
  <si>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</si>
  <si>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</si>
  <si>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</si>
  <si>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</si>
  <si>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</si>
  <si>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</si>
  <si>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</si>
  <si>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</si>
  <si>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</si>
  <si>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</si>
  <si>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</si>
  <si>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</si>
  <si>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</si>
  <si>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</si>
  <si>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</si>
  <si>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</si>
  <si>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</si>
  <si>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</si>
  <si>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</si>
  <si>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</si>
  <si>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</si>
  <si>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</si>
  <si>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</si>
  <si>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</si>
  <si>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</si>
  <si>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</si>
  <si>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</si>
  <si>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</si>
  <si>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</si>
  <si>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</si>
  <si>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</si>
  <si>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</si>
  <si>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</si>
  <si>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</si>
  <si>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</si>
  <si>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</si>
  <si>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</si>
  <si>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</si>
  <si>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</si>
  <si>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</si>
  <si>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</si>
  <si>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</si>
  <si>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</si>
  <si>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</si>
  <si>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</si>
  <si>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</si>
  <si>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</si>
  <si>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</si>
  <si>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</si>
  <si>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</si>
  <si>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</si>
  <si>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</si>
  <si>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</si>
  <si>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</si>
  <si>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</si>
  <si>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</si>
  <si>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</si>
  <si>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</si>
  <si>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</si>
  <si>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</si>
  <si>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</si>
  <si>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</si>
  <si>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</si>
  <si>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</si>
  <si>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</si>
  <si>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</si>
  <si>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</si>
  <si>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</si>
  <si>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</si>
  <si>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</si>
  <si>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</si>
  <si>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</si>
  <si>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</si>
  <si>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</si>
  <si>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</si>
  <si>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</si>
  <si>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</si>
  <si>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</si>
  <si>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</si>
  <si>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</si>
  <si>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</si>
  <si>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</si>
  <si>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</si>
  <si>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</si>
  <si>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</si>
  <si>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</si>
  <si>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</si>
  <si>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</si>
  <si>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</si>
  <si>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</si>
  <si>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</si>
  <si>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</si>
  <si>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</si>
  <si>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</si>
  <si>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</si>
  <si>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</si>
  <si>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</si>
  <si>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</si>
  <si>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</si>
  <si>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</si>
  <si>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</si>
  <si>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</si>
  <si>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</si>
  <si>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</si>
  <si>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</si>
  <si>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</si>
  <si>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</si>
  <si>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</si>
  <si>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</si>
  <si>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</si>
  <si>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</si>
  <si>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</si>
  <si>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</si>
  <si>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</si>
  <si>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</si>
  <si>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</si>
  <si>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</si>
  <si>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</si>
  <si>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</si>
  <si>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</si>
  <si>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</si>
  <si>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</si>
  <si>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</si>
  <si>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</si>
  <si>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</si>
  <si>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</si>
  <si>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</si>
  <si>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</si>
  <si>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</si>
  <si>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</si>
  <si>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</si>
  <si>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</si>
  <si>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</si>
  <si>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</si>
  <si>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</si>
  <si>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</si>
  <si>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</si>
  <si>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</si>
  <si>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</si>
  <si>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</si>
  <si>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</si>
  <si>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</si>
  <si>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</si>
  <si>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</si>
  <si>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</si>
  <si>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</si>
  <si>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</si>
  <si>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</si>
  <si>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</si>
  <si>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</si>
  <si>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</si>
  <si>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</si>
  <si>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</si>
  <si>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</si>
  <si>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</si>
  <si>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</si>
  <si>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</si>
  <si>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</si>
  <si>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</si>
  <si>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</si>
  <si>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</si>
  <si>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</si>
  <si>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</si>
  <si>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</si>
  <si>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</si>
  <si>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</si>
  <si>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</si>
  <si>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</si>
  <si>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</si>
  <si>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</si>
  <si>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</si>
  <si>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</si>
  <si>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</si>
  <si>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</si>
  <si>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</si>
  <si>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</si>
  <si>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</si>
  <si>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</si>
  <si>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</si>
  <si>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</si>
  <si>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</si>
  <si>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</si>
  <si>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</si>
  <si>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</si>
  <si>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</si>
  <si>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</si>
  <si>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</si>
  <si>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</si>
  <si>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</si>
  <si>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</si>
  <si>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</si>
  <si>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</si>
  <si>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</si>
  <si>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</si>
  <si>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</si>
  <si>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</si>
  <si>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</si>
  <si>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</si>
  <si>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</si>
  <si>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</si>
  <si>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</si>
  <si>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</si>
  <si>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</si>
  <si>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</si>
  <si>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</si>
  <si>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</si>
  <si>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</si>
  <si>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</si>
  <si>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</si>
  <si>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</si>
  <si>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</si>
  <si>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</si>
  <si>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</si>
  <si>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</si>
  <si>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</si>
  <si>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</si>
  <si>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</si>
  <si>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</si>
  <si>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</si>
  <si>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</si>
  <si>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</si>
  <si>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</si>
  <si>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</si>
  <si>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</si>
  <si>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</si>
  <si>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</si>
  <si>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</si>
  <si>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</si>
  <si>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</si>
  <si>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</si>
  <si>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</si>
  <si>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</si>
  <si>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</si>
  <si>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</si>
  <si>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</si>
  <si>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</si>
  <si>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</si>
  <si>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</si>
  <si>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</si>
  <si>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</si>
  <si>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</si>
  <si>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</si>
  <si>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</si>
  <si>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</si>
  <si>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</si>
  <si>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</si>
  <si>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</si>
  <si>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</si>
  <si>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</si>
  <si>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</si>
  <si>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</si>
  <si>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</si>
  <si>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</si>
  <si>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</si>
  <si>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</si>
  <si>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</si>
  <si>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</si>
  <si>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</si>
  <si>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</si>
  <si>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</si>
  <si>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</si>
  <si>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</si>
  <si>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</si>
  <si>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</si>
  <si>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</si>
  <si>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</si>
  <si>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</si>
  <si>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</si>
  <si>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</si>
  <si>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</si>
  <si>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</si>
  <si>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</si>
  <si>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</si>
  <si>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</si>
  <si>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</si>
  <si>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</si>
  <si>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</si>
  <si>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</si>
  <si>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</si>
  <si>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</si>
  <si>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</si>
  <si>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</si>
  <si>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</si>
  <si>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</si>
  <si>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</si>
  <si>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</si>
  <si>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</si>
  <si>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</si>
  <si>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</si>
  <si>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</si>
  <si>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</si>
  <si>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</si>
  <si>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</si>
  <si>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</si>
  <si>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</si>
  <si>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</si>
  <si>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</si>
  <si>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</si>
  <si>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</si>
  <si>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</si>
  <si>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</si>
  <si>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</si>
  <si>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</si>
  <si>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</si>
  <si>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</si>
  <si>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</si>
  <si>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</si>
  <si>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</si>
  <si>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</si>
  <si>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</si>
  <si>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</si>
  <si>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</si>
  <si>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</si>
  <si>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</si>
  <si>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</si>
  <si>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</si>
  <si>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</si>
  <si>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</si>
  <si>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</si>
  <si>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</si>
  <si>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</si>
  <si>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</si>
  <si>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</si>
  <si>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</si>
  <si>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</si>
  <si>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</si>
  <si>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</si>
  <si>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</si>
  <si>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</si>
  <si>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</si>
  <si>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</si>
  <si>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</si>
  <si>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</si>
  <si>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</si>
  <si>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</si>
  <si>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</si>
  <si>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</si>
  <si>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</si>
  <si>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</si>
  <si>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</si>
  <si>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</si>
  <si>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</si>
  <si>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</si>
  <si>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</si>
  <si>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</si>
  <si>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</si>
  <si>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</si>
  <si>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</si>
  <si>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</si>
  <si>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</si>
  <si>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</si>
  <si>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</si>
  <si>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</si>
  <si>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</si>
  <si>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</si>
  <si>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</si>
  <si>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</si>
  <si>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</si>
  <si>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</si>
  <si>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</si>
  <si>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</si>
  <si>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</si>
  <si>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</si>
  <si>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</si>
  <si>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</si>
  <si>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</si>
  <si>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</si>
  <si>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</si>
  <si>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</si>
  <si>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</si>
  <si>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</si>
  <si>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</si>
  <si>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</si>
  <si>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</si>
  <si>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</si>
  <si>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</si>
  <si>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</si>
  <si>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</si>
  <si>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</si>
  <si>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</si>
  <si>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</si>
  <si>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</si>
  <si>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</si>
  <si>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</si>
  <si>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</si>
  <si>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</si>
  <si>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</si>
  <si>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</si>
  <si>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</si>
  <si>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</si>
  <si>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</si>
  <si>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</si>
  <si>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</si>
  <si>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</si>
  <si>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</si>
  <si>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</si>
  <si>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</si>
  <si>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</si>
  <si>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</si>
  <si>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</si>
  <si>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</si>
  <si>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</si>
  <si>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</si>
  <si>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</si>
  <si>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</si>
  <si>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</si>
  <si>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</si>
  <si>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</si>
  <si>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</si>
  <si>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</si>
  <si>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</si>
  <si>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</si>
  <si>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</si>
  <si>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</si>
  <si>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</si>
  <si>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</si>
  <si>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</si>
  <si>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</si>
  <si>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</si>
  <si>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</si>
  <si>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</si>
  <si>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</si>
  <si>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</si>
  <si>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</si>
  <si>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</si>
  <si>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</si>
  <si>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</si>
  <si>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</si>
  <si>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</si>
  <si>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</si>
  <si>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</si>
  <si>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</si>
  <si>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</si>
  <si>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</si>
  <si>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</si>
  <si>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</si>
  <si>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</si>
  <si>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</si>
  <si>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</si>
  <si>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</si>
  <si>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</si>
  <si>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</si>
  <si>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</si>
  <si>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</si>
  <si>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</si>
  <si>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</si>
  <si>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</si>
  <si>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</si>
  <si>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</si>
  <si>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</si>
  <si>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</si>
  <si>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</si>
  <si>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</si>
  <si>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</si>
  <si>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</si>
  <si>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</si>
  <si>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</si>
  <si>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</si>
  <si>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</si>
  <si>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</si>
  <si>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</si>
  <si>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</si>
  <si>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</si>
  <si>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</si>
  <si>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</si>
  <si>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</si>
  <si>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</si>
  <si>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</si>
  <si>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</si>
  <si>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</si>
  <si>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</si>
  <si>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</si>
  <si>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</si>
  <si>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</si>
  <si>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</si>
  <si>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</si>
  <si>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</si>
  <si>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</si>
  <si>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</si>
  <si>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</si>
  <si>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</si>
  <si>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</si>
  <si>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</si>
  <si>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</si>
  <si>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</si>
  <si>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</si>
  <si>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</si>
  <si>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</si>
  <si>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</si>
  <si>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</si>
  <si>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</si>
  <si>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</si>
  <si>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</si>
  <si>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</si>
  <si>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</si>
  <si>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</si>
  <si>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</si>
  <si>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</si>
  <si>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</si>
  <si>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</si>
  <si>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</si>
  <si>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</si>
  <si>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</si>
  <si>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</si>
  <si>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</si>
  <si>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</si>
  <si>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</si>
  <si>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</si>
  <si>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</si>
  <si>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</si>
  <si>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</si>
  <si>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</si>
  <si>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</si>
  <si>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</si>
  <si>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</si>
  <si>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</si>
  <si>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</si>
  <si>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</si>
  <si>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</si>
  <si>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</si>
  <si>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</si>
  <si>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</si>
  <si>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</si>
  <si>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</si>
  <si>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</si>
  <si>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</si>
  <si>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</si>
  <si>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</si>
  <si>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</si>
  <si>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</si>
  <si>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</si>
  <si>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</si>
  <si>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</si>
  <si>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</si>
  <si>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</si>
  <si>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</si>
  <si>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</si>
  <si>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</si>
  <si>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</si>
  <si>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</si>
  <si>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</si>
  <si>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</si>
  <si>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</si>
  <si>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</si>
  <si>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</si>
  <si>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</si>
  <si>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</si>
  <si>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</si>
  <si>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</si>
  <si>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</si>
  <si>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</si>
  <si>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</si>
  <si>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</si>
  <si>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</si>
  <si>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</si>
  <si>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</si>
  <si>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</si>
  <si>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</si>
  <si>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</si>
  <si>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</si>
  <si>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</si>
  <si>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</si>
  <si>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</si>
  <si>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</si>
  <si>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</si>
  <si>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</si>
  <si>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</si>
  <si>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</si>
  <si>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</si>
  <si>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</si>
  <si>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</si>
  <si>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</si>
  <si>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</si>
  <si>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</si>
  <si>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</si>
  <si>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</si>
  <si>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</si>
  <si>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</si>
  <si>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</si>
  <si>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</si>
  <si>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</si>
  <si>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</si>
  <si>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</si>
  <si>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</si>
  <si>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</si>
  <si>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</si>
  <si>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</si>
  <si>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</si>
  <si>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</si>
  <si>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</si>
  <si>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</si>
  <si>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</si>
  <si>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</si>
  <si>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</si>
  <si>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</si>
  <si>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</si>
  <si>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</si>
  <si>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</si>
  <si>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</si>
  <si>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</si>
  <si>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</si>
  <si>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</si>
  <si>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</si>
  <si>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</si>
  <si>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</si>
  <si>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</si>
  <si>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</si>
  <si>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</si>
  <si>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</si>
  <si>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</si>
  <si>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</si>
  <si>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</si>
  <si>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</si>
  <si>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</si>
  <si>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</si>
  <si>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</si>
  <si>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</si>
  <si>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</si>
  <si>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</si>
  <si>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</si>
  <si>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</si>
  <si>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</si>
  <si>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</si>
  <si>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</si>
  <si>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</si>
  <si>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</si>
  <si>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</si>
  <si>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</si>
  <si>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</si>
  <si>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</si>
  <si>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</si>
  <si>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</si>
  <si>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</si>
  <si>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</si>
  <si>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</si>
  <si>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</si>
  <si>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</si>
  <si>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</si>
  <si>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</si>
  <si>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</si>
  <si>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</si>
  <si>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</si>
  <si>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</si>
  <si>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</si>
  <si>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</si>
  <si>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</si>
  <si>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</si>
  <si>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</si>
  <si>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</si>
  <si>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</si>
  <si>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</si>
  <si>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</si>
  <si>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</si>
  <si>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</si>
  <si>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</si>
  <si>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</si>
  <si>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</si>
  <si>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</si>
  <si>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</si>
  <si>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</si>
  <si>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</si>
  <si>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</si>
  <si>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</si>
  <si>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</si>
  <si>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</si>
  <si>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</si>
  <si>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</si>
  <si>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</si>
  <si>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</si>
  <si>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</si>
  <si>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</si>
  <si>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</si>
  <si>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</si>
  <si>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</si>
  <si>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</si>
  <si>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</si>
  <si>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</si>
  <si>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</si>
  <si>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</si>
  <si>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</si>
  <si>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</si>
  <si>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</si>
  <si>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</si>
  <si>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</si>
  <si>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</si>
  <si>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</si>
  <si>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</si>
  <si>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</si>
  <si>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</si>
  <si>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</si>
  <si>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</si>
  <si>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</si>
  <si>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</si>
  <si>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</si>
  <si>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</si>
  <si>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</si>
  <si>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</si>
  <si>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</si>
  <si>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</si>
  <si>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</si>
  <si>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</si>
  <si>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</si>
  <si>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</si>
  <si>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</si>
  <si>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</si>
  <si>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</si>
  <si>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</si>
  <si>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</si>
  <si>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</si>
  <si>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</si>
  <si>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</si>
  <si>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</si>
  <si>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</si>
  <si>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</si>
  <si>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</si>
  <si>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</si>
  <si>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</si>
  <si>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</si>
  <si>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</si>
  <si>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</si>
  <si>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</si>
  <si>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</si>
  <si>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</si>
  <si>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</si>
  <si>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</si>
  <si>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</si>
  <si>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</si>
  <si>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</si>
  <si>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</si>
  <si>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</si>
  <si>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</si>
  <si>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</si>
  <si>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</si>
  <si>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</si>
  <si>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</si>
  <si>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</si>
  <si>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</si>
  <si>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</si>
  <si>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</si>
  <si>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</si>
  <si>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</si>
  <si>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</si>
  <si>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</si>
  <si>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</si>
  <si>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</si>
  <si>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</si>
  <si>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</si>
  <si>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</si>
  <si>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</si>
  <si>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</si>
  <si>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</si>
  <si>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</si>
  <si>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</si>
  <si>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</si>
  <si>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</si>
  <si>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</si>
  <si>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</si>
  <si>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</si>
  <si>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</si>
  <si>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</si>
  <si>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</si>
  <si>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</si>
  <si>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</si>
  <si>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</si>
  <si>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</si>
  <si>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</si>
  <si>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</si>
  <si>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</si>
  <si>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</si>
  <si>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</si>
  <si>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</si>
  <si>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</si>
  <si>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</si>
  <si>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</si>
  <si>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</si>
  <si>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</si>
  <si>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</si>
  <si>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</si>
  <si>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</si>
  <si>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</si>
  <si>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</si>
  <si>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</si>
  <si>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</si>
  <si>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</si>
  <si>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</si>
  <si>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</si>
  <si>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</si>
  <si>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</si>
  <si>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</si>
  <si>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</si>
  <si>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</si>
  <si>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</si>
  <si>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</si>
  <si>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</si>
  <si>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</si>
  <si>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</si>
  <si>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</si>
  <si>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</si>
  <si>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</si>
  <si>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</si>
  <si>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</si>
  <si>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</si>
  <si>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</si>
  <si>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</si>
  <si>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</si>
  <si>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</si>
  <si>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</si>
  <si>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</si>
  <si>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</si>
  <si>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</si>
  <si>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</si>
  <si>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</si>
  <si>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</si>
  <si>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</si>
  <si>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</si>
  <si>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</si>
  <si>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</si>
  <si>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</si>
  <si>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</si>
  <si>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</si>
  <si>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</si>
  <si>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</si>
  <si>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</si>
  <si>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</si>
  <si>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</si>
  <si>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</si>
  <si>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</si>
  <si>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</si>
  <si>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</si>
  <si>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</si>
  <si>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</si>
  <si>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</si>
  <si>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</si>
  <si>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</si>
  <si>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</si>
  <si>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</si>
  <si>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</si>
  <si>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</si>
  <si>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</si>
  <si>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</si>
  <si>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</si>
  <si>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</si>
  <si>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</si>
  <si>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</si>
  <si>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</si>
  <si>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</si>
  <si>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</si>
  <si>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</si>
  <si>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</si>
  <si>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</si>
  <si>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</si>
  <si>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</si>
  <si>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</si>
  <si>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</si>
  <si>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</si>
  <si>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</si>
  <si>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</si>
  <si>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</si>
  <si>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</si>
  <si>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</si>
  <si>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</si>
  <si>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</si>
  <si>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</si>
  <si>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</si>
  <si>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</si>
  <si>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</si>
  <si>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</si>
  <si>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</si>
  <si>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</si>
  <si>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</si>
  <si>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</si>
  <si>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</si>
  <si>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</si>
  <si>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</si>
  <si>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</si>
  <si>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</si>
  <si>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</si>
  <si>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</si>
  <si>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</si>
  <si>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</si>
  <si>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</si>
  <si>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</si>
  <si>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</si>
  <si>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</si>
  <si>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</si>
  <si>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</si>
  <si>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</si>
  <si>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</si>
  <si>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</si>
  <si>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</si>
  <si>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</si>
  <si>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</si>
  <si>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</si>
  <si>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</si>
  <si>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</si>
  <si>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</si>
  <si>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</si>
  <si>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</si>
  <si>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</si>
  <si>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</si>
  <si>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</si>
  <si>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</si>
  <si>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</si>
  <si>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</si>
  <si>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</si>
  <si>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</si>
  <si>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</si>
  <si>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</si>
  <si>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</si>
  <si>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</si>
  <si>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</si>
  <si>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</si>
  <si>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</si>
  <si>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</si>
  <si>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</si>
  <si>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</si>
  <si>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</si>
  <si>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</si>
  <si>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</si>
  <si>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</si>
  <si>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</si>
  <si>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</si>
  <si>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</si>
  <si>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</si>
  <si>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</si>
  <si>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</si>
  <si>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</si>
  <si>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</si>
  <si>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</si>
  <si>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</si>
  <si>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</si>
  <si>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</si>
  <si>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</si>
  <si>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</si>
  <si>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</si>
  <si>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</si>
  <si>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</si>
  <si>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</si>
  <si>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</si>
  <si>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</si>
  <si>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</si>
  <si>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</si>
  <si>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</si>
  <si>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</si>
  <si>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</si>
  <si>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</si>
  <si>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</si>
  <si>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</si>
  <si>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</si>
  <si>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</si>
  <si>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</si>
  <si>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</si>
  <si>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</si>
  <si>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</si>
  <si>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</si>
  <si>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</si>
  <si>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</si>
  <si>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</si>
  <si>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</si>
  <si>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</si>
  <si>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</si>
  <si>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</si>
  <si>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</si>
  <si>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</si>
  <si>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</si>
  <si>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</si>
  <si>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</si>
  <si>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</si>
  <si>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</si>
  <si>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</si>
  <si>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</si>
  <si>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</si>
  <si>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</si>
  <si>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</si>
  <si>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</si>
  <si>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</si>
  <si>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</si>
  <si>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</si>
  <si>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</si>
  <si>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</si>
  <si>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</si>
  <si>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</si>
  <si>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</si>
  <si>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</si>
  <si>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</si>
  <si>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</si>
  <si>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</si>
  <si>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</si>
  <si>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</si>
  <si>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</si>
  <si>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</si>
  <si>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</si>
  <si>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</si>
  <si>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</si>
  <si>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</si>
  <si>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</si>
  <si>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</si>
  <si>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</si>
  <si>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</si>
  <si>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</si>
  <si>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</si>
  <si>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</si>
  <si>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</si>
  <si>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</si>
  <si>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</si>
  <si>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</si>
  <si>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</si>
  <si>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</si>
  <si>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</si>
  <si>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</si>
  <si>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</si>
  <si>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</si>
  <si>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</si>
  <si>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</si>
  <si>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</si>
  <si>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</si>
  <si>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33-094-3040-26</t>
  </si>
  <si>
    <t>Warren</t>
  </si>
  <si>
    <t>1905 100th St</t>
  </si>
  <si>
    <t>Monmouth</t>
  </si>
  <si>
    <t>Mr. Jeffrey Whitsitt</t>
  </si>
  <si>
    <t>309-734-9413</t>
  </si>
  <si>
    <t>309-734-0223</t>
  </si>
  <si>
    <t>Cavanaugh, Davies, Blackman &amp; Cramblet</t>
  </si>
  <si>
    <t>Rod Davies</t>
  </si>
  <si>
    <t>1021 N. Main St., PO Box 318</t>
  </si>
  <si>
    <t>IL</t>
  </si>
  <si>
    <t>309-734-2330</t>
  </si>
  <si>
    <t>309-734-2349</t>
  </si>
  <si>
    <t>cdbccpas@monmouthcpa.com</t>
  </si>
  <si>
    <t>Mrs.Jodi Scott</t>
  </si>
  <si>
    <t>jscott@hmwroe27</t>
  </si>
  <si>
    <t>309-734-6822</t>
  </si>
  <si>
    <t>309-734-2452</t>
  </si>
  <si>
    <t>Fire Prevention &amp; Safety Bonds</t>
  </si>
  <si>
    <t>General Obligation Build America Bonds - 2010</t>
  </si>
  <si>
    <t>Trans-Pupil Transportation-Purchase Services</t>
  </si>
  <si>
    <t>40-2550-300</t>
  </si>
  <si>
    <t>Midwest Bus Sales Inc</t>
  </si>
  <si>
    <t>Kincaid Leasing</t>
  </si>
  <si>
    <t>LaSalle County ROE</t>
  </si>
  <si>
    <t>Knox-Warren Special Ed Co-op</t>
  </si>
  <si>
    <t>Western Area Purchasing Co-op</t>
  </si>
  <si>
    <t>Delabar CTE</t>
  </si>
  <si>
    <t>Account coding for receipts and disbursements should be in accordance with ISBE program manual.</t>
  </si>
  <si>
    <t>There were deposits and expenses that were incorrectly coded and posted to District accounts.</t>
  </si>
  <si>
    <t>Identified mispostings were corrected with audit entries.</t>
  </si>
  <si>
    <t>Misposting of receipts or expenditures may cause the District's financial statements to be misstated.</t>
  </si>
  <si>
    <t>It is recommended that District personnel review the ISBE program accounting manual for account coding and review the fund ledger for misposting errors.</t>
  </si>
  <si>
    <t>A review will be made to ensure that all checks written have adequate supporting documentation attached to support the expense.</t>
  </si>
  <si>
    <t>Sales to Pupils - Other #1614, Line 72, Page 10</t>
  </si>
  <si>
    <t>$14,746  Student Milk</t>
  </si>
  <si>
    <t>Other Food Service - #1690, Line 74, Page 10</t>
  </si>
  <si>
    <t>Other Local Revenue - #1999, Line 107, Page 11</t>
  </si>
  <si>
    <t>$86,175  E-Rate Grant</t>
  </si>
  <si>
    <t>$8,613  Expense Reimbursements, Refunds &amp; Rebates</t>
  </si>
  <si>
    <t>Other Restricted Revenue Revenue from State Sources - #3999, Line 171, Page 12</t>
  </si>
  <si>
    <t>$5,650  Secretary of State Library Grant</t>
  </si>
  <si>
    <t>CTE - Other #4799, Line 227, Page 13</t>
  </si>
  <si>
    <t>$1,035  #4745 Carl Perkins</t>
  </si>
  <si>
    <t>Operation and Maintenance Fund</t>
  </si>
  <si>
    <t>Other Local Revenues - #1999, Line 107, Page 11</t>
  </si>
  <si>
    <t>$41,099  E-Rate</t>
  </si>
  <si>
    <t>$12,866  Cell Tower Rent</t>
  </si>
  <si>
    <t>$1,340  Building Rent</t>
  </si>
  <si>
    <t>$1,784  Refunds, Rebates</t>
  </si>
  <si>
    <t>Debt Services Fund</t>
  </si>
  <si>
    <t>Debt Services - Other - #5400, Line 171, Page 18</t>
  </si>
  <si>
    <t>$990  Bond Service Fees</t>
  </si>
  <si>
    <t>$200  Expense Reimbursements</t>
  </si>
  <si>
    <t>Schedule of Restricted Tax Levies and Selected Revenue Sources</t>
  </si>
  <si>
    <t>Other Disbursements, Special Education, Line 22, Page 25</t>
  </si>
  <si>
    <t>$61,117  Special Education Co-op Tuition</t>
  </si>
  <si>
    <t>The District is allowed to invest in securities as authorized by the Illinois Public Funds Investment Act 30 ILCS 235.</t>
  </si>
  <si>
    <t>The District maintains two scholarship funds that have investments in unallowed individual stocks that have been donated to the District.</t>
  </si>
  <si>
    <t>This District should review the Public Funds Investment Act 30 ILCS 235 for allowable investments.</t>
  </si>
  <si>
    <t>2017-001</t>
  </si>
  <si>
    <t>Inadequate Segregation of Duties</t>
  </si>
  <si>
    <t>Repeat Finding - Superintendent will Review Staff</t>
  </si>
  <si>
    <t>Duties</t>
  </si>
  <si>
    <t>2017-002</t>
  </si>
  <si>
    <t>Deposits and Expenses were Incorrectly</t>
  </si>
  <si>
    <t>Coded and Posted to District Accounts</t>
  </si>
  <si>
    <t>Repeat Finding</t>
  </si>
  <si>
    <t>2017-003</t>
  </si>
  <si>
    <t>Disbursements not Supported by Invoices</t>
  </si>
  <si>
    <t>or Statements</t>
  </si>
  <si>
    <t>2017-004</t>
  </si>
  <si>
    <t>Unallowed Investments within the Activity</t>
  </si>
  <si>
    <t>Funds</t>
  </si>
  <si>
    <t>jeff.whitsitt@u304.org</t>
  </si>
  <si>
    <t>The superintendent and bookkeeper will occassionally review the fund ledger detail for account posting errors.</t>
  </si>
  <si>
    <t xml:space="preserve">Illinois Compiled Statutes require all key administrative employees, including teachers holding an administrative certificate earning over $50,000, and board members to file an economic interest statement with the office of the County Clerk by May 1. </t>
  </si>
  <si>
    <t>Not all employees or board members filed economic interest statements by May 1st.</t>
  </si>
  <si>
    <t>A review should be done to ensure that the required economic interest statements are filed on a timely basis each year.</t>
  </si>
  <si>
    <t>Controls will be put in place to remind employees and board members that economic interest statements need to be filed by May 1st.</t>
  </si>
  <si>
    <t>$3,030  Food Sales and Refunds</t>
  </si>
  <si>
    <t>Cash disbursements should be supported by invoices or statements.  It was noted that some invoices were not available for review and some purchases made with the procurement card were not supported by an invoice.</t>
  </si>
  <si>
    <t>All items paid by the District should have an invoice with sufficient detail of the purchase to support the payment being made.  All invoices and requests should be reviewed and approved for payment.</t>
  </si>
  <si>
    <t>The superintendent will review all District investments to ensure that they are allowable under the Public Funds Investment Act 30 ILCS 235.  No unauthorized investments have been purchased by the District.</t>
  </si>
  <si>
    <t>The Public Funds Investment Act has requirements regarding collateralization of all District accounts.</t>
  </si>
  <si>
    <t>It is recommended that a review be done to ensure that collateralization is adequate to cover all the District's account balances at all time.</t>
  </si>
  <si>
    <t>The superintendent and bookkeeper will monitor the District's account balances to ensure that all amounts are fully collateralized.</t>
  </si>
  <si>
    <t>Not all procurement card statements had the invoices attached to support the monthly charges. Not all invoices or employee reimbursement requests had indication that they had been reviewed and approved for payment.</t>
  </si>
  <si>
    <t>As of June 30, 2018, the District funds were under collateralized by $67,122.</t>
  </si>
  <si>
    <t>All of the District's accounts were not included in the determination of additional collateralization required.</t>
  </si>
  <si>
    <t>United CUSD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</si>
</sst>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64" fontId="63"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76200</xdr:rowOff>
        </xdr:from>
        <xdr:to>
          <xdr:col>1</xdr:col>
          <xdr:colOff>790575</xdr:colOff>
          <xdr:row>4</xdr:row>
          <xdr:rowOff>114300</xdr:rowOff>
        </xdr:to>
        <xdr:sp macro="" textlink="">
          <xdr:nvSpPr>
            <xdr:cNvPr id="40961" name="Object 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0962" name="Object 2" hidden="1">
              <a:extLst>
                <a:ext uri="{63B3BB69-23CF-44E3-9099-C40C66FF867C}">
                  <a14:compatExt spid="_x0000_s409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t="s">
        <v>2084</v>
      </c>
      <c r="B13" s="2036"/>
      <c r="C13" s="2036"/>
      <c r="D13" s="2036"/>
      <c r="E13" s="2036"/>
      <c r="F13" s="2036"/>
      <c r="G13" s="2036"/>
      <c r="H13" s="2037"/>
      <c r="I13" s="31"/>
      <c r="J13" s="30"/>
      <c r="K13" s="28"/>
      <c r="L13" s="30"/>
      <c r="M13" s="30"/>
      <c r="N13" s="30"/>
      <c r="O13" s="30"/>
      <c r="P13" s="30"/>
      <c r="Q13" s="30"/>
      <c r="R13" s="30"/>
      <c r="S13" s="30"/>
      <c r="T13" s="2040" t="s">
        <v>2091</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2085</v>
      </c>
      <c r="B15" s="2038"/>
      <c r="C15" s="2038"/>
      <c r="D15" s="2038"/>
      <c r="E15" s="2038"/>
      <c r="F15" s="2038"/>
      <c r="G15" s="2038"/>
      <c r="H15" s="2039"/>
      <c r="T15" s="2044" t="s">
        <v>2092</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2174</v>
      </c>
      <c r="B17" s="1995"/>
      <c r="C17" s="1995"/>
      <c r="D17" s="1995"/>
      <c r="E17" s="1995"/>
      <c r="F17" s="1995"/>
      <c r="G17" s="1995"/>
      <c r="H17" s="2020"/>
      <c r="T17" s="2051" t="s">
        <v>2093</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2086</v>
      </c>
      <c r="B19" s="1980"/>
      <c r="C19" s="1980"/>
      <c r="D19" s="1980"/>
      <c r="E19" s="1980"/>
      <c r="F19" s="1980"/>
      <c r="G19" s="1980"/>
      <c r="H19" s="1960"/>
      <c r="I19" s="30"/>
      <c r="J19" s="99"/>
      <c r="K19" s="40"/>
      <c r="L19" s="38"/>
      <c r="M19" s="112" t="s">
        <v>333</v>
      </c>
      <c r="P19" s="27"/>
      <c r="Q19" s="27"/>
      <c r="R19" s="27"/>
      <c r="S19" s="31"/>
      <c r="T19" s="2034" t="s">
        <v>2087</v>
      </c>
      <c r="U19" s="1959"/>
      <c r="V19" s="1959"/>
      <c r="W19" s="1960"/>
      <c r="X19" s="2049" t="s">
        <v>2094</v>
      </c>
      <c r="Y19" s="2050"/>
      <c r="Z19" s="2047">
        <v>61462</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2087</v>
      </c>
      <c r="B21" s="1959"/>
      <c r="C21" s="1959"/>
      <c r="D21" s="1959"/>
      <c r="E21" s="1959"/>
      <c r="F21" s="1959"/>
      <c r="G21" s="1959"/>
      <c r="H21" s="1960"/>
      <c r="I21" s="2014" t="s">
        <v>699</v>
      </c>
      <c r="J21" s="2009"/>
      <c r="K21" s="2009"/>
      <c r="L21" s="2009"/>
      <c r="M21" s="2009"/>
      <c r="N21" s="2009"/>
      <c r="O21" s="2009"/>
      <c r="P21" s="2009"/>
      <c r="Q21" s="2009"/>
      <c r="R21" s="2009"/>
      <c r="S21" s="2015"/>
      <c r="T21" s="2058" t="s">
        <v>2095</v>
      </c>
      <c r="U21" s="2059"/>
      <c r="V21" s="2059"/>
      <c r="W21" s="2059"/>
      <c r="X21" s="2064" t="s">
        <v>2096</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2158</v>
      </c>
      <c r="B23" s="2012"/>
      <c r="C23" s="2012"/>
      <c r="D23" s="2012"/>
      <c r="E23" s="2012"/>
      <c r="F23" s="2012"/>
      <c r="G23" s="2012"/>
      <c r="H23" s="2013"/>
      <c r="T23" s="1994">
        <v>60.008476000000002</v>
      </c>
      <c r="U23" s="2057"/>
      <c r="V23" s="2057"/>
      <c r="W23" s="2057"/>
      <c r="X23" s="2061">
        <v>43466</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61462</v>
      </c>
      <c r="B25" s="1959"/>
      <c r="C25" s="1959"/>
      <c r="D25" s="1959"/>
      <c r="E25" s="1959"/>
      <c r="F25" s="1959"/>
      <c r="G25" s="1959"/>
      <c r="H25" s="1960"/>
      <c r="I25" s="113"/>
      <c r="J25" s="1983"/>
      <c r="K25" s="1983"/>
      <c r="L25" s="1983"/>
      <c r="M25" s="1983"/>
      <c r="N25" s="1983"/>
      <c r="O25" s="1983"/>
      <c r="P25" s="1983"/>
      <c r="Q25" s="1983"/>
      <c r="R25" s="1983"/>
      <c r="S25" s="1984"/>
      <c r="T25" s="2054" t="s">
        <v>2097</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2088</v>
      </c>
      <c r="B38" s="1995"/>
      <c r="C38" s="1995"/>
      <c r="D38" s="1995"/>
      <c r="E38" s="1995"/>
      <c r="F38" s="1959"/>
      <c r="G38" s="1959"/>
      <c r="H38" s="1960"/>
      <c r="I38" s="1987"/>
      <c r="J38" s="1988"/>
      <c r="K38" s="1988"/>
      <c r="L38" s="1988"/>
      <c r="M38" s="1988"/>
      <c r="N38" s="1988"/>
      <c r="O38" s="1988"/>
      <c r="P38" s="1989"/>
      <c r="Q38" s="1989"/>
      <c r="R38" s="1989"/>
      <c r="S38" s="1990"/>
      <c r="T38" s="2044" t="s">
        <v>2098</v>
      </c>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2158</v>
      </c>
      <c r="B40" s="1973"/>
      <c r="C40" s="1974"/>
      <c r="D40" s="1974"/>
      <c r="E40" s="1974"/>
      <c r="F40" s="1975"/>
      <c r="G40" s="1975"/>
      <c r="H40" s="1976"/>
      <c r="I40" s="1997"/>
      <c r="J40" s="1998"/>
      <c r="K40" s="1998"/>
      <c r="L40" s="1998"/>
      <c r="M40" s="1998"/>
      <c r="N40" s="1998"/>
      <c r="O40" s="1998"/>
      <c r="P40" s="1998"/>
      <c r="Q40" s="1998"/>
      <c r="R40" s="1998"/>
      <c r="S40" s="1999"/>
      <c r="T40" s="1997" t="s">
        <v>2099</v>
      </c>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2089</v>
      </c>
      <c r="B42" s="1978"/>
      <c r="C42" s="1979"/>
      <c r="D42" s="1977" t="s">
        <v>2090</v>
      </c>
      <c r="E42" s="1978"/>
      <c r="F42" s="1978"/>
      <c r="G42" s="1978"/>
      <c r="H42" s="1979"/>
      <c r="I42" s="1961"/>
      <c r="J42" s="1962"/>
      <c r="K42" s="1962"/>
      <c r="L42" s="1962"/>
      <c r="M42" s="1962"/>
      <c r="N42" s="1962"/>
      <c r="O42" s="1963"/>
      <c r="P42" s="1996"/>
      <c r="Q42" s="1962"/>
      <c r="R42" s="1962"/>
      <c r="S42" s="1963"/>
      <c r="T42" s="1961" t="s">
        <v>2100</v>
      </c>
      <c r="U42" s="1962"/>
      <c r="V42" s="1962"/>
      <c r="W42" s="1963"/>
      <c r="X42" s="1996" t="s">
        <v>2101</v>
      </c>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4" sqref="A2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0" t="s">
        <v>1905</v>
      </c>
      <c r="B2" s="1549" t="s">
        <v>2037</v>
      </c>
      <c r="C2" s="715" t="s">
        <v>1910</v>
      </c>
      <c r="D2" s="715" t="s">
        <v>1911</v>
      </c>
      <c r="E2" s="715" t="s">
        <v>1912</v>
      </c>
      <c r="F2" s="715" t="s">
        <v>1913</v>
      </c>
    </row>
    <row r="3" spans="1:6" ht="12" customHeight="1" x14ac:dyDescent="0.2">
      <c r="A3" s="2201"/>
      <c r="B3" s="1546"/>
      <c r="C3" s="1547"/>
      <c r="D3" s="1548" t="s">
        <v>274</v>
      </c>
      <c r="E3" s="1547"/>
      <c r="F3" s="1548" t="s">
        <v>275</v>
      </c>
    </row>
    <row r="4" spans="1:6" ht="13.7" customHeight="1" x14ac:dyDescent="0.2">
      <c r="A4" s="716" t="s">
        <v>1217</v>
      </c>
      <c r="B4" s="1769">
        <f>'Revenues 9-14'!C5</f>
        <v>4602354</v>
      </c>
      <c r="C4" s="1545">
        <v>4085</v>
      </c>
      <c r="D4" s="1772">
        <f>B4-C4</f>
        <v>4598269</v>
      </c>
      <c r="E4" s="1545">
        <v>5523747</v>
      </c>
      <c r="F4" s="1772">
        <f>E4-C4</f>
        <v>5519662</v>
      </c>
    </row>
    <row r="5" spans="1:6" ht="13.7" customHeight="1" x14ac:dyDescent="0.2">
      <c r="A5" s="716" t="s">
        <v>925</v>
      </c>
      <c r="B5" s="1770">
        <f>'Revenues 9-14'!D5</f>
        <v>765627</v>
      </c>
      <c r="C5" s="585">
        <v>681</v>
      </c>
      <c r="D5" s="1773">
        <f t="shared" ref="D5:D18" si="0">B5-C5</f>
        <v>764946</v>
      </c>
      <c r="E5" s="585">
        <v>920624</v>
      </c>
      <c r="F5" s="1773">
        <f>E5-C5</f>
        <v>919943</v>
      </c>
    </row>
    <row r="6" spans="1:6" ht="13.7" customHeight="1" x14ac:dyDescent="0.2">
      <c r="A6" s="716" t="s">
        <v>431</v>
      </c>
      <c r="B6" s="1770">
        <f>'Revenues 9-14'!E5</f>
        <v>454494</v>
      </c>
      <c r="C6" s="585">
        <v>551</v>
      </c>
      <c r="D6" s="1773">
        <f t="shared" si="0"/>
        <v>453943</v>
      </c>
      <c r="E6" s="585">
        <v>750788</v>
      </c>
      <c r="F6" s="1773">
        <f t="shared" ref="F6:F18" si="1">E6-C6</f>
        <v>750237</v>
      </c>
    </row>
    <row r="7" spans="1:6" ht="13.7" customHeight="1" x14ac:dyDescent="0.2">
      <c r="A7" s="716" t="s">
        <v>157</v>
      </c>
      <c r="B7" s="1770">
        <f>'Revenues 9-14'!F5</f>
        <v>314208</v>
      </c>
      <c r="C7" s="585">
        <v>272</v>
      </c>
      <c r="D7" s="1773">
        <f t="shared" si="0"/>
        <v>313936</v>
      </c>
      <c r="E7" s="585">
        <v>368250</v>
      </c>
      <c r="F7" s="1773">
        <f t="shared" si="1"/>
        <v>367978</v>
      </c>
    </row>
    <row r="8" spans="1:6" ht="13.7" customHeight="1" x14ac:dyDescent="0.2">
      <c r="A8" s="716" t="s">
        <v>1241</v>
      </c>
      <c r="B8" s="1770">
        <f>'Revenues 9-14'!G5</f>
        <v>88594</v>
      </c>
      <c r="C8" s="585">
        <v>81</v>
      </c>
      <c r="D8" s="1773">
        <f t="shared" si="0"/>
        <v>88513</v>
      </c>
      <c r="E8" s="585">
        <v>110236</v>
      </c>
      <c r="F8" s="1773">
        <f t="shared" si="1"/>
        <v>110155</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76229</v>
      </c>
      <c r="C10" s="585">
        <v>68</v>
      </c>
      <c r="D10" s="1773">
        <f t="shared" si="0"/>
        <v>76161</v>
      </c>
      <c r="E10" s="585">
        <v>92062</v>
      </c>
      <c r="F10" s="1773">
        <f t="shared" si="1"/>
        <v>91994</v>
      </c>
    </row>
    <row r="11" spans="1:6" x14ac:dyDescent="0.2">
      <c r="A11" s="716" t="s">
        <v>429</v>
      </c>
      <c r="B11" s="1770">
        <f>'Revenues 9-14'!J5</f>
        <v>301043</v>
      </c>
      <c r="C11" s="585">
        <v>275</v>
      </c>
      <c r="D11" s="1773">
        <f t="shared" si="0"/>
        <v>300768</v>
      </c>
      <c r="E11" s="585">
        <v>374197</v>
      </c>
      <c r="F11" s="1773">
        <f t="shared" si="1"/>
        <v>373922</v>
      </c>
    </row>
    <row r="12" spans="1:6" ht="13.7" customHeight="1" x14ac:dyDescent="0.2">
      <c r="A12" s="716" t="s">
        <v>159</v>
      </c>
      <c r="B12" s="1770">
        <f>'Revenues 9-14'!K5</f>
        <v>76229</v>
      </c>
      <c r="C12" s="585">
        <v>68</v>
      </c>
      <c r="D12" s="1773">
        <f t="shared" si="0"/>
        <v>76161</v>
      </c>
      <c r="E12" s="585">
        <v>92062</v>
      </c>
      <c r="F12" s="1773">
        <f t="shared" si="1"/>
        <v>91994</v>
      </c>
    </row>
    <row r="13" spans="1:6" ht="13.7" customHeight="1" x14ac:dyDescent="0.2">
      <c r="A13" s="716" t="s">
        <v>993</v>
      </c>
      <c r="B13" s="1770">
        <f>SUM('Revenues 9-14'!C6:D6)</f>
        <v>76229</v>
      </c>
      <c r="C13" s="585">
        <v>68</v>
      </c>
      <c r="D13" s="1773">
        <f t="shared" si="0"/>
        <v>76161</v>
      </c>
      <c r="E13" s="585">
        <v>92062</v>
      </c>
      <c r="F13" s="1773">
        <f t="shared" si="1"/>
        <v>91994</v>
      </c>
    </row>
    <row r="14" spans="1:6" ht="13.7" customHeight="1" x14ac:dyDescent="0.2">
      <c r="A14" s="716" t="s">
        <v>430</v>
      </c>
      <c r="B14" s="1770">
        <f>SUM('Revenues 9-14'!C7:D7,'Revenues 9-14'!F7:H7)</f>
        <v>61117</v>
      </c>
      <c r="C14" s="585">
        <v>54</v>
      </c>
      <c r="D14" s="1773">
        <f t="shared" si="0"/>
        <v>61063</v>
      </c>
      <c r="E14" s="585">
        <v>73650</v>
      </c>
      <c r="F14" s="1773">
        <f t="shared" si="1"/>
        <v>73596</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150528</v>
      </c>
      <c r="C16" s="585">
        <v>138</v>
      </c>
      <c r="D16" s="1773">
        <f t="shared" si="0"/>
        <v>150390</v>
      </c>
      <c r="E16" s="585">
        <v>187200</v>
      </c>
      <c r="F16" s="1773">
        <f t="shared" si="1"/>
        <v>187062</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6966652</v>
      </c>
      <c r="C19" s="1771">
        <f>SUM(C4:C18)</f>
        <v>6341</v>
      </c>
      <c r="D19" s="1771">
        <f>SUM(D4:D18)</f>
        <v>6960311</v>
      </c>
      <c r="E19" s="1771">
        <f>SUM(E4:E18)</f>
        <v>8584878</v>
      </c>
      <c r="F19" s="1771">
        <f>SUM(F4:F18)</f>
        <v>8578537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4" colorId="8" zoomScale="110" zoomScaleNormal="110" workbookViewId="0">
      <selection activeCell="A24" sqref="A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5" t="s">
        <v>2038</v>
      </c>
      <c r="D2" s="724" t="s">
        <v>2045</v>
      </c>
      <c r="E2" s="724" t="s">
        <v>2046</v>
      </c>
      <c r="F2" s="1905"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5">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3" t="s">
        <v>652</v>
      </c>
      <c r="B15" s="2214"/>
      <c r="C15" s="1775">
        <f>SUM(C6:C14)</f>
        <v>0</v>
      </c>
      <c r="D15" s="1775">
        <f>SUM(D6:D14)</f>
        <v>0</v>
      </c>
      <c r="E15" s="1775">
        <f>SUM(E6:E14)</f>
        <v>0</v>
      </c>
      <c r="F15" s="1775">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5">
        <f>SUM(C17+D17)-E17</f>
        <v>0</v>
      </c>
    </row>
    <row r="18" spans="1:11" ht="12.75" customHeight="1" thickTop="1" thickBot="1" x14ac:dyDescent="0.25">
      <c r="A18" s="2208" t="s">
        <v>6</v>
      </c>
      <c r="B18" s="2209"/>
      <c r="C18" s="727"/>
      <c r="D18" s="585"/>
      <c r="E18" s="727"/>
      <c r="F18" s="1775">
        <f>SUM(C18+D18)-E18</f>
        <v>0</v>
      </c>
    </row>
    <row r="19" spans="1:11" ht="12.75" customHeight="1" thickTop="1" thickBot="1" x14ac:dyDescent="0.25">
      <c r="A19" s="2208" t="s">
        <v>406</v>
      </c>
      <c r="B19" s="2209"/>
      <c r="C19" s="727"/>
      <c r="D19" s="585"/>
      <c r="E19" s="727"/>
      <c r="F19" s="1775">
        <f>SUM(C19+D19)-E19</f>
        <v>0</v>
      </c>
    </row>
    <row r="20" spans="1:11" ht="12.75" customHeight="1" thickTop="1" thickBot="1" x14ac:dyDescent="0.25">
      <c r="A20" s="2208" t="s">
        <v>468</v>
      </c>
      <c r="B20" s="2209"/>
      <c r="C20" s="727"/>
      <c r="D20" s="585"/>
      <c r="E20" s="727"/>
      <c r="F20" s="1775">
        <f>SUM(C20+D20)-E20</f>
        <v>0</v>
      </c>
    </row>
    <row r="21" spans="1:11" ht="14.25" thickTop="1" thickBot="1" x14ac:dyDescent="0.25">
      <c r="A21" s="2213" t="s">
        <v>653</v>
      </c>
      <c r="B21" s="2214"/>
      <c r="C21" s="1775">
        <f>SUM(C17:C20)</f>
        <v>0</v>
      </c>
      <c r="D21" s="1775">
        <f>SUM(D17:D20)</f>
        <v>0</v>
      </c>
      <c r="E21" s="1775">
        <f>SUM(E17:E20)</f>
        <v>0</v>
      </c>
      <c r="F21" s="1775">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5">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5">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5">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0" t="s">
        <v>1131</v>
      </c>
      <c r="B30" s="731" t="s">
        <v>1186</v>
      </c>
      <c r="C30" s="1906" t="s">
        <v>604</v>
      </c>
      <c r="D30" s="1906" t="s">
        <v>1772</v>
      </c>
      <c r="E30" s="1906" t="s">
        <v>2040</v>
      </c>
      <c r="F30" s="1906" t="s">
        <v>2041</v>
      </c>
      <c r="G30" s="1906" t="s">
        <v>2044</v>
      </c>
      <c r="H30" s="1906" t="s">
        <v>2042</v>
      </c>
      <c r="I30" s="1906" t="s">
        <v>2043</v>
      </c>
      <c r="J30" s="1907" t="s">
        <v>2</v>
      </c>
      <c r="K30" s="732"/>
    </row>
    <row r="31" spans="1:11" ht="12" customHeight="1" x14ac:dyDescent="0.2">
      <c r="A31" s="733" t="s">
        <v>2102</v>
      </c>
      <c r="B31" s="734">
        <v>39431</v>
      </c>
      <c r="C31" s="735">
        <v>2410000</v>
      </c>
      <c r="D31" s="736">
        <v>4</v>
      </c>
      <c r="E31" s="735">
        <v>285000</v>
      </c>
      <c r="F31" s="735"/>
      <c r="G31" s="735"/>
      <c r="H31" s="735">
        <v>285000</v>
      </c>
      <c r="I31" s="1776">
        <f>((E31+F31)-H31)+G31</f>
        <v>0</v>
      </c>
      <c r="J31" s="735"/>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t="s">
        <v>2103</v>
      </c>
      <c r="B33" s="734">
        <v>40542</v>
      </c>
      <c r="C33" s="735">
        <v>6310000</v>
      </c>
      <c r="D33" s="736">
        <v>4</v>
      </c>
      <c r="E33" s="735">
        <v>5295000</v>
      </c>
      <c r="F33" s="735"/>
      <c r="G33" s="735"/>
      <c r="H33" s="735">
        <v>220000</v>
      </c>
      <c r="I33" s="1776">
        <f t="shared" ref="I33:I48" si="1">((E33+F33)-H33)+G33</f>
        <v>5075000</v>
      </c>
      <c r="J33" s="735">
        <v>4892505</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8720000</v>
      </c>
      <c r="D49" s="746"/>
      <c r="E49" s="1776">
        <f t="shared" ref="E49:J49" si="2">SUM(E31:E48)</f>
        <v>5580000</v>
      </c>
      <c r="F49" s="1776">
        <f t="shared" si="2"/>
        <v>0</v>
      </c>
      <c r="G49" s="1776">
        <f t="shared" si="2"/>
        <v>0</v>
      </c>
      <c r="H49" s="1776">
        <f t="shared" si="2"/>
        <v>505000</v>
      </c>
      <c r="I49" s="1776">
        <f t="shared" si="2"/>
        <v>5075000</v>
      </c>
      <c r="J49" s="1776">
        <f t="shared" si="2"/>
        <v>4892505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A24" sqref="A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1"/>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v>137584</v>
      </c>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61117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3967</v>
      </c>
    </row>
    <row r="8" spans="1:11" x14ac:dyDescent="0.2">
      <c r="A8" s="779" t="s">
        <v>363</v>
      </c>
      <c r="B8" s="780"/>
      <c r="C8" s="780"/>
      <c r="D8" s="780"/>
      <c r="E8" s="781"/>
      <c r="F8" s="771" t="s">
        <v>906</v>
      </c>
      <c r="G8" s="783"/>
      <c r="H8" s="783"/>
      <c r="I8" s="783"/>
      <c r="J8" s="766">
        <v>326075</v>
      </c>
      <c r="K8" s="770"/>
    </row>
    <row r="9" spans="1:11" x14ac:dyDescent="0.2">
      <c r="A9" s="779" t="s">
        <v>140</v>
      </c>
      <c r="B9" s="780"/>
      <c r="C9" s="780"/>
      <c r="D9" s="780"/>
      <c r="E9" s="781"/>
      <c r="F9" s="778" t="s">
        <v>908</v>
      </c>
      <c r="G9" s="783"/>
      <c r="H9" s="772"/>
      <c r="I9" s="772"/>
      <c r="J9" s="782"/>
      <c r="K9" s="766">
        <v>13010</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7"/>
      <c r="G12" s="1778">
        <f>SUM(G5:G11)</f>
        <v>0</v>
      </c>
      <c r="H12" s="1778">
        <f>SUM(H5:H11)</f>
        <v>61117</v>
      </c>
      <c r="I12" s="1778">
        <f>SUM(I5:I11)</f>
        <v>0</v>
      </c>
      <c r="J12" s="1778">
        <f>SUM(J5:J11)</f>
        <v>326075</v>
      </c>
      <c r="K12" s="1778">
        <f>SUM(K5:K11)</f>
        <v>16977</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v>16977</v>
      </c>
    </row>
    <row r="15" spans="1:11" x14ac:dyDescent="0.2">
      <c r="A15" s="2235" t="s">
        <v>4</v>
      </c>
      <c r="B15" s="2235"/>
      <c r="C15" s="2235"/>
      <c r="D15" s="2235"/>
      <c r="E15" s="2236"/>
      <c r="F15" s="790" t="s">
        <v>910</v>
      </c>
      <c r="G15" s="772"/>
      <c r="H15" s="765"/>
      <c r="I15" s="765"/>
      <c r="J15" s="766">
        <v>90187</v>
      </c>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v>102</v>
      </c>
      <c r="K18" s="796"/>
    </row>
    <row r="19" spans="1:11" ht="21.75" customHeight="1" x14ac:dyDescent="0.2">
      <c r="A19" s="2243" t="s">
        <v>1916</v>
      </c>
      <c r="B19" s="2243"/>
      <c r="C19" s="2243"/>
      <c r="D19" s="2243"/>
      <c r="E19" s="2244"/>
      <c r="F19" s="790" t="s">
        <v>990</v>
      </c>
      <c r="G19" s="783"/>
      <c r="H19" s="783"/>
      <c r="I19" s="783"/>
      <c r="J19" s="766">
        <v>220000</v>
      </c>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79"/>
      <c r="G21" s="793"/>
      <c r="H21" s="797"/>
      <c r="I21" s="797"/>
      <c r="J21" s="1780">
        <f>SUM(J18:J20)</f>
        <v>220102</v>
      </c>
      <c r="K21" s="794"/>
    </row>
    <row r="22" spans="1:11" ht="13.5" thickTop="1" x14ac:dyDescent="0.2">
      <c r="A22" s="2235" t="s">
        <v>1922</v>
      </c>
      <c r="B22" s="2235"/>
      <c r="C22" s="2235"/>
      <c r="D22" s="2235"/>
      <c r="E22" s="2236"/>
      <c r="F22" s="790" t="s">
        <v>917</v>
      </c>
      <c r="G22" s="783"/>
      <c r="H22" s="765">
        <v>61117</v>
      </c>
      <c r="I22" s="765"/>
      <c r="J22" s="798"/>
      <c r="K22" s="766"/>
    </row>
    <row r="23" spans="1:11" ht="13.5" thickBot="1" x14ac:dyDescent="0.25">
      <c r="A23" s="2265" t="s">
        <v>962</v>
      </c>
      <c r="B23" s="2264"/>
      <c r="C23" s="2264"/>
      <c r="D23" s="2264"/>
      <c r="E23" s="2264"/>
      <c r="F23" s="1781"/>
      <c r="G23" s="1778">
        <f>SUM(G14:G16,G21,G22)</f>
        <v>0</v>
      </c>
      <c r="H23" s="1778">
        <f>SUM(H14:H16,H21,H22)</f>
        <v>61117</v>
      </c>
      <c r="I23" s="1778">
        <f>SUM(I14:I16,I21,I22)</f>
        <v>0</v>
      </c>
      <c r="J23" s="1778">
        <f>SUM(J14:J16,J21,J22)</f>
        <v>310289</v>
      </c>
      <c r="K23" s="1778">
        <f>SUM(K14:K16,K21,K22)</f>
        <v>16977</v>
      </c>
    </row>
    <row r="24" spans="1:11" ht="14.25" thickTop="1" thickBot="1" x14ac:dyDescent="0.25">
      <c r="A24" s="2265" t="s">
        <v>2026</v>
      </c>
      <c r="B24" s="2264"/>
      <c r="C24" s="2264"/>
      <c r="D24" s="2264"/>
      <c r="E24" s="2264"/>
      <c r="F24" s="1782"/>
      <c r="G24" s="1783">
        <f>SUM(G3,G12)-G23</f>
        <v>0</v>
      </c>
      <c r="H24" s="1783">
        <f>SUM(H3,H12)-H23</f>
        <v>0</v>
      </c>
      <c r="I24" s="1783">
        <f>SUM(I3,I12)-I23</f>
        <v>0</v>
      </c>
      <c r="J24" s="1783">
        <f>SUM(J3,J12)-J23</f>
        <v>153370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153370</v>
      </c>
      <c r="K26" s="1778">
        <f>K24-K25</f>
        <v>0</v>
      </c>
    </row>
    <row r="27" spans="1:11" ht="5.25" customHeight="1" thickTop="1" x14ac:dyDescent="0.2">
      <c r="I27" s="202"/>
      <c r="J27" s="202"/>
    </row>
    <row r="28" spans="1:11" ht="29.25" customHeight="1" x14ac:dyDescent="0.2">
      <c r="A28" s="1901" t="s">
        <v>2036</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0">
        <f>(C3+D3)-E3</f>
        <v>0</v>
      </c>
      <c r="G3" s="837"/>
      <c r="H3" s="836"/>
      <c r="I3" s="836"/>
      <c r="J3" s="836"/>
      <c r="K3" s="1789">
        <f>(H3+I3)-J3</f>
        <v>0</v>
      </c>
      <c r="L3" s="1789">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167371</v>
      </c>
      <c r="D5" s="842">
        <v>90187</v>
      </c>
      <c r="E5" s="842">
        <v>26400</v>
      </c>
      <c r="F5" s="1780">
        <f>(C5+D5)-E5</f>
        <v>231158</v>
      </c>
      <c r="G5" s="838"/>
      <c r="H5" s="843"/>
      <c r="I5" s="843"/>
      <c r="J5" s="843"/>
      <c r="K5" s="794"/>
      <c r="L5" s="1789">
        <f>F5-K5</f>
        <v>231158</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17565367</v>
      </c>
      <c r="D8" s="845"/>
      <c r="E8" s="845">
        <v>130000</v>
      </c>
      <c r="F8" s="1780">
        <f>(C8+D8)-E8</f>
        <v>17435367</v>
      </c>
      <c r="G8" s="844">
        <v>50</v>
      </c>
      <c r="H8" s="766">
        <v>6847745</v>
      </c>
      <c r="I8" s="766">
        <v>251137</v>
      </c>
      <c r="J8" s="766">
        <v>20583</v>
      </c>
      <c r="K8" s="1789">
        <f>(H8+I8)-J8</f>
        <v>7078299</v>
      </c>
      <c r="L8" s="1789">
        <f>F8-K8</f>
        <v>10357068</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3661717</v>
      </c>
      <c r="D10" s="847"/>
      <c r="E10" s="847"/>
      <c r="F10" s="1784">
        <f>(C10+D10)-E10</f>
        <v>3661717</v>
      </c>
      <c r="G10" s="844">
        <v>20</v>
      </c>
      <c r="H10" s="848">
        <v>2598688</v>
      </c>
      <c r="I10" s="848">
        <v>140506</v>
      </c>
      <c r="J10" s="848"/>
      <c r="K10" s="1789">
        <f>(H10+I10)-J10</f>
        <v>2739194</v>
      </c>
      <c r="L10" s="1789">
        <f>F10-K10</f>
        <v>922523</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1463952</v>
      </c>
      <c r="D12" s="845">
        <v>277695</v>
      </c>
      <c r="E12" s="845">
        <v>49735</v>
      </c>
      <c r="F12" s="1780">
        <f>(C12+D12)-E12</f>
        <v>1691912</v>
      </c>
      <c r="G12" s="844">
        <v>10</v>
      </c>
      <c r="H12" s="766">
        <v>858858</v>
      </c>
      <c r="I12" s="766">
        <v>163241</v>
      </c>
      <c r="J12" s="766">
        <v>49735</v>
      </c>
      <c r="K12" s="1789">
        <f>(H12+I12)-J12</f>
        <v>972364</v>
      </c>
      <c r="L12" s="1789">
        <f>F12-K12</f>
        <v>719548</v>
      </c>
    </row>
    <row r="13" spans="1:14" ht="14.25" thickTop="1" thickBot="1" x14ac:dyDescent="0.25">
      <c r="A13" s="849" t="s">
        <v>1184</v>
      </c>
      <c r="B13" s="841">
        <v>252</v>
      </c>
      <c r="C13" s="845">
        <v>144657</v>
      </c>
      <c r="D13" s="845">
        <v>1150</v>
      </c>
      <c r="E13" s="845">
        <v>5113</v>
      </c>
      <c r="F13" s="1780">
        <f>(C13+D13)-E13</f>
        <v>140694</v>
      </c>
      <c r="G13" s="844">
        <v>5</v>
      </c>
      <c r="H13" s="766">
        <v>119826</v>
      </c>
      <c r="I13" s="766">
        <v>17521</v>
      </c>
      <c r="J13" s="766">
        <v>5113</v>
      </c>
      <c r="K13" s="1789">
        <f>(H13+I13)-J13</f>
        <v>132234</v>
      </c>
      <c r="L13" s="1789">
        <f>F13-K13</f>
        <v>8460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2" t="s">
        <v>549</v>
      </c>
      <c r="B15" s="1651">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23003064</v>
      </c>
      <c r="D16" s="1780">
        <f>SUM(D3,D5:D6,D8:D10,D12:D15)</f>
        <v>369032</v>
      </c>
      <c r="E16" s="1780">
        <f>SUM(E3,E5:E6,E8:E10,E12:E15)</f>
        <v>211248</v>
      </c>
      <c r="F16" s="1780">
        <f>SUM(F3,F5:F6,F8:F10,F12:F15)</f>
        <v>23160848</v>
      </c>
      <c r="G16" s="844"/>
      <c r="H16" s="1780">
        <f>SUM(H3,H6,H8:H10,H12:H14,)</f>
        <v>10425117</v>
      </c>
      <c r="I16" s="1780">
        <f>SUM(I3,I6,I8:I10,I12:I14,)</f>
        <v>572405</v>
      </c>
      <c r="J16" s="1780">
        <f>SUM(J3,J6,J8:J10,J12:J14,)</f>
        <v>75431</v>
      </c>
      <c r="K16" s="1780">
        <f>(H16+I16)-J16</f>
        <v>10922091</v>
      </c>
      <c r="L16" s="1780">
        <f>F16-K16</f>
        <v>12238757</v>
      </c>
    </row>
    <row r="17" spans="1:12" ht="15" customHeight="1" thickTop="1" thickBot="1" x14ac:dyDescent="0.25">
      <c r="A17" s="1654" t="s">
        <v>309</v>
      </c>
      <c r="B17" s="1651">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572405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3" activePane="bottomLeft" state="frozen"/>
      <selection activeCell="A24" sqref="A24"/>
      <selection pane="bottomLeft" activeCell="A24" sqref="A2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7658621</v>
      </c>
      <c r="G8" s="866"/>
    </row>
    <row r="9" spans="1:7" x14ac:dyDescent="0.2">
      <c r="A9" s="870" t="s">
        <v>480</v>
      </c>
      <c r="B9" s="871" t="s">
        <v>1989</v>
      </c>
      <c r="C9" s="872"/>
      <c r="D9" s="870" t="s">
        <v>522</v>
      </c>
      <c r="E9" s="869"/>
      <c r="F9" s="1931">
        <f>'Expenditures 15-22'!K151</f>
        <v>899101</v>
      </c>
      <c r="G9" s="873"/>
    </row>
    <row r="10" spans="1:7" x14ac:dyDescent="0.2">
      <c r="A10" s="870" t="s">
        <v>520</v>
      </c>
      <c r="B10" s="871" t="s">
        <v>1990</v>
      </c>
      <c r="C10" s="872"/>
      <c r="D10" s="870" t="s">
        <v>522</v>
      </c>
      <c r="E10" s="869"/>
      <c r="F10" s="1931">
        <f>'Expenditures 15-22'!K174</f>
        <v>845208</v>
      </c>
      <c r="G10" s="873"/>
    </row>
    <row r="11" spans="1:7" x14ac:dyDescent="0.2">
      <c r="A11" s="870" t="s">
        <v>481</v>
      </c>
      <c r="B11" s="871" t="s">
        <v>1991</v>
      </c>
      <c r="C11" s="872"/>
      <c r="D11" s="870" t="s">
        <v>522</v>
      </c>
      <c r="E11" s="869"/>
      <c r="F11" s="1931">
        <f>'Expenditures 15-22'!K210</f>
        <v>1104622</v>
      </c>
      <c r="G11" s="873"/>
    </row>
    <row r="12" spans="1:7" x14ac:dyDescent="0.2">
      <c r="A12" s="870" t="s">
        <v>482</v>
      </c>
      <c r="B12" s="871" t="s">
        <v>1992</v>
      </c>
      <c r="C12" s="872"/>
      <c r="D12" s="870" t="s">
        <v>522</v>
      </c>
      <c r="E12" s="869"/>
      <c r="F12" s="1931">
        <f>'Expenditures 15-22'!K295</f>
        <v>272914</v>
      </c>
      <c r="G12" s="873"/>
    </row>
    <row r="13" spans="1:7" x14ac:dyDescent="0.2">
      <c r="A13" s="870" t="s">
        <v>108</v>
      </c>
      <c r="B13" s="871" t="s">
        <v>1993</v>
      </c>
      <c r="C13" s="872"/>
      <c r="D13" s="870" t="s">
        <v>522</v>
      </c>
      <c r="E13" s="869"/>
      <c r="F13" s="1931">
        <f>'Expenditures 15-22'!K342</f>
        <v>260526</v>
      </c>
      <c r="G13" s="874"/>
    </row>
    <row r="14" spans="1:7" ht="12" customHeight="1" thickBot="1" x14ac:dyDescent="0.25">
      <c r="A14" s="1790"/>
      <c r="B14" s="1791"/>
      <c r="C14" s="1792"/>
      <c r="D14" s="1793" t="s">
        <v>522</v>
      </c>
      <c r="E14" s="1794" t="s">
        <v>1015</v>
      </c>
      <c r="F14" s="1795">
        <f>SUM(F8:F13)</f>
        <v>11040992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99019</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282508</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76130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5">
        <f>'Expenditures 15-22'!K102</f>
        <v>364614</v>
      </c>
      <c r="G53" s="866"/>
    </row>
    <row r="54" spans="1:7" x14ac:dyDescent="0.2">
      <c r="A54" s="870" t="s">
        <v>479</v>
      </c>
      <c r="B54" s="870" t="s">
        <v>1552</v>
      </c>
      <c r="C54" s="890" t="s">
        <v>1039</v>
      </c>
      <c r="D54" s="886" t="s">
        <v>1157</v>
      </c>
      <c r="E54" s="869"/>
      <c r="F54" s="1935">
        <f>'Expenditures 15-22'!G114</f>
        <v>261386</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5">
        <f>'Expenditures 15-22'!K139</f>
        <v>0</v>
      </c>
      <c r="G57" s="866"/>
    </row>
    <row r="58" spans="1:7" x14ac:dyDescent="0.2">
      <c r="A58" s="870" t="s">
        <v>480</v>
      </c>
      <c r="B58" s="870" t="s">
        <v>1995</v>
      </c>
      <c r="C58" s="887" t="s">
        <v>1039</v>
      </c>
      <c r="D58" s="886" t="s">
        <v>1157</v>
      </c>
      <c r="E58" s="869"/>
      <c r="F58" s="1937">
        <f>'Expenditures 15-22'!G151</f>
        <v>16309</v>
      </c>
      <c r="G58" s="866"/>
    </row>
    <row r="59" spans="1:7" x14ac:dyDescent="0.2">
      <c r="A59" s="894" t="s">
        <v>480</v>
      </c>
      <c r="B59" s="857" t="s">
        <v>1996</v>
      </c>
      <c r="C59" s="895" t="s">
        <v>1039</v>
      </c>
      <c r="D59" s="857" t="s">
        <v>309</v>
      </c>
      <c r="F59" s="1938">
        <f>'Expenditures 15-22'!I151</f>
        <v>0</v>
      </c>
      <c r="G59" s="866"/>
    </row>
    <row r="60" spans="1:7" x14ac:dyDescent="0.2">
      <c r="A60" s="894" t="s">
        <v>520</v>
      </c>
      <c r="B60" s="857" t="s">
        <v>1997</v>
      </c>
      <c r="C60" s="895">
        <v>4000</v>
      </c>
      <c r="D60" s="857" t="s">
        <v>330</v>
      </c>
      <c r="F60" s="1936">
        <f>'Expenditures 15-22'!K160</f>
        <v>0</v>
      </c>
      <c r="G60" s="866"/>
    </row>
    <row r="61" spans="1:7" x14ac:dyDescent="0.2">
      <c r="A61" s="896" t="s">
        <v>520</v>
      </c>
      <c r="B61" s="896" t="s">
        <v>1998</v>
      </c>
      <c r="C61" s="897" t="str">
        <f>'Expenditures 15-22'!B170</f>
        <v>5300</v>
      </c>
      <c r="D61" s="898" t="s">
        <v>329</v>
      </c>
      <c r="E61" s="880"/>
      <c r="F61" s="1935">
        <f>'Expenditures 15-22'!K170</f>
        <v>505000</v>
      </c>
      <c r="G61" s="866"/>
    </row>
    <row r="62" spans="1:7" x14ac:dyDescent="0.2">
      <c r="A62" s="870" t="s">
        <v>481</v>
      </c>
      <c r="B62" s="870" t="s">
        <v>1999</v>
      </c>
      <c r="C62" s="887">
        <f>'Expenditures 15-22'!B185</f>
        <v>3000</v>
      </c>
      <c r="D62" s="877" t="s">
        <v>469</v>
      </c>
      <c r="E62" s="869"/>
      <c r="F62" s="1935">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2001</v>
      </c>
      <c r="C64" s="897" t="str">
        <f>'Expenditures 15-22'!B206</f>
        <v>5300</v>
      </c>
      <c r="D64" s="893" t="s">
        <v>329</v>
      </c>
      <c r="E64" s="869"/>
      <c r="F64" s="1935">
        <f>'Expenditures 15-22'!K206</f>
        <v>0</v>
      </c>
      <c r="G64" s="866"/>
    </row>
    <row r="65" spans="1:8" x14ac:dyDescent="0.2">
      <c r="A65" s="870" t="s">
        <v>481</v>
      </c>
      <c r="B65" s="870" t="s">
        <v>2002</v>
      </c>
      <c r="C65" s="887" t="s">
        <v>1039</v>
      </c>
      <c r="D65" s="886" t="s">
        <v>1157</v>
      </c>
      <c r="E65" s="869"/>
      <c r="F65" s="1935">
        <f>'Expenditures 15-22'!G210</f>
        <v>1150</v>
      </c>
      <c r="G65" s="866"/>
    </row>
    <row r="66" spans="1:8" x14ac:dyDescent="0.2">
      <c r="A66" s="870" t="s">
        <v>481</v>
      </c>
      <c r="B66" s="870" t="s">
        <v>2003</v>
      </c>
      <c r="C66" s="887" t="s">
        <v>1039</v>
      </c>
      <c r="D66" s="886" t="s">
        <v>309</v>
      </c>
      <c r="E66" s="869"/>
      <c r="F66" s="1935">
        <f>'Expenditures 15-22'!I210</f>
        <v>0</v>
      </c>
      <c r="G66" s="866"/>
    </row>
    <row r="67" spans="1:8" x14ac:dyDescent="0.2">
      <c r="A67" s="870" t="s">
        <v>482</v>
      </c>
      <c r="B67" s="870" t="s">
        <v>2004</v>
      </c>
      <c r="C67" s="887" t="str">
        <f>'Expenditures 15-22'!B216</f>
        <v>1125</v>
      </c>
      <c r="D67" s="893" t="str">
        <f>'Expenditures 15-22'!A216</f>
        <v>Pre-K Programs</v>
      </c>
      <c r="E67" s="869"/>
      <c r="F67" s="1935">
        <f>'Expenditures 15-22'!K216</f>
        <v>10164</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2006</v>
      </c>
      <c r="C70" s="887">
        <f>'Expenditures 15-22'!B221</f>
        <v>1300</v>
      </c>
      <c r="D70" s="888" t="str">
        <f>'Expenditures 15-22'!A221</f>
        <v>Adult/Continuing Education Programs</v>
      </c>
      <c r="E70" s="869"/>
      <c r="F70" s="1935">
        <f>'Expenditures 15-22'!K221</f>
        <v>0</v>
      </c>
      <c r="G70" s="866"/>
    </row>
    <row r="71" spans="1:8" x14ac:dyDescent="0.2">
      <c r="A71" s="870" t="s">
        <v>482</v>
      </c>
      <c r="B71" s="870" t="s">
        <v>2007</v>
      </c>
      <c r="C71" s="887">
        <f>'Expenditures 15-22'!B224</f>
        <v>1600</v>
      </c>
      <c r="D71" s="888" t="str">
        <f>'Expenditures 15-22'!A224</f>
        <v>Summer School Programs</v>
      </c>
      <c r="E71" s="869"/>
      <c r="F71" s="1935">
        <f>'Expenditures 15-22'!K224</f>
        <v>0</v>
      </c>
      <c r="G71" s="866"/>
    </row>
    <row r="72" spans="1:8" x14ac:dyDescent="0.2">
      <c r="A72" s="870" t="s">
        <v>482</v>
      </c>
      <c r="B72" s="870" t="s">
        <v>2008</v>
      </c>
      <c r="C72" s="887">
        <f>'Expenditures 15-22'!B280</f>
        <v>3000</v>
      </c>
      <c r="D72" s="877" t="s">
        <v>469</v>
      </c>
      <c r="E72" s="869"/>
      <c r="F72" s="1935">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5">
        <f>'Expenditures 15-22'!K285</f>
        <v>0</v>
      </c>
      <c r="G73" s="866"/>
    </row>
    <row r="74" spans="1:8" x14ac:dyDescent="0.2">
      <c r="A74" s="870" t="s">
        <v>456</v>
      </c>
      <c r="B74" s="870" t="s">
        <v>2010</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1616280</v>
      </c>
      <c r="G76" s="866"/>
    </row>
    <row r="77" spans="1:8" s="894" customFormat="1" ht="12" customHeight="1" thickTop="1" thickBot="1" x14ac:dyDescent="0.25">
      <c r="A77" s="1799"/>
      <c r="B77" s="1796"/>
      <c r="C77" s="1792"/>
      <c r="D77" s="1797" t="s">
        <v>2012</v>
      </c>
      <c r="E77" s="1794"/>
      <c r="F77" s="1800">
        <f>(F14-F76)</f>
        <v>9424712</v>
      </c>
      <c r="G77" s="870"/>
    </row>
    <row r="78" spans="1:8" s="894" customFormat="1" ht="12" customHeight="1" thickTop="1" x14ac:dyDescent="0.2">
      <c r="A78" s="1801"/>
      <c r="B78" s="1796"/>
      <c r="C78" s="1792"/>
      <c r="D78" s="1797" t="s">
        <v>2059</v>
      </c>
      <c r="E78" s="1794"/>
      <c r="F78" s="899">
        <v>875.6</v>
      </c>
      <c r="G78" s="900"/>
      <c r="H78" s="870"/>
    </row>
    <row r="79" spans="1:8" s="894" customFormat="1" ht="12" customHeight="1" thickBot="1" x14ac:dyDescent="0.25">
      <c r="A79" s="1802"/>
      <c r="B79" s="1796"/>
      <c r="C79" s="1792"/>
      <c r="D79" s="1797" t="s">
        <v>2013</v>
      </c>
      <c r="E79" s="1794" t="s">
        <v>1015</v>
      </c>
      <c r="F79" s="1803">
        <f>IF(F78&gt;0,F77/F78," Complete Line 78")</f>
        <v>10763.718592964824</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8180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214850</v>
      </c>
      <c r="G94" s="913"/>
    </row>
    <row r="95" spans="1:7" x14ac:dyDescent="0.2">
      <c r="A95" s="909" t="s">
        <v>142</v>
      </c>
      <c r="B95" s="909" t="s">
        <v>177</v>
      </c>
      <c r="C95" s="911">
        <v>1700</v>
      </c>
      <c r="D95" s="919" t="str">
        <f>'Revenues 9-14'!A82</f>
        <v>Total District/School Activity Income</v>
      </c>
      <c r="E95" s="907"/>
      <c r="F95" s="1809">
        <f>SUM('Revenues 9-14'!C82,'Revenues 9-14'!D82)</f>
        <v>47111</v>
      </c>
      <c r="G95" s="913"/>
    </row>
    <row r="96" spans="1:7" x14ac:dyDescent="0.2">
      <c r="A96" s="909" t="s">
        <v>479</v>
      </c>
      <c r="B96" s="909" t="s">
        <v>178</v>
      </c>
      <c r="C96" s="911">
        <f>'Revenues 9-14'!B84</f>
        <v>1811</v>
      </c>
      <c r="D96" s="912" t="str">
        <f>'Revenues 9-14'!A84</f>
        <v>Rentals - Regular Textbooks</v>
      </c>
      <c r="E96" s="907"/>
      <c r="F96" s="1809">
        <f>'Revenues 9-14'!C84</f>
        <v>44322</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170960</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13601</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3746</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13010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1292916</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5650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262605</v>
      </c>
      <c r="G129" s="931"/>
    </row>
    <row r="130" spans="1:7" x14ac:dyDescent="0.2">
      <c r="A130" s="928" t="s">
        <v>689</v>
      </c>
      <c r="B130" s="928" t="s">
        <v>804</v>
      </c>
      <c r="C130" s="933">
        <v>4300</v>
      </c>
      <c r="D130" s="934" t="str">
        <f>'Revenues 9-14'!A211</f>
        <v>Total Title I</v>
      </c>
      <c r="E130" s="907"/>
      <c r="F130" s="1809">
        <f>SUM('Revenues 9-14'!C211,'Revenues 9-14'!D211,'Revenues 9-14'!F211,'Revenues 9-14'!G211)</f>
        <v>80345</v>
      </c>
      <c r="G130" s="931"/>
    </row>
    <row r="131" spans="1:7" x14ac:dyDescent="0.2">
      <c r="A131" s="928" t="s">
        <v>689</v>
      </c>
      <c r="B131" s="928" t="s">
        <v>805</v>
      </c>
      <c r="C131" s="933">
        <v>4400</v>
      </c>
      <c r="D131" s="934" t="str">
        <f>'Revenues 9-14'!A216</f>
        <v>Total Title IV</v>
      </c>
      <c r="E131" s="907"/>
      <c r="F131" s="1809">
        <f>SUM('Revenues 9-14'!C216,'Revenues 9-14'!D216,'Revenues 9-14'!F216,'Revenues 9-14'!G216)</f>
        <v>6524</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1035</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109027</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109027</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54151</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13618</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2058</v>
      </c>
      <c r="C175" s="1942">
        <v>3100</v>
      </c>
      <c r="D175" s="1943" t="s">
        <v>2061</v>
      </c>
      <c r="E175" s="907"/>
      <c r="F175" s="1927"/>
      <c r="G175" s="928"/>
    </row>
    <row r="176" spans="1:7" x14ac:dyDescent="0.2">
      <c r="A176" s="1940" t="s">
        <v>685</v>
      </c>
      <c r="B176" s="1941" t="s">
        <v>2058</v>
      </c>
      <c r="C176" s="1942">
        <v>3300</v>
      </c>
      <c r="D176" s="1943" t="s">
        <v>2062</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2341651</v>
      </c>
    </row>
    <row r="179" spans="1:7" ht="12" customHeight="1" x14ac:dyDescent="0.2">
      <c r="A179" s="1790"/>
      <c r="B179" s="1804"/>
      <c r="C179" s="1805"/>
      <c r="D179" s="1806" t="s">
        <v>2015</v>
      </c>
      <c r="E179" s="1807"/>
      <c r="F179" s="1809">
        <f>'PCTC-OEPP 27-28'!F77-F178</f>
        <v>7083061</v>
      </c>
    </row>
    <row r="180" spans="1:7" ht="12" customHeight="1" x14ac:dyDescent="0.2">
      <c r="A180" s="1790"/>
      <c r="B180" s="1804"/>
      <c r="C180" s="1805"/>
      <c r="D180" s="1806" t="s">
        <v>1924</v>
      </c>
      <c r="E180" s="1807"/>
      <c r="F180" s="1809">
        <f>'Cap Outlay Deprec 26'!I18</f>
        <v>572405</v>
      </c>
    </row>
    <row r="181" spans="1:7" ht="12" customHeight="1" x14ac:dyDescent="0.2">
      <c r="A181" s="1790"/>
      <c r="B181" s="1804"/>
      <c r="C181" s="1805"/>
      <c r="D181" s="1806" t="s">
        <v>2016</v>
      </c>
      <c r="E181" s="1807"/>
      <c r="F181" s="1809">
        <f>F179+F180</f>
        <v>7655466</v>
      </c>
    </row>
    <row r="182" spans="1:7" ht="12" customHeight="1" x14ac:dyDescent="0.2">
      <c r="A182" s="1790"/>
      <c r="B182" s="1810"/>
      <c r="C182" s="1805"/>
      <c r="D182" s="1806" t="str">
        <f>D78</f>
        <v>9 Month ADA from District Average Daily Attendance/Prior General State Aid Inquiry 2017-2018</v>
      </c>
      <c r="E182" s="1807"/>
      <c r="F182" s="1811">
        <f>'PCTC-OEPP 27-28'!F78</f>
        <v>875.6</v>
      </c>
      <c r="G182" s="931"/>
    </row>
    <row r="183" spans="1:7" ht="12" customHeight="1" thickBot="1" x14ac:dyDescent="0.25">
      <c r="A183" s="1790"/>
      <c r="B183" s="1810"/>
      <c r="C183" s="1805"/>
      <c r="D183" s="1806" t="s">
        <v>2017</v>
      </c>
      <c r="E183" s="1807" t="s">
        <v>1626</v>
      </c>
      <c r="F183" s="1812">
        <f>F181/F182</f>
        <v>8743.1087254454087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50"/>
      <c r="D188" s="931"/>
      <c r="E188" s="950"/>
      <c r="F188" s="931"/>
      <c r="G188" s="931"/>
    </row>
    <row r="189" spans="1:7" x14ac:dyDescent="0.2">
      <c r="A189" s="1948" t="s">
        <v>2064</v>
      </c>
      <c r="B189" s="1949"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view="pageLayout" zoomScaleNormal="100" workbookViewId="0"/>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6"/>
      <c r="B3" s="1566"/>
      <c r="C3" s="1566"/>
      <c r="D3" s="1566"/>
      <c r="E3" s="1566"/>
      <c r="F3" s="1566"/>
      <c r="G3" s="1566"/>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5" t="s">
        <v>1926</v>
      </c>
      <c r="B6" s="1556"/>
      <c r="C6" s="1556"/>
      <c r="D6" s="1556"/>
      <c r="E6" s="1556"/>
      <c r="F6" s="1556"/>
      <c r="G6" s="1557"/>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8" t="s">
        <v>1927</v>
      </c>
      <c r="B10" s="1559"/>
      <c r="C10" s="1559"/>
      <c r="D10" s="1559"/>
      <c r="E10" s="1559"/>
      <c r="F10" s="1559"/>
      <c r="G10" s="1560"/>
    </row>
    <row r="11" spans="1:7" ht="17.25" customHeight="1" x14ac:dyDescent="0.25">
      <c r="A11" s="2293" t="s">
        <v>1941</v>
      </c>
      <c r="B11" s="2294"/>
      <c r="C11" s="2294"/>
      <c r="D11" s="2294"/>
      <c r="E11" s="2294"/>
      <c r="F11" s="2294"/>
      <c r="G11" s="2295"/>
    </row>
    <row r="12" spans="1:7" ht="15" customHeight="1" x14ac:dyDescent="0.25">
      <c r="A12" s="1558" t="s">
        <v>1932</v>
      </c>
      <c r="B12" s="1559"/>
      <c r="C12" s="1559"/>
      <c r="D12" s="1559"/>
      <c r="E12" s="1559"/>
      <c r="F12" s="1559"/>
      <c r="G12" s="1560"/>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4" t="s">
        <v>2104</v>
      </c>
      <c r="B17" s="1955" t="s">
        <v>2105</v>
      </c>
      <c r="C17" s="1956" t="s">
        <v>2106</v>
      </c>
      <c r="D17" s="1864">
        <v>335914</v>
      </c>
      <c r="E17" s="1561">
        <f t="shared" ref="E17:E26" si="1">IF(D17&lt;=25000,D17,IF(D17&gt;25000,25000,0))</f>
        <v>25000</v>
      </c>
      <c r="F17" s="1813">
        <f t="shared" si="0"/>
        <v>25000</v>
      </c>
      <c r="G17" s="1814">
        <f>IF(F17=0,0,D17-F17)</f>
        <v>310914</v>
      </c>
      <c r="H17" s="1668"/>
    </row>
    <row r="18" spans="1:8" x14ac:dyDescent="0.25">
      <c r="A18" s="1954" t="s">
        <v>2104</v>
      </c>
      <c r="B18" s="1955" t="s">
        <v>2105</v>
      </c>
      <c r="C18" s="1956" t="s">
        <v>2107</v>
      </c>
      <c r="D18" s="1864">
        <v>31260</v>
      </c>
      <c r="E18" s="1561">
        <f t="shared" ref="E18:E25" si="2">IF(D18&lt;=25000,D18,IF(D18&gt;25000,25000,0))</f>
        <v>25000</v>
      </c>
      <c r="F18" s="1813">
        <f t="shared" ref="F18:F2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25" si="4">IF(F18=0,0,D18-F18)</f>
        <v>6260</v>
      </c>
    </row>
    <row r="19" spans="1:8" x14ac:dyDescent="0.25">
      <c r="A19" s="1674"/>
      <c r="B19" s="1865"/>
      <c r="C19" s="1676"/>
      <c r="D19" s="1864"/>
      <c r="E19" s="1561">
        <f t="shared" si="2"/>
        <v>0</v>
      </c>
      <c r="F19" s="1813">
        <f t="shared" si="3"/>
        <v>0</v>
      </c>
      <c r="G19" s="1814">
        <f t="shared" si="4"/>
        <v>0</v>
      </c>
    </row>
    <row r="20" spans="1:8" x14ac:dyDescent="0.25">
      <c r="A20" s="1674"/>
      <c r="B20" s="1687"/>
      <c r="C20" s="1675"/>
      <c r="D20" s="1864"/>
      <c r="E20" s="1561">
        <f t="shared" ref="E20:E24" si="5">IF(D20&lt;=25000,D20,IF(D20&gt;25000,25000,0))</f>
        <v>0</v>
      </c>
      <c r="F20" s="1813">
        <f t="shared" ref="F20:F24"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4">
        <f t="shared" ref="G20:G24" si="7">IF(F20=0,0,D20-F20)</f>
        <v>0</v>
      </c>
    </row>
    <row r="21" spans="1:8" x14ac:dyDescent="0.25">
      <c r="A21" s="1674"/>
      <c r="B21" s="1687"/>
      <c r="C21" s="1675"/>
      <c r="D21" s="1864"/>
      <c r="E21" s="1561">
        <f t="shared" si="5"/>
        <v>0</v>
      </c>
      <c r="F21" s="1813">
        <f t="shared" si="6"/>
        <v>0</v>
      </c>
      <c r="G21" s="1814">
        <f t="shared" si="7"/>
        <v>0</v>
      </c>
    </row>
    <row r="22" spans="1:8" x14ac:dyDescent="0.25">
      <c r="A22" s="1674"/>
      <c r="B22" s="1687"/>
      <c r="C22" s="1675"/>
      <c r="D22" s="1864"/>
      <c r="E22" s="1561">
        <f t="shared" si="5"/>
        <v>0</v>
      </c>
      <c r="F22" s="1813">
        <f t="shared" si="6"/>
        <v>0</v>
      </c>
      <c r="G22" s="1814">
        <f t="shared" si="7"/>
        <v>0</v>
      </c>
    </row>
    <row r="23" spans="1:8" x14ac:dyDescent="0.25">
      <c r="A23" s="1674"/>
      <c r="B23" s="1687"/>
      <c r="C23" s="1675"/>
      <c r="D23" s="1864"/>
      <c r="E23" s="1561">
        <f t="shared" si="5"/>
        <v>0</v>
      </c>
      <c r="F23" s="1813">
        <f t="shared" si="6"/>
        <v>0</v>
      </c>
      <c r="G23" s="1814">
        <f t="shared" si="7"/>
        <v>0</v>
      </c>
    </row>
    <row r="24" spans="1:8" x14ac:dyDescent="0.25">
      <c r="A24" s="1674"/>
      <c r="B24" s="1687"/>
      <c r="C24" s="1675"/>
      <c r="D24" s="1864"/>
      <c r="E24" s="1561">
        <f t="shared" si="5"/>
        <v>0</v>
      </c>
      <c r="F24" s="1813">
        <f t="shared" si="6"/>
        <v>0</v>
      </c>
      <c r="G24" s="1814">
        <f t="shared" si="7"/>
        <v>0</v>
      </c>
    </row>
    <row r="25" spans="1:8" x14ac:dyDescent="0.25">
      <c r="A25" s="1674"/>
      <c r="B25" s="1686"/>
      <c r="C25" s="1675"/>
      <c r="D25" s="1864"/>
      <c r="E25" s="1561">
        <f t="shared" si="2"/>
        <v>0</v>
      </c>
      <c r="F25" s="1813">
        <f t="shared" si="3"/>
        <v>0</v>
      </c>
      <c r="G25" s="1814">
        <f t="shared" si="4"/>
        <v>0</v>
      </c>
    </row>
    <row r="26" spans="1:8" x14ac:dyDescent="0.25">
      <c r="A26" s="1817" t="s">
        <v>158</v>
      </c>
      <c r="B26" s="1818"/>
      <c r="C26" s="1819"/>
      <c r="D26" s="1815">
        <f>SUM(D17:D25)</f>
        <v>367174</v>
      </c>
      <c r="E26" s="1562">
        <f t="shared" si="1"/>
        <v>25000</v>
      </c>
      <c r="F26" s="1815">
        <f>SUM(F17:F25)</f>
        <v>50000</v>
      </c>
      <c r="G26" s="1816">
        <f>SUM(G17:G25)</f>
        <v>317174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4294967295" verticalDpi="4294967295"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24" sqref="A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227248</v>
      </c>
      <c r="F10" s="975"/>
      <c r="G10" s="976"/>
      <c r="H10" s="162"/>
      <c r="I10" s="162"/>
    </row>
    <row r="11" spans="1:9" s="669" customFormat="1" ht="22.5" customHeight="1" x14ac:dyDescent="0.2">
      <c r="A11" s="2304" t="s">
        <v>1945</v>
      </c>
      <c r="B11" s="2305"/>
      <c r="C11" s="2305"/>
      <c r="D11" s="2306"/>
      <c r="E11" s="978">
        <v>50389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5070703</v>
      </c>
      <c r="F19" s="1820"/>
      <c r="G19" s="1822">
        <f>'Expenditures 15-22'!K33-SUM('Expenditures 15-22'!G33,'Expenditures 15-22'!I33)+'Expenditures 15-22'!D229</f>
        <v>5070703</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290514</v>
      </c>
      <c r="F21" s="1823"/>
      <c r="G21" s="1826">
        <f>'Expenditures 15-22'!K42-SUM('Expenditures 15-22'!G42,'Expenditures 15-22'!I42)+'Expenditures 15-22'!K120-SUM('Expenditures 15-22'!G120,'Expenditures 15-22'!I120)+'Expenditures 15-22'!K180-SUM('Expenditures 15-22'!G180,'Expenditures 15-22'!I180)+'Expenditures 15-22'!D238</f>
        <v>290514</v>
      </c>
      <c r="H21" s="988"/>
      <c r="I21" s="162"/>
    </row>
    <row r="22" spans="1:9" s="669" customFormat="1" ht="12" customHeight="1" x14ac:dyDescent="0.2">
      <c r="A22" s="995" t="s">
        <v>585</v>
      </c>
      <c r="B22" s="996"/>
      <c r="C22" s="994">
        <v>2200</v>
      </c>
      <c r="D22" s="1823"/>
      <c r="E22" s="1825">
        <f>'Expenditures 15-22'!K47-SUM('Expenditures 15-22'!G47,'Expenditures 15-22'!I47)+'Expenditures 15-22'!D243</f>
        <v>450087</v>
      </c>
      <c r="F22" s="1823"/>
      <c r="G22" s="1826">
        <f>'Expenditures 15-22'!K47-SUM('Expenditures 15-22'!G47,'Expenditures 15-22'!I47)+'Expenditures 15-22'!D243</f>
        <v>450087</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541853</v>
      </c>
      <c r="F23" s="1823"/>
      <c r="G23" s="1825">
        <f>'Expenditures 15-22'!K53-SUM('Expenditures 15-22'!G53,'Expenditures 15-22'!I53)+'Expenditures 15-22'!D257+'Expenditures 15-22'!K330-SUM('Expenditures 15-22'!G330,'Expenditures 15-22'!I330)</f>
        <v>541853</v>
      </c>
      <c r="H23" s="988"/>
      <c r="I23" s="162"/>
    </row>
    <row r="24" spans="1:9" s="669" customFormat="1" ht="12" customHeight="1" x14ac:dyDescent="0.2">
      <c r="A24" s="995" t="s">
        <v>587</v>
      </c>
      <c r="B24" s="996"/>
      <c r="C24" s="994">
        <v>2400</v>
      </c>
      <c r="D24" s="1823"/>
      <c r="E24" s="1825">
        <f>'Expenditures 15-22'!K57-SUM('Expenditures 15-22'!G57,'Expenditures 15-22'!I57)+'Expenditures 15-22'!D261</f>
        <v>591678</v>
      </c>
      <c r="F24" s="1823"/>
      <c r="G24" s="1826">
        <f>'Expenditures 15-22'!K57-SUM('Expenditures 15-22'!G57,'Expenditures 15-22'!I57)+'Expenditures 15-22'!D261</f>
        <v>591678</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24863</v>
      </c>
      <c r="E27" s="1825">
        <f>E8</f>
        <v>0</v>
      </c>
      <c r="F27" s="1825">
        <f>'Expenditures 15-22'!K60-SUM('Expenditures 15-22'!G60,'Expenditures 15-22'!I60)+'Expenditures 15-22'!D264-E8</f>
        <v>24863</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926598</v>
      </c>
      <c r="F28" s="1827">
        <f>'Expenditures 15-22'!K61-SUM('Expenditures 15-22'!G61,'Expenditures 15-22'!I61)+'Expenditures 15-22'!K124-SUM('Expenditures 15-22'!G124,'Expenditures 15-22'!I124)+'Expenditures 15-22'!D266-E9</f>
        <v>926598</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1160568</v>
      </c>
      <c r="F29" s="1823"/>
      <c r="G29" s="1826">
        <f>'Expenditures 15-22'!K62-SUM('Expenditures 15-22'!G62,'Expenditures 15-22'!I62)+'Expenditures 15-22'!K125-SUM('Expenditures 15-22'!G125,'Expenditures 15-22'!I125)+'Expenditures 15-22'!K182-SUM('Expenditures 15-22'!G182,'Expenditures 15-22'!I182)+'Expenditures 15-22'!D267</f>
        <v>1160568</v>
      </c>
      <c r="H29" s="986"/>
    </row>
    <row r="30" spans="1:9" ht="12" customHeight="1" x14ac:dyDescent="0.2">
      <c r="A30" s="995" t="s">
        <v>102</v>
      </c>
      <c r="B30" s="998"/>
      <c r="C30" s="994">
        <v>2560</v>
      </c>
      <c r="D30" s="1823"/>
      <c r="E30" s="1825">
        <f>'Expenditures 15-22'!K63-SUM('Expenditures 15-22'!G63,'Expenditures 15-22'!I63)+'Expenditures 15-22'!D268-E10</f>
        <v>268213</v>
      </c>
      <c r="F30" s="1823"/>
      <c r="G30" s="1825">
        <f>'Expenditures 15-22'!K63-SUM('Expenditures 15-22'!G63,'Expenditures 15-22'!I63)+'Expenditures 15-22'!D268-E10</f>
        <v>268213</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29'!G26</f>
        <v>-317174</v>
      </c>
      <c r="F40" s="1823"/>
      <c r="G40" s="1827">
        <f>-'Contracts Paid in CY 29'!G26</f>
        <v>-317174</v>
      </c>
    </row>
    <row r="41" spans="1:7" ht="12" customHeight="1" x14ac:dyDescent="0.2">
      <c r="A41" s="999" t="s">
        <v>158</v>
      </c>
      <c r="B41" s="1000"/>
      <c r="C41" s="1001"/>
      <c r="D41" s="1827">
        <f>SUM(D19:D39)</f>
        <v>24863</v>
      </c>
      <c r="E41" s="1827">
        <f>SUM(E19:E40)</f>
        <v>8983040</v>
      </c>
      <c r="F41" s="1827">
        <f>SUM(F19:F39)</f>
        <v>951461</v>
      </c>
      <c r="G41" s="1827">
        <f>SUM(G19:G40)</f>
        <v>8056442</v>
      </c>
    </row>
    <row r="42" spans="1:7" x14ac:dyDescent="0.2">
      <c r="A42" s="988"/>
      <c r="B42" s="162"/>
      <c r="C42" s="1002"/>
      <c r="D42" s="2302" t="s">
        <v>543</v>
      </c>
      <c r="E42" s="2303"/>
      <c r="F42" s="1003" t="s">
        <v>544</v>
      </c>
      <c r="G42" s="1004"/>
    </row>
    <row r="43" spans="1:7" ht="12" customHeight="1" x14ac:dyDescent="0.2">
      <c r="A43" s="988"/>
      <c r="B43" s="162"/>
      <c r="C43" s="1002"/>
      <c r="D43" s="1828" t="s">
        <v>493</v>
      </c>
      <c r="E43" s="1829">
        <f>D41</f>
        <v>24863</v>
      </c>
      <c r="F43" s="1828" t="s">
        <v>495</v>
      </c>
      <c r="G43" s="1829">
        <f>F41</f>
        <v>951461</v>
      </c>
    </row>
    <row r="44" spans="1:7" ht="12" customHeight="1" x14ac:dyDescent="0.2">
      <c r="A44" s="988"/>
      <c r="B44" s="162"/>
      <c r="C44" s="1002"/>
      <c r="D44" s="1828" t="s">
        <v>494</v>
      </c>
      <c r="E44" s="1829">
        <f>E41</f>
        <v>8983040</v>
      </c>
      <c r="F44" s="1828" t="s">
        <v>494</v>
      </c>
      <c r="G44" s="1829">
        <f>G41</f>
        <v>8056442</v>
      </c>
    </row>
    <row r="45" spans="1:7" ht="12" customHeight="1" x14ac:dyDescent="0.2">
      <c r="A45" s="988"/>
      <c r="B45" s="162"/>
      <c r="C45" s="162"/>
      <c r="D45" s="1830" t="s">
        <v>1063</v>
      </c>
      <c r="E45" s="1831">
        <f>(E43/E44)</f>
        <v>2.7677712667426618E-3</v>
      </c>
      <c r="F45" s="1830" t="s">
        <v>1063</v>
      </c>
      <c r="G45" s="1831">
        <f>(G43/G44)</f>
        <v>0.11809940417866845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24" sqref="A24"/>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1" t="s">
        <v>1446</v>
      </c>
      <c r="B1" s="2321"/>
      <c r="C1" s="2321"/>
      <c r="D1" s="2321"/>
      <c r="E1" s="2321"/>
      <c r="F1" s="2321"/>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2" t="s">
        <v>1627</v>
      </c>
      <c r="B5" s="2323"/>
      <c r="C5" s="2324"/>
      <c r="D5" s="2324"/>
      <c r="E5" s="2324"/>
      <c r="F5" s="2324"/>
    </row>
    <row r="6" spans="1:10" ht="12" customHeight="1" x14ac:dyDescent="0.25">
      <c r="A6" s="1871"/>
      <c r="B6" s="1872"/>
      <c r="C6" s="2325" t="str">
        <f>COVER!A17</f>
        <v>United CUSD 304</v>
      </c>
      <c r="D6" s="2325"/>
      <c r="E6" s="2325"/>
      <c r="F6" s="1873"/>
    </row>
    <row r="7" spans="1:10" ht="11.25" customHeight="1" thickBot="1" x14ac:dyDescent="0.3">
      <c r="A7" s="1871"/>
      <c r="B7" s="1872"/>
      <c r="C7" s="2326" t="str">
        <f>COVER!A13</f>
        <v>33-094-3040-26</v>
      </c>
      <c r="D7" s="2326"/>
      <c r="E7" s="2326"/>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2077</v>
      </c>
      <c r="D16" s="1886" t="s">
        <v>2077</v>
      </c>
      <c r="E16" s="1889"/>
      <c r="F16" s="1888" t="s">
        <v>2108</v>
      </c>
      <c r="H16" s="1899">
        <f t="shared" si="0"/>
        <v>5</v>
      </c>
      <c r="I16" s="1899">
        <f t="shared" si="1"/>
        <v>5</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2077</v>
      </c>
      <c r="D26" s="1886" t="s">
        <v>2077</v>
      </c>
      <c r="E26" s="1889"/>
      <c r="F26" s="1888" t="s">
        <v>2109</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2077</v>
      </c>
      <c r="D28" s="1886" t="s">
        <v>2077</v>
      </c>
      <c r="E28" s="1889"/>
      <c r="F28" s="1888" t="s">
        <v>2110</v>
      </c>
      <c r="H28" s="1899">
        <f t="shared" si="0"/>
        <v>5</v>
      </c>
      <c r="I28" s="1899">
        <f t="shared" si="1"/>
        <v>5</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2077</v>
      </c>
      <c r="D31" s="1886" t="s">
        <v>2077</v>
      </c>
      <c r="E31" s="1889"/>
      <c r="F31" s="1888" t="s">
        <v>2111</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20</v>
      </c>
      <c r="I34" s="1899">
        <f>SUM(I11:I32)</f>
        <v>20</v>
      </c>
      <c r="J34" s="1899">
        <f>SUM(J11:J32)</f>
        <v>0</v>
      </c>
      <c r="K34" s="1899">
        <f>SUM(H34:J34)</f>
        <v>40</v>
      </c>
    </row>
    <row r="35" spans="1:11" ht="12" customHeight="1" x14ac:dyDescent="0.2">
      <c r="A35" s="1892" t="s">
        <v>1459</v>
      </c>
      <c r="B35" s="1893"/>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4"/>
      <c r="B39" s="1894"/>
      <c r="C39" s="1894"/>
      <c r="D39" s="1894"/>
      <c r="E39" s="1894"/>
      <c r="F39" s="1894"/>
    </row>
    <row r="40" spans="1:11" s="1891" customFormat="1" ht="12" customHeight="1" x14ac:dyDescent="0.25">
      <c r="A40" s="1895" t="s">
        <v>1458</v>
      </c>
      <c r="B40" s="1896"/>
      <c r="C40" s="2316"/>
      <c r="D40" s="2316"/>
      <c r="E40" s="2316"/>
      <c r="F40" s="2317"/>
      <c r="H40" s="1900"/>
      <c r="I40" s="1900"/>
      <c r="J40" s="1900"/>
      <c r="K40" s="1900"/>
    </row>
    <row r="41" spans="1:11" s="1891" customFormat="1" ht="12" customHeight="1" x14ac:dyDescent="0.25">
      <c r="A41" s="2318"/>
      <c r="B41" s="2319"/>
      <c r="C41" s="2319"/>
      <c r="D41" s="2319"/>
      <c r="E41" s="2319"/>
      <c r="F41" s="2320"/>
      <c r="H41" s="1900"/>
      <c r="I41" s="1900"/>
      <c r="J41" s="1900"/>
      <c r="K41" s="1900"/>
    </row>
    <row r="42" spans="1:11" s="1891" customFormat="1" ht="12" customHeight="1" x14ac:dyDescent="0.25">
      <c r="A42" s="2318"/>
      <c r="B42" s="2319"/>
      <c r="C42" s="2319"/>
      <c r="D42" s="2319"/>
      <c r="E42" s="2319"/>
      <c r="F42" s="2320"/>
      <c r="H42" s="1900"/>
      <c r="I42" s="1900"/>
      <c r="J42" s="1900"/>
      <c r="K42" s="1900"/>
    </row>
    <row r="43" spans="1:11" s="1891" customFormat="1" ht="15" x14ac:dyDescent="0.25">
      <c r="A43" s="2307"/>
      <c r="B43" s="2308"/>
      <c r="C43" s="2308"/>
      <c r="D43" s="2308"/>
      <c r="E43" s="2308"/>
      <c r="F43" s="2309"/>
      <c r="H43" s="1900"/>
      <c r="I43" s="1900"/>
      <c r="J43" s="1900"/>
      <c r="K43" s="1900"/>
    </row>
    <row r="44" spans="1:11" s="1891" customFormat="1" ht="12" hidden="1" customHeight="1" x14ac:dyDescent="0.25">
      <c r="A44" s="2307"/>
      <c r="B44" s="2308"/>
      <c r="C44" s="2308"/>
      <c r="D44" s="2308"/>
      <c r="E44" s="2308"/>
      <c r="F44" s="2309"/>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4" sqref="A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3"/>
      <c r="C6" s="1663"/>
      <c r="D6" s="1663"/>
      <c r="E6" s="1664"/>
      <c r="F6" s="1016"/>
      <c r="G6" s="1010"/>
      <c r="H6" s="1017" t="s">
        <v>1086</v>
      </c>
      <c r="I6" s="2334" t="str">
        <f>COVER!A17</f>
        <v>United CUSD 304</v>
      </c>
      <c r="J6" s="2335"/>
      <c r="Q6" s="1684"/>
    </row>
    <row r="7" spans="1:17" x14ac:dyDescent="0.2">
      <c r="A7" s="2336" t="s">
        <v>924</v>
      </c>
      <c r="B7" s="2337"/>
      <c r="C7" s="2337"/>
      <c r="D7" s="2337"/>
      <c r="E7" s="2338"/>
      <c r="F7" s="1018"/>
      <c r="G7" s="1010"/>
      <c r="H7" s="1017" t="s">
        <v>390</v>
      </c>
      <c r="I7" s="2339" t="str">
        <f>COVER!A13</f>
        <v>33-094-3040-26</v>
      </c>
      <c r="J7" s="233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208384</v>
      </c>
      <c r="F12" s="1040"/>
      <c r="G12" s="1832">
        <f t="shared" ref="G12:G18" si="0">SUM(E12:F12)</f>
        <v>208384</v>
      </c>
      <c r="H12" s="1041">
        <v>217507</v>
      </c>
      <c r="I12" s="1040"/>
      <c r="J12" s="1832">
        <f t="shared" ref="J12:J18" si="1">SUM(H12:I12)</f>
        <v>217507</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3" t="s">
        <v>7</v>
      </c>
      <c r="C18" s="2344"/>
      <c r="D18" s="2345"/>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208384</v>
      </c>
      <c r="F19" s="1834">
        <f t="shared" si="2"/>
        <v>0</v>
      </c>
      <c r="G19" s="1834">
        <f t="shared" si="2"/>
        <v>208384</v>
      </c>
      <c r="H19" s="1834">
        <f t="shared" si="2"/>
        <v>217507</v>
      </c>
      <c r="I19" s="1834">
        <f t="shared" si="2"/>
        <v>0</v>
      </c>
      <c r="J19" s="1834">
        <f t="shared" si="2"/>
        <v>217507</v>
      </c>
    </row>
    <row r="20" spans="1:10" ht="13.5" thickTop="1" x14ac:dyDescent="0.2">
      <c r="A20" s="1036">
        <v>9</v>
      </c>
      <c r="B20" s="2346" t="s">
        <v>1703</v>
      </c>
      <c r="C20" s="2346"/>
      <c r="D20" s="2347"/>
      <c r="E20" s="1047"/>
      <c r="F20" s="1047"/>
      <c r="G20" s="1047"/>
      <c r="H20" s="1047"/>
      <c r="I20" s="1047"/>
      <c r="J20" s="1835">
        <f>IF(AND(G19&gt;0,J19&gt;0),(((J19-G19)/G19)),"Enter Budget Data")</f>
        <v>4.3779752764127766E-2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4" sqref="A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957" t="s">
        <v>66</v>
      </c>
    </row>
    <row r="6" spans="1:1" x14ac:dyDescent="0.2">
      <c r="A6" s="1069" t="s">
        <v>2118</v>
      </c>
    </row>
    <row r="7" spans="1:1" x14ac:dyDescent="0.2">
      <c r="A7" s="1069" t="s">
        <v>2119</v>
      </c>
    </row>
    <row r="8" spans="1:1" x14ac:dyDescent="0.2">
      <c r="A8" s="1069"/>
    </row>
    <row r="9" spans="1:1" x14ac:dyDescent="0.2">
      <c r="A9" s="1069" t="s">
        <v>2120</v>
      </c>
    </row>
    <row r="10" spans="1:1" x14ac:dyDescent="0.2">
      <c r="A10" s="1069" t="s">
        <v>2164</v>
      </c>
    </row>
    <row r="11" spans="1:1" x14ac:dyDescent="0.2">
      <c r="A11" s="1069"/>
    </row>
    <row r="12" spans="1:1" x14ac:dyDescent="0.2">
      <c r="A12" s="1069" t="s">
        <v>2121</v>
      </c>
    </row>
    <row r="13" spans="1:1" x14ac:dyDescent="0.2">
      <c r="A13" s="1069" t="s">
        <v>2123</v>
      </c>
    </row>
    <row r="14" spans="1:1" x14ac:dyDescent="0.2">
      <c r="A14" s="1069" t="s">
        <v>2122</v>
      </c>
    </row>
    <row r="15" spans="1:1" x14ac:dyDescent="0.2">
      <c r="A15" s="1069"/>
    </row>
    <row r="16" spans="1:1" x14ac:dyDescent="0.2">
      <c r="A16" s="1069" t="s">
        <v>2124</v>
      </c>
    </row>
    <row r="17" spans="1:1" x14ac:dyDescent="0.2">
      <c r="A17" s="1069" t="s">
        <v>2125</v>
      </c>
    </row>
    <row r="18" spans="1:1" x14ac:dyDescent="0.2">
      <c r="A18" s="1069"/>
    </row>
    <row r="19" spans="1:1" x14ac:dyDescent="0.2">
      <c r="A19" s="1069" t="s">
        <v>2126</v>
      </c>
    </row>
    <row r="20" spans="1:1" x14ac:dyDescent="0.2">
      <c r="A20" s="1069" t="s">
        <v>2127</v>
      </c>
    </row>
    <row r="21" spans="1:1" x14ac:dyDescent="0.2">
      <c r="A21" s="1069"/>
    </row>
    <row r="22" spans="1:1" x14ac:dyDescent="0.2">
      <c r="A22" s="1957" t="s">
        <v>2128</v>
      </c>
    </row>
    <row r="23" spans="1:1" x14ac:dyDescent="0.2">
      <c r="A23" s="1069" t="s">
        <v>2129</v>
      </c>
    </row>
    <row r="24" spans="1:1" x14ac:dyDescent="0.2">
      <c r="A24" s="1069" t="s">
        <v>2130</v>
      </c>
    </row>
    <row r="25" spans="1:1" x14ac:dyDescent="0.2">
      <c r="A25" s="1069" t="s">
        <v>2131</v>
      </c>
    </row>
    <row r="26" spans="1:1" x14ac:dyDescent="0.2">
      <c r="A26" s="1069" t="s">
        <v>2132</v>
      </c>
    </row>
    <row r="27" spans="1:1" x14ac:dyDescent="0.2">
      <c r="A27" s="1069" t="s">
        <v>2133</v>
      </c>
    </row>
    <row r="28" spans="1:1" x14ac:dyDescent="0.2">
      <c r="A28" s="1069"/>
    </row>
    <row r="29" spans="1:1" x14ac:dyDescent="0.2">
      <c r="A29" s="1957" t="s">
        <v>2134</v>
      </c>
    </row>
    <row r="30" spans="1:1" x14ac:dyDescent="0.2">
      <c r="A30" s="1069" t="s">
        <v>2135</v>
      </c>
    </row>
    <row r="31" spans="1:1" x14ac:dyDescent="0.2">
      <c r="A31" s="1069" t="s">
        <v>2136</v>
      </c>
    </row>
    <row r="32" spans="1:1" x14ac:dyDescent="0.2">
      <c r="A32" s="1069"/>
    </row>
    <row r="33" spans="1:1" x14ac:dyDescent="0.2">
      <c r="A33" s="1957" t="s">
        <v>359</v>
      </c>
    </row>
    <row r="34" spans="1:1" x14ac:dyDescent="0.2">
      <c r="A34" s="1069" t="s">
        <v>2121</v>
      </c>
    </row>
    <row r="35" spans="1:1" x14ac:dyDescent="0.2">
      <c r="A35" s="1069" t="s">
        <v>2137</v>
      </c>
    </row>
    <row r="36" spans="1:1" x14ac:dyDescent="0.2">
      <c r="A36" s="1069"/>
    </row>
    <row r="37" spans="1:1" x14ac:dyDescent="0.2">
      <c r="A37" s="1957" t="s">
        <v>2138</v>
      </c>
    </row>
    <row r="38" spans="1:1" x14ac:dyDescent="0.2">
      <c r="A38" s="1069" t="s">
        <v>2139</v>
      </c>
    </row>
    <row r="39" spans="1:1" x14ac:dyDescent="0.2">
      <c r="A39" s="1069" t="s">
        <v>2140</v>
      </c>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United CUSD 304</v>
      </c>
    </row>
    <row r="65" spans="2:2" x14ac:dyDescent="0.2">
      <c r="B65" s="1070" t="str">
        <f>COVER!A13</f>
        <v>33-094-3040-26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N40" zoomScale="110" zoomScaleNormal="110" workbookViewId="0">
      <selection activeCell="A24" sqref="A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4" sqref="A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0</xdr:col>
                <xdr:colOff>0</xdr:colOff>
                <xdr:row>0</xdr:row>
                <xdr:rowOff>76200</xdr:rowOff>
              </from>
              <to>
                <xdr:col>1</xdr:col>
                <xdr:colOff>790575</xdr:colOff>
                <xdr:row>4</xdr:row>
                <xdr:rowOff>114300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096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4" sqref="A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4"/>
      <c r="H2" s="1074"/>
    </row>
    <row r="3" spans="1:8" ht="57" customHeight="1" x14ac:dyDescent="0.2">
      <c r="A3" s="2367" t="s">
        <v>1786</v>
      </c>
      <c r="B3" s="2368"/>
      <c r="C3" s="2368"/>
      <c r="D3" s="2368"/>
      <c r="E3" s="2368"/>
      <c r="F3" s="2369"/>
      <c r="G3" s="1074"/>
      <c r="H3" s="1074"/>
    </row>
    <row r="4" spans="1:8" ht="14.25" customHeight="1" x14ac:dyDescent="0.2">
      <c r="A4" s="2373" t="s">
        <v>2056</v>
      </c>
      <c r="B4" s="2374"/>
      <c r="C4" s="2374"/>
      <c r="D4" s="2374"/>
      <c r="E4" s="2374"/>
      <c r="F4" s="2375"/>
      <c r="G4" s="1074"/>
      <c r="H4" s="1074"/>
    </row>
    <row r="5" spans="1:8" ht="14.25" customHeight="1" x14ac:dyDescent="0.2">
      <c r="A5" s="2376" t="s">
        <v>2057</v>
      </c>
      <c r="B5" s="2377"/>
      <c r="C5" s="2377"/>
      <c r="D5" s="2377"/>
      <c r="E5" s="2377"/>
      <c r="F5" s="2378"/>
      <c r="G5" s="1074"/>
      <c r="H5" s="1074"/>
    </row>
    <row r="6" spans="1:8" s="1075" customFormat="1" ht="41.25" customHeight="1" x14ac:dyDescent="0.2">
      <c r="A6" s="2370" t="s">
        <v>1792</v>
      </c>
      <c r="B6" s="2371"/>
      <c r="C6" s="2371"/>
      <c r="D6" s="2371"/>
      <c r="E6" s="2371"/>
      <c r="F6" s="237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6">
        <f>'Acct Summary 7-8'!C8</f>
        <v>7913430</v>
      </c>
      <c r="C8" s="1836">
        <f>'Acct Summary 7-8'!D8</f>
        <v>868716</v>
      </c>
      <c r="D8" s="1836">
        <f>'Acct Summary 7-8'!F8</f>
        <v>1714612</v>
      </c>
      <c r="E8" s="1836">
        <f>'Acct Summary 7-8'!I8</f>
        <v>76543</v>
      </c>
      <c r="F8" s="1836">
        <f>SUM(B8:E8)</f>
        <v>10573301</v>
      </c>
    </row>
    <row r="9" spans="1:8" s="1079" customFormat="1" ht="14.25" customHeight="1" thickBot="1" x14ac:dyDescent="0.25">
      <c r="A9" s="1078" t="s">
        <v>1436</v>
      </c>
      <c r="B9" s="1837">
        <f>'Acct Summary 7-8'!C17</f>
        <v>7658621</v>
      </c>
      <c r="C9" s="1837">
        <f>'Acct Summary 7-8'!D17</f>
        <v>899101</v>
      </c>
      <c r="D9" s="1837">
        <f>'Acct Summary 7-8'!F17</f>
        <v>1104622</v>
      </c>
      <c r="E9" s="1836"/>
      <c r="F9" s="1836">
        <f>SUM(B9:E9)</f>
        <v>9662344</v>
      </c>
    </row>
    <row r="10" spans="1:8" s="1079" customFormat="1" ht="14.25" thickTop="1" thickBot="1" x14ac:dyDescent="0.25">
      <c r="A10" s="1080" t="s">
        <v>1437</v>
      </c>
      <c r="B10" s="1838">
        <f>(B8-B9)</f>
        <v>254809</v>
      </c>
      <c r="C10" s="1838">
        <f>(C8-C9)</f>
        <v>-30385</v>
      </c>
      <c r="D10" s="1838">
        <f>(D8-D9)</f>
        <v>609990</v>
      </c>
      <c r="E10" s="1837">
        <f>(E8-E9)</f>
        <v>76543</v>
      </c>
      <c r="F10" s="1839">
        <f>SUM(F8-F9)</f>
        <v>910957</v>
      </c>
    </row>
    <row r="11" spans="1:8" s="1079" customFormat="1" ht="14.25" thickTop="1" thickBot="1" x14ac:dyDescent="0.25">
      <c r="A11" s="1081" t="s">
        <v>1785</v>
      </c>
      <c r="B11" s="1840">
        <f>'Acct Summary 7-8'!C81</f>
        <v>1973609</v>
      </c>
      <c r="C11" s="1840">
        <f>'Acct Summary 7-8'!D81</f>
        <v>40833</v>
      </c>
      <c r="D11" s="1840">
        <f>'Acct Summary 7-8'!F81</f>
        <v>1432844</v>
      </c>
      <c r="E11" s="1840">
        <f>'Acct Summary 7-8'!I81</f>
        <v>472870</v>
      </c>
      <c r="F11" s="1841">
        <f>SUM(B11:E11)</f>
        <v>3920156</v>
      </c>
    </row>
    <row r="12" spans="1:8" ht="16.5" customHeight="1" thickTop="1" x14ac:dyDescent="0.2">
      <c r="A12" s="1082"/>
      <c r="B12" s="1083"/>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1787</v>
      </c>
      <c r="B16" s="2357"/>
      <c r="C16" s="2357"/>
      <c r="D16" s="2357"/>
      <c r="E16" s="235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8"/>
      <c r="B2" s="1919"/>
      <c r="C2" s="1920"/>
      <c r="D2" s="1921"/>
    </row>
    <row r="3" spans="1:4" ht="36" customHeight="1" x14ac:dyDescent="0.2">
      <c r="A3" s="2379" t="s">
        <v>686</v>
      </c>
      <c r="B3" s="2380"/>
      <c r="C3" s="2380"/>
      <c r="D3" s="2381"/>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0" t="s">
        <v>1584</v>
      </c>
      <c r="D7" s="2391"/>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4" t="s">
        <v>332</v>
      </c>
      <c r="D21" s="2395"/>
    </row>
    <row r="22" spans="1:10" ht="12.75" x14ac:dyDescent="0.2">
      <c r="A22" s="1139"/>
      <c r="B22" s="1140">
        <v>2</v>
      </c>
      <c r="C22" s="2392" t="s">
        <v>1605</v>
      </c>
      <c r="D22" s="239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6" t="s">
        <v>557</v>
      </c>
      <c r="D43" s="239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8" t="s">
        <v>817</v>
      </c>
      <c r="D56" s="238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88" t="s">
        <v>1797</v>
      </c>
      <c r="D70" s="238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29'!D26&gt;0,"OK","PLEASE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33-094-3040-26</v>
      </c>
    </row>
    <row r="3" spans="1:2" x14ac:dyDescent="0.2">
      <c r="A3" t="s">
        <v>1013</v>
      </c>
      <c r="B3" s="138" t="str">
        <f>COVER!A15</f>
        <v>Warren</v>
      </c>
    </row>
    <row r="4" spans="1:2" x14ac:dyDescent="0.2">
      <c r="A4" t="s">
        <v>1064</v>
      </c>
      <c r="B4" s="138" t="str">
        <f>COVER!A17</f>
        <v>United CUSD 304</v>
      </c>
    </row>
    <row r="5" spans="1:2" x14ac:dyDescent="0.2">
      <c r="A5" t="s">
        <v>728</v>
      </c>
      <c r="B5" s="138" t="str">
        <f>COVER!A38</f>
        <v>Mr. Jeffrey Whitsitt</v>
      </c>
    </row>
    <row r="6" spans="1:2" x14ac:dyDescent="0.2">
      <c r="A6" t="s">
        <v>733</v>
      </c>
      <c r="B6" s="138">
        <f>COVER!P35</f>
        <v>0</v>
      </c>
    </row>
    <row r="7" spans="1:2" x14ac:dyDescent="0.2">
      <c r="A7" t="s">
        <v>729</v>
      </c>
      <c r="B7" s="138">
        <f>COVER!I38</f>
        <v>0</v>
      </c>
    </row>
    <row r="8" spans="1:2" x14ac:dyDescent="0.2">
      <c r="A8" t="s">
        <v>730</v>
      </c>
      <c r="B8" s="138" t="str">
        <f>COVER!T38</f>
        <v>Mrs.Jodi Scott</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60.008476000000002</v>
      </c>
    </row>
    <row r="16" spans="1:2" x14ac:dyDescent="0.2">
      <c r="A16" t="s">
        <v>442</v>
      </c>
      <c r="B16" s="138" t="str">
        <f>COVER!T13</f>
        <v>Cavanaugh, Davies, Blackman &amp; Cramblet</v>
      </c>
    </row>
    <row r="17" spans="1:2" x14ac:dyDescent="0.2">
      <c r="A17" t="s">
        <v>939</v>
      </c>
      <c r="B17" s="138" t="str">
        <f>COVER!T15</f>
        <v>Rod Davies</v>
      </c>
    </row>
    <row r="18" spans="1:2" x14ac:dyDescent="0.2">
      <c r="A18" t="s">
        <v>1212</v>
      </c>
      <c r="B18" s="138" t="str">
        <f>COVER!T17</f>
        <v>1021 N. Main St., PO Box 318</v>
      </c>
    </row>
    <row r="19" spans="1:2" x14ac:dyDescent="0.2">
      <c r="A19" t="s">
        <v>941</v>
      </c>
      <c r="B19" s="138" t="str">
        <f>COVER!T25</f>
        <v>cdbccpas@monmouthcpa.com</v>
      </c>
    </row>
    <row r="20" spans="1:2" x14ac:dyDescent="0.2">
      <c r="A20" t="s">
        <v>942</v>
      </c>
      <c r="B20" s="138" t="str">
        <f>COVER!T19</f>
        <v>Monmouth</v>
      </c>
    </row>
    <row r="21" spans="1:2" x14ac:dyDescent="0.2">
      <c r="A21" t="s">
        <v>500</v>
      </c>
      <c r="B21" s="138" t="str">
        <f>COVER!X19</f>
        <v>IL</v>
      </c>
    </row>
    <row r="22" spans="1:2" x14ac:dyDescent="0.2">
      <c r="A22" t="s">
        <v>943</v>
      </c>
      <c r="B22" s="138">
        <f>COVER!Z19</f>
        <v>61462</v>
      </c>
    </row>
    <row r="23" spans="1:2" x14ac:dyDescent="0.2">
      <c r="A23" t="s">
        <v>1214</v>
      </c>
      <c r="B23" s="138" t="str">
        <f>COVER!T21</f>
        <v>309-734-2330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Yes</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82137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1973786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177</v>
      </c>
      <c r="C91" s="2" t="s">
        <v>594</v>
      </c>
      <c r="D91" s="2" t="str">
        <f t="shared" si="0"/>
        <v>Error?</v>
      </c>
    </row>
    <row r="92" spans="1:4" x14ac:dyDescent="0.2">
      <c r="A92" s="5">
        <v>31</v>
      </c>
      <c r="B92" s="138">
        <f>'Assets-Liab 5-6'!C39</f>
        <v>1786939</v>
      </c>
      <c r="D92" s="2" t="str">
        <f t="shared" si="0"/>
        <v>Error?</v>
      </c>
    </row>
    <row r="93" spans="1:4" x14ac:dyDescent="0.2">
      <c r="A93" s="5">
        <v>32</v>
      </c>
      <c r="B93" s="138">
        <f>'Assets-Liab 5-6'!C41</f>
        <v>1973786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40833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40833</v>
      </c>
      <c r="D123" s="2" t="str">
        <f t="shared" si="0"/>
        <v>Error?</v>
      </c>
    </row>
    <row r="124" spans="1:4" x14ac:dyDescent="0.2">
      <c r="A124" s="5">
        <v>63</v>
      </c>
      <c r="B124" s="138">
        <f>'Assets-Liab 5-6'!D41</f>
        <v>40833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182495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182495</v>
      </c>
      <c r="D140" s="2" t="str">
        <f t="shared" si="1"/>
        <v>Error?</v>
      </c>
    </row>
    <row r="141" spans="1:4" x14ac:dyDescent="0.2">
      <c r="A141" s="5">
        <v>80</v>
      </c>
      <c r="B141" s="138">
        <f>'Assets-Liab 5-6'!E41</f>
        <v>182495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25403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1432844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1432844</v>
      </c>
      <c r="D170" s="2" t="str">
        <f t="shared" si="1"/>
        <v>Error?</v>
      </c>
    </row>
    <row r="171" spans="1:4" x14ac:dyDescent="0.2">
      <c r="A171" s="5">
        <v>110</v>
      </c>
      <c r="B171" s="138">
        <f>'Assets-Liab 5-6'!F41</f>
        <v>1432844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48226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356112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356112</v>
      </c>
      <c r="D189" s="2" t="str">
        <f t="shared" si="1"/>
        <v>Error?</v>
      </c>
    </row>
    <row r="190" spans="1:4" x14ac:dyDescent="0.2">
      <c r="A190" s="5">
        <v>129</v>
      </c>
      <c r="B190" s="138">
        <f>'Assets-Liab 5-6'!G41</f>
        <v>356112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153370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153370</v>
      </c>
      <c r="D212" s="2" t="str">
        <f t="shared" si="2"/>
        <v>Error?</v>
      </c>
    </row>
    <row r="213" spans="1:4" x14ac:dyDescent="0.2">
      <c r="A213" s="12">
        <v>152</v>
      </c>
      <c r="B213" s="138">
        <f>'Assets-Liab 5-6'!H41</f>
        <v>153370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231158</v>
      </c>
      <c r="D273" s="2" t="str">
        <f t="shared" si="3"/>
        <v>Error?</v>
      </c>
    </row>
    <row r="274" spans="1:4" x14ac:dyDescent="0.2">
      <c r="A274" s="5">
        <v>213</v>
      </c>
      <c r="B274" s="138">
        <f>'Assets-Liab 5-6'!M17</f>
        <v>17435367</v>
      </c>
      <c r="D274" s="2" t="str">
        <f t="shared" si="3"/>
        <v>Error?</v>
      </c>
    </row>
    <row r="275" spans="1:4" x14ac:dyDescent="0.2">
      <c r="A275" s="5">
        <v>214</v>
      </c>
      <c r="B275" s="138">
        <f>'Assets-Liab 5-6'!M18</f>
        <v>3661717</v>
      </c>
      <c r="D275" s="2" t="str">
        <f t="shared" si="3"/>
        <v>Error?</v>
      </c>
    </row>
    <row r="276" spans="1:4" x14ac:dyDescent="0.2">
      <c r="A276" s="5">
        <v>215</v>
      </c>
      <c r="B276" s="138">
        <f>'Assets-Liab 5-6'!M19</f>
        <v>1832606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23160848</v>
      </c>
      <c r="C279" s="2" t="s">
        <v>594</v>
      </c>
      <c r="D279" s="2" t="str">
        <f t="shared" si="3"/>
        <v>Error?</v>
      </c>
    </row>
    <row r="280" spans="1:4" x14ac:dyDescent="0.2">
      <c r="A280" s="5">
        <v>219</v>
      </c>
      <c r="B280" s="138">
        <f>'Assets-Liab 5-6'!M40</f>
        <v>23160848</v>
      </c>
      <c r="D280" s="2" t="str">
        <f t="shared" si="3"/>
        <v>Error?</v>
      </c>
    </row>
    <row r="281" spans="1:4" x14ac:dyDescent="0.2">
      <c r="A281" s="5">
        <v>220</v>
      </c>
      <c r="B281" s="138">
        <f>'Assets-Liab 5-6'!M41</f>
        <v>23160848</v>
      </c>
      <c r="C281" s="2" t="s">
        <v>594</v>
      </c>
      <c r="D281" s="2" t="str">
        <f t="shared" si="3"/>
        <v>Error?</v>
      </c>
    </row>
    <row r="282" spans="1:4" x14ac:dyDescent="0.2">
      <c r="A282" s="5">
        <v>221</v>
      </c>
      <c r="B282" s="138">
        <f>'Assets-Liab 5-6'!N21</f>
        <v>182495</v>
      </c>
      <c r="D282" s="2" t="str">
        <f t="shared" si="3"/>
        <v>Error?</v>
      </c>
    </row>
    <row r="283" spans="1:4" x14ac:dyDescent="0.2">
      <c r="A283" s="5">
        <v>222</v>
      </c>
      <c r="B283" s="138">
        <f>'Assets-Liab 5-6'!N22</f>
        <v>4892505</v>
      </c>
      <c r="D283" s="2" t="str">
        <f t="shared" si="3"/>
        <v>Error?</v>
      </c>
    </row>
    <row r="284" spans="1:4" x14ac:dyDescent="0.2">
      <c r="A284" s="5">
        <v>223</v>
      </c>
      <c r="B284" s="138">
        <f>'Assets-Liab 5-6'!N23</f>
        <v>5075000</v>
      </c>
      <c r="C284" s="2" t="s">
        <v>594</v>
      </c>
      <c r="D284" s="2" t="str">
        <f t="shared" si="3"/>
        <v>Error?</v>
      </c>
    </row>
    <row r="285" spans="1:4" x14ac:dyDescent="0.2">
      <c r="A285" s="5">
        <v>224</v>
      </c>
      <c r="B285" s="138">
        <f>'Assets-Liab 5-6'!N36</f>
        <v>5075000</v>
      </c>
      <c r="D285" s="2" t="str">
        <f t="shared" si="3"/>
        <v>Error?</v>
      </c>
    </row>
    <row r="286" spans="1:4" x14ac:dyDescent="0.2">
      <c r="A286" s="10">
        <v>225</v>
      </c>
      <c r="D286" s="2" t="str">
        <f t="shared" si="3"/>
        <v>OK</v>
      </c>
    </row>
    <row r="287" spans="1:4" x14ac:dyDescent="0.2">
      <c r="A287" s="5">
        <v>226</v>
      </c>
      <c r="B287" s="138">
        <f>'Assets-Liab 5-6'!N37</f>
        <v>5075000</v>
      </c>
      <c r="C287" s="2" t="s">
        <v>594</v>
      </c>
      <c r="D287" s="2" t="str">
        <f t="shared" si="3"/>
        <v>Error?</v>
      </c>
    </row>
    <row r="288" spans="1:4" x14ac:dyDescent="0.2">
      <c r="A288" s="5">
        <v>227</v>
      </c>
      <c r="B288" s="138">
        <f>'Assets-Liab 5-6'!N41</f>
        <v>5075000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2997770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188686</v>
      </c>
      <c r="D717" s="2" t="str">
        <f t="shared" si="10"/>
        <v>Error?</v>
      </c>
    </row>
    <row r="718" spans="1:4" x14ac:dyDescent="0.2">
      <c r="A718" s="5">
        <v>657</v>
      </c>
      <c r="B718" s="138">
        <f>'Expenditures 15-22'!C14</f>
        <v>104959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4017242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232639</v>
      </c>
      <c r="D722" s="2" t="str">
        <f t="shared" si="10"/>
        <v>Error?</v>
      </c>
    </row>
    <row r="723" spans="1:4" x14ac:dyDescent="0.2">
      <c r="A723" s="5">
        <v>662</v>
      </c>
      <c r="B723" s="138">
        <f>'Expenditures 15-22'!C38</f>
        <v>21436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254075</v>
      </c>
      <c r="C727" s="2" t="s">
        <v>594</v>
      </c>
      <c r="D727" s="2" t="str">
        <f t="shared" si="10"/>
        <v>Error?</v>
      </c>
    </row>
    <row r="728" spans="1:4" x14ac:dyDescent="0.2">
      <c r="A728" s="5">
        <v>667</v>
      </c>
      <c r="B728" s="138">
        <f>'Expenditures 15-22'!C44</f>
        <v>43463</v>
      </c>
      <c r="D728" s="2" t="str">
        <f t="shared" si="10"/>
        <v>Error?</v>
      </c>
    </row>
    <row r="729" spans="1:4" x14ac:dyDescent="0.2">
      <c r="A729" s="5">
        <v>668</v>
      </c>
      <c r="B729" s="138">
        <f>'Expenditures 15-22'!C45</f>
        <v>196147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239610</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156736</v>
      </c>
      <c r="D733" s="2" t="str">
        <f t="shared" si="10"/>
        <v>Error?</v>
      </c>
    </row>
    <row r="734" spans="1:4" x14ac:dyDescent="0.2">
      <c r="A734" s="5">
        <v>673</v>
      </c>
      <c r="B734" s="138">
        <f>'Expenditures 15-22'!C53</f>
        <v>158736</v>
      </c>
      <c r="C734" s="2" t="s">
        <v>594</v>
      </c>
      <c r="D734" s="2" t="str">
        <f t="shared" si="10"/>
        <v>Error?</v>
      </c>
    </row>
    <row r="735" spans="1:4" x14ac:dyDescent="0.2">
      <c r="A735" s="5">
        <v>674</v>
      </c>
      <c r="B735" s="138">
        <f>'Expenditures 15-22'!C55</f>
        <v>424355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424355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174909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174909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1251685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5268927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453420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23646</v>
      </c>
      <c r="D775" s="2" t="str">
        <f t="shared" si="11"/>
        <v>Error?</v>
      </c>
    </row>
    <row r="776" spans="1:4" x14ac:dyDescent="0.2">
      <c r="A776" s="5">
        <v>715</v>
      </c>
      <c r="B776" s="138">
        <f>'Expenditures 15-22'!D14</f>
        <v>1139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602620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24425</v>
      </c>
      <c r="D780" s="2" t="str">
        <f t="shared" si="11"/>
        <v>Error?</v>
      </c>
    </row>
    <row r="781" spans="1:4" x14ac:dyDescent="0.2">
      <c r="A781" s="5">
        <v>720</v>
      </c>
      <c r="B781" s="138">
        <f>'Expenditures 15-22'!D38</f>
        <v>1826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26251</v>
      </c>
      <c r="C785" s="2" t="s">
        <v>594</v>
      </c>
      <c r="D785" s="2" t="str">
        <f t="shared" si="11"/>
        <v>Error?</v>
      </c>
    </row>
    <row r="786" spans="1:4" x14ac:dyDescent="0.2">
      <c r="A786" s="5">
        <v>725</v>
      </c>
      <c r="B786" s="138">
        <f>'Expenditures 15-22'!D44</f>
        <v>6987</v>
      </c>
      <c r="D786" s="2" t="str">
        <f t="shared" si="11"/>
        <v>Error?</v>
      </c>
    </row>
    <row r="787" spans="1:4" x14ac:dyDescent="0.2">
      <c r="A787" s="5">
        <v>726</v>
      </c>
      <c r="B787" s="138">
        <f>'Expenditures 15-22'!D45</f>
        <v>28608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35595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47364</v>
      </c>
      <c r="D791" s="2" t="str">
        <f t="shared" si="11"/>
        <v>Error?</v>
      </c>
    </row>
    <row r="792" spans="1:4" x14ac:dyDescent="0.2">
      <c r="A792" s="5">
        <v>731</v>
      </c>
      <c r="B792" s="138">
        <f>'Expenditures 15-22'!D53</f>
        <v>47364</v>
      </c>
      <c r="C792" s="2" t="s">
        <v>594</v>
      </c>
      <c r="D792" s="2" t="str">
        <f t="shared" si="11"/>
        <v>Error?</v>
      </c>
    </row>
    <row r="793" spans="1:4" x14ac:dyDescent="0.2">
      <c r="A793" s="5">
        <v>732</v>
      </c>
      <c r="B793" s="138">
        <f>'Expenditures 15-22'!D55</f>
        <v>137456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137456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48753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48753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295419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898039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58785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1627</v>
      </c>
      <c r="D833" s="2" t="str">
        <f t="shared" si="12"/>
        <v>Error?</v>
      </c>
    </row>
    <row r="834" spans="1:4" x14ac:dyDescent="0.2">
      <c r="A834" s="5">
        <v>773</v>
      </c>
      <c r="B834" s="138">
        <f>'Expenditures 15-22'!E14</f>
        <v>28228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95413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186</v>
      </c>
      <c r="C843" s="2" t="s">
        <v>594</v>
      </c>
      <c r="D843" s="2" t="str">
        <f t="shared" si="12"/>
        <v>Error?</v>
      </c>
    </row>
    <row r="844" spans="1:4" x14ac:dyDescent="0.2">
      <c r="A844" s="5">
        <v>783</v>
      </c>
      <c r="B844" s="138">
        <f>'Expenditures 15-22'!E44</f>
        <v>5983</v>
      </c>
      <c r="D844" s="2" t="str">
        <f t="shared" si="12"/>
        <v>Error?</v>
      </c>
    </row>
    <row r="845" spans="1:4" x14ac:dyDescent="0.2">
      <c r="A845" s="5">
        <v>784</v>
      </c>
      <c r="B845" s="138">
        <f>'Expenditures 15-22'!E45</f>
        <v>9986</v>
      </c>
      <c r="D845" s="2" t="str">
        <f t="shared" si="12"/>
        <v>Error?</v>
      </c>
    </row>
    <row r="846" spans="1:4" x14ac:dyDescent="0.2">
      <c r="A846" s="5">
        <v>785</v>
      </c>
      <c r="B846" s="138">
        <f>'Expenditures 15-22'!E46</f>
        <v>1046</v>
      </c>
      <c r="D846" s="2" t="str">
        <f t="shared" si="12"/>
        <v>Error?</v>
      </c>
    </row>
    <row r="847" spans="1:4" x14ac:dyDescent="0.2">
      <c r="A847" s="5">
        <v>786</v>
      </c>
      <c r="B847" s="138">
        <f>'Expenditures 15-22'!E47</f>
        <v>17015</v>
      </c>
      <c r="C847" s="2" t="s">
        <v>594</v>
      </c>
      <c r="D847" s="2" t="str">
        <f t="shared" si="12"/>
        <v>Error?</v>
      </c>
    </row>
    <row r="848" spans="1:4" x14ac:dyDescent="0.2">
      <c r="A848" s="5">
        <v>787</v>
      </c>
      <c r="B848" s="138">
        <f>'Expenditures 15-22'!E49</f>
        <v>37283</v>
      </c>
      <c r="D848" s="2" t="str">
        <f t="shared" si="12"/>
        <v>Error?</v>
      </c>
    </row>
    <row r="849" spans="1:4" x14ac:dyDescent="0.2">
      <c r="A849" s="5">
        <v>788</v>
      </c>
      <c r="B849" s="138">
        <f>'Expenditures 15-22'!E50</f>
        <v>2789</v>
      </c>
      <c r="D849" s="2" t="str">
        <f t="shared" si="12"/>
        <v>Error?</v>
      </c>
    </row>
    <row r="850" spans="1:4" x14ac:dyDescent="0.2">
      <c r="A850" s="5">
        <v>789</v>
      </c>
      <c r="B850" s="138">
        <f>'Expenditures 15-22'!E53</f>
        <v>44172</v>
      </c>
      <c r="C850" s="2" t="s">
        <v>594</v>
      </c>
      <c r="D850" s="2" t="str">
        <f t="shared" si="12"/>
        <v>Error?</v>
      </c>
    </row>
    <row r="851" spans="1:4" x14ac:dyDescent="0.2">
      <c r="A851" s="5">
        <v>790</v>
      </c>
      <c r="B851" s="138">
        <f>'Expenditures 15-22'!E55</f>
        <v>1922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1922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22853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24950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88245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530362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83344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9882</v>
      </c>
      <c r="D891" s="2" t="str">
        <f t="shared" si="12"/>
        <v>Error?</v>
      </c>
    </row>
    <row r="892" spans="1:4" x14ac:dyDescent="0.2">
      <c r="A892" s="5">
        <v>831</v>
      </c>
      <c r="B892" s="138">
        <f>'Expenditures 15-22'!F14</f>
        <v>41652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165766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2594</v>
      </c>
      <c r="D896" s="2" t="str">
        <f t="shared" si="13"/>
        <v>Error?</v>
      </c>
    </row>
    <row r="897" spans="1:4" x14ac:dyDescent="0.2">
      <c r="A897" s="5">
        <v>836</v>
      </c>
      <c r="B897" s="138">
        <f>'Expenditures 15-22'!F38</f>
        <v>657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3251</v>
      </c>
      <c r="C901" s="2" t="s">
        <v>594</v>
      </c>
      <c r="D901" s="2" t="str">
        <f t="shared" si="13"/>
        <v>Error?</v>
      </c>
    </row>
    <row r="902" spans="1:4" x14ac:dyDescent="0.2">
      <c r="A902" s="5">
        <v>841</v>
      </c>
      <c r="B902" s="138">
        <f>'Expenditures 15-22'!F44</f>
        <v>143389</v>
      </c>
      <c r="D902" s="2" t="str">
        <f t="shared" si="13"/>
        <v>Error?</v>
      </c>
    </row>
    <row r="903" spans="1:4" x14ac:dyDescent="0.2">
      <c r="A903" s="5">
        <v>842</v>
      </c>
      <c r="B903" s="138">
        <f>'Expenditures 15-22'!F45</f>
        <v>1321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144710</v>
      </c>
      <c r="C905" s="2" t="s">
        <v>594</v>
      </c>
      <c r="D905" s="2" t="str">
        <f t="shared" si="13"/>
        <v>Error?</v>
      </c>
    </row>
    <row r="906" spans="1:4" x14ac:dyDescent="0.2">
      <c r="A906" s="5">
        <v>845</v>
      </c>
      <c r="B906" s="138">
        <f>'Expenditures 15-22'!F49</f>
        <v>1950</v>
      </c>
      <c r="D906" s="2" t="str">
        <f t="shared" si="13"/>
        <v>Error?</v>
      </c>
    </row>
    <row r="907" spans="1:4" x14ac:dyDescent="0.2">
      <c r="A907" s="5">
        <v>846</v>
      </c>
      <c r="B907" s="138">
        <f>'Expenditures 15-22'!F50</f>
        <v>540</v>
      </c>
      <c r="D907" s="2" t="str">
        <f t="shared" si="13"/>
        <v>Error?</v>
      </c>
    </row>
    <row r="908" spans="1:4" x14ac:dyDescent="0.2">
      <c r="A908" s="5">
        <v>847</v>
      </c>
      <c r="B908" s="138">
        <f>'Expenditures 15-22'!F53</f>
        <v>2490</v>
      </c>
      <c r="C908" s="2" t="s">
        <v>594</v>
      </c>
      <c r="D908" s="2" t="str">
        <f t="shared" si="13"/>
        <v>Error?</v>
      </c>
    </row>
    <row r="909" spans="1:4" x14ac:dyDescent="0.2">
      <c r="A909" s="5">
        <v>848</v>
      </c>
      <c r="B909" s="138">
        <f>'Expenditures 15-22'!F55</f>
        <v>140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242117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243508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394099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559865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4445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75766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180332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180332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5288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5288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185620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261386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21102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98147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3120</v>
      </c>
      <c r="D1018" s="2" t="str">
        <f t="shared" si="14"/>
        <v>Error?</v>
      </c>
    </row>
    <row r="1019" spans="1:4" x14ac:dyDescent="0.2">
      <c r="A1019" s="5">
        <v>958</v>
      </c>
      <c r="B1019" s="138">
        <f>'Expenditures 15-22'!H45</f>
        <v>344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3464</v>
      </c>
      <c r="C1021" s="2" t="s">
        <v>594</v>
      </c>
      <c r="D1021" s="2" t="str">
        <f t="shared" si="14"/>
        <v>Error?</v>
      </c>
    </row>
    <row r="1022" spans="1:4" x14ac:dyDescent="0.2">
      <c r="A1022" s="5">
        <v>961</v>
      </c>
      <c r="B1022" s="138">
        <f>'Expenditures 15-22'!H49</f>
        <v>16871</v>
      </c>
      <c r="D1022" s="2" t="str">
        <f t="shared" si="14"/>
        <v>Error?</v>
      </c>
    </row>
    <row r="1023" spans="1:4" x14ac:dyDescent="0.2">
      <c r="A1023" s="5">
        <v>962</v>
      </c>
      <c r="B1023" s="138">
        <f>'Expenditures 15-22'!H50</f>
        <v>955</v>
      </c>
      <c r="D1023" s="2" t="str">
        <f t="shared" ref="D1023:D1086" si="15">IF(ISBLANK(B1023),"OK",IF(A1023-B1023=0,"OK","Error?"))</f>
        <v>Error?</v>
      </c>
    </row>
    <row r="1024" spans="1:4" x14ac:dyDescent="0.2">
      <c r="A1024" s="5">
        <v>963</v>
      </c>
      <c r="B1024" s="138">
        <f>'Expenditures 15-22'!H53</f>
        <v>17826</v>
      </c>
      <c r="C1024" s="2" t="s">
        <v>594</v>
      </c>
      <c r="D1024" s="2" t="str">
        <f t="shared" si="15"/>
        <v>Error?</v>
      </c>
    </row>
    <row r="1025" spans="1:4" x14ac:dyDescent="0.2">
      <c r="A1025" s="5">
        <v>964</v>
      </c>
      <c r="B1025" s="138">
        <f>'Expenditures 15-22'!H55</f>
        <v>1001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619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1694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23985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17910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140042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3594089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228286</v>
      </c>
      <c r="C1105" s="2" t="s">
        <v>594</v>
      </c>
      <c r="D1105" s="2" t="str">
        <f t="shared" si="16"/>
        <v>Error?</v>
      </c>
    </row>
    <row r="1106" spans="1:4" x14ac:dyDescent="0.2">
      <c r="A1106" s="5">
        <v>1045</v>
      </c>
      <c r="B1106" s="138">
        <f>'Expenditures 15-22'!K14</f>
        <v>197080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5054954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259658</v>
      </c>
      <c r="C1110" s="2" t="s">
        <v>594</v>
      </c>
      <c r="D1110" s="2" t="str">
        <f t="shared" si="16"/>
        <v>Error?</v>
      </c>
    </row>
    <row r="1111" spans="1:4" x14ac:dyDescent="0.2">
      <c r="A1111" s="5">
        <v>1050</v>
      </c>
      <c r="B1111" s="138">
        <f>'Expenditures 15-22'!K38</f>
        <v>24105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283763</v>
      </c>
      <c r="C1115" s="2" t="s">
        <v>594</v>
      </c>
      <c r="D1115" s="2" t="str">
        <f t="shared" si="16"/>
        <v>Error?</v>
      </c>
    </row>
    <row r="1116" spans="1:4" x14ac:dyDescent="0.2">
      <c r="A1116" s="5">
        <v>1055</v>
      </c>
      <c r="B1116" s="138">
        <f>'Expenditures 15-22'!K44</f>
        <v>383274</v>
      </c>
      <c r="C1116" s="2" t="s">
        <v>594</v>
      </c>
      <c r="D1116" s="2" t="str">
        <f t="shared" si="16"/>
        <v>Error?</v>
      </c>
    </row>
    <row r="1117" spans="1:4" x14ac:dyDescent="0.2">
      <c r="A1117" s="5">
        <v>1056</v>
      </c>
      <c r="B1117" s="138">
        <f>'Expenditures 15-22'!K45</f>
        <v>236406</v>
      </c>
      <c r="C1117" s="2" t="s">
        <v>594</v>
      </c>
      <c r="D1117" s="2" t="str">
        <f t="shared" si="16"/>
        <v>Error?</v>
      </c>
    </row>
    <row r="1118" spans="1:4" x14ac:dyDescent="0.2">
      <c r="A1118" s="5">
        <v>1057</v>
      </c>
      <c r="B1118" s="138">
        <f>'Expenditures 15-22'!K46</f>
        <v>1046</v>
      </c>
      <c r="C1118" s="2" t="s">
        <v>594</v>
      </c>
      <c r="D1118" s="2" t="str">
        <f t="shared" si="16"/>
        <v>Error?</v>
      </c>
    </row>
    <row r="1119" spans="1:4" x14ac:dyDescent="0.2">
      <c r="A1119" s="5">
        <v>1058</v>
      </c>
      <c r="B1119" s="138">
        <f>'Expenditures 15-22'!K47</f>
        <v>620726</v>
      </c>
      <c r="C1119" s="2" t="s">
        <v>594</v>
      </c>
      <c r="D1119" s="2" t="str">
        <f t="shared" si="16"/>
        <v>Error?</v>
      </c>
    </row>
    <row r="1120" spans="1:4" x14ac:dyDescent="0.2">
      <c r="A1120" s="5">
        <v>1059</v>
      </c>
      <c r="B1120" s="138">
        <f>'Expenditures 15-22'!K49</f>
        <v>58104</v>
      </c>
      <c r="C1120" s="2" t="s">
        <v>594</v>
      </c>
      <c r="D1120" s="2" t="str">
        <f t="shared" si="16"/>
        <v>Error?</v>
      </c>
    </row>
    <row r="1121" spans="1:4" x14ac:dyDescent="0.2">
      <c r="A1121" s="5">
        <v>1060</v>
      </c>
      <c r="B1121" s="138">
        <f>'Expenditures 15-22'!K50</f>
        <v>208384</v>
      </c>
      <c r="C1121" s="2" t="s">
        <v>594</v>
      </c>
      <c r="D1121" s="2" t="str">
        <f t="shared" si="16"/>
        <v>Error?</v>
      </c>
    </row>
    <row r="1122" spans="1:4" x14ac:dyDescent="0.2">
      <c r="A1122" s="5">
        <v>1061</v>
      </c>
      <c r="B1122" s="138">
        <f>'Expenditures 15-22'!K53</f>
        <v>270588</v>
      </c>
      <c r="C1122" s="2" t="s">
        <v>594</v>
      </c>
      <c r="D1122" s="2" t="str">
        <f t="shared" si="16"/>
        <v>Error?</v>
      </c>
    </row>
    <row r="1123" spans="1:4" x14ac:dyDescent="0.2">
      <c r="A1123" s="5">
        <v>1062</v>
      </c>
      <c r="B1123" s="138">
        <f>'Expenditures 15-22'!K55</f>
        <v>564874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564874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24863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474239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499102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2239053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364614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7658621</v>
      </c>
      <c r="C1152" s="2" t="s">
        <v>594</v>
      </c>
      <c r="D1152" s="2" t="str">
        <f t="shared" si="17"/>
        <v>Error?</v>
      </c>
    </row>
    <row r="1153" spans="1:4" x14ac:dyDescent="0.2">
      <c r="A1153" s="5">
        <v>1092</v>
      </c>
      <c r="B1153" s="138">
        <f>'Expenditures 15-22'!K115</f>
        <v>254809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281645</v>
      </c>
      <c r="D1221" s="2" t="str">
        <f t="shared" si="18"/>
        <v>Error?</v>
      </c>
    </row>
    <row r="1222" spans="1:4" x14ac:dyDescent="0.2">
      <c r="A1222" s="10">
        <v>1161</v>
      </c>
      <c r="D1222" s="2" t="str">
        <f t="shared" si="18"/>
        <v>OK</v>
      </c>
    </row>
    <row r="1223" spans="1:4" x14ac:dyDescent="0.2">
      <c r="A1223" s="5">
        <v>1162</v>
      </c>
      <c r="B1223" s="138">
        <f>'Expenditures 15-22'!C127</f>
        <v>281645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281645</v>
      </c>
      <c r="C1225" s="2" t="s">
        <v>594</v>
      </c>
      <c r="D1225" s="2" t="str">
        <f t="shared" si="18"/>
        <v>Error?</v>
      </c>
    </row>
    <row r="1226" spans="1:4" x14ac:dyDescent="0.2">
      <c r="A1226" s="5">
        <v>1165</v>
      </c>
      <c r="B1226" s="138">
        <f>'Expenditures 15-22'!C151</f>
        <v>281645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70492</v>
      </c>
      <c r="D1229" s="2" t="str">
        <f t="shared" si="18"/>
        <v>Error?</v>
      </c>
    </row>
    <row r="1230" spans="1:4" x14ac:dyDescent="0.2">
      <c r="A1230" s="10">
        <v>1169</v>
      </c>
      <c r="D1230" s="2" t="str">
        <f t="shared" si="18"/>
        <v>OK</v>
      </c>
    </row>
    <row r="1231" spans="1:4" x14ac:dyDescent="0.2">
      <c r="A1231" s="5">
        <v>1170</v>
      </c>
      <c r="B1231" s="138">
        <f>'Expenditures 15-22'!D127</f>
        <v>70492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70492</v>
      </c>
      <c r="C1233" s="2" t="s">
        <v>594</v>
      </c>
      <c r="D1233" s="2" t="str">
        <f t="shared" si="18"/>
        <v>Error?</v>
      </c>
    </row>
    <row r="1234" spans="1:4" x14ac:dyDescent="0.2">
      <c r="A1234" s="5">
        <v>1173</v>
      </c>
      <c r="B1234" s="138">
        <f>'Expenditures 15-22'!D151</f>
        <v>70492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230926</v>
      </c>
      <c r="D1237" s="2" t="str">
        <f t="shared" si="18"/>
        <v>Error?</v>
      </c>
    </row>
    <row r="1238" spans="1:4" x14ac:dyDescent="0.2">
      <c r="A1238" s="10">
        <v>1177</v>
      </c>
      <c r="D1238" s="2" t="str">
        <f t="shared" si="18"/>
        <v>OK</v>
      </c>
    </row>
    <row r="1239" spans="1:4" x14ac:dyDescent="0.2">
      <c r="A1239" s="5">
        <v>1178</v>
      </c>
      <c r="B1239" s="138">
        <f>'Expenditures 15-22'!E127</f>
        <v>230926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230926</v>
      </c>
      <c r="C1241" s="2" t="s">
        <v>594</v>
      </c>
      <c r="D1241" s="2" t="str">
        <f t="shared" si="18"/>
        <v>Error?</v>
      </c>
    </row>
    <row r="1242" spans="1:4" x14ac:dyDescent="0.2">
      <c r="A1242" s="5">
        <v>1181</v>
      </c>
      <c r="B1242" s="138">
        <f>'Expenditures 15-22'!E151</f>
        <v>230926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299729</v>
      </c>
      <c r="D1245" s="2" t="str">
        <f t="shared" si="18"/>
        <v>Error?</v>
      </c>
    </row>
    <row r="1246" spans="1:4" x14ac:dyDescent="0.2">
      <c r="A1246" s="10">
        <v>1185</v>
      </c>
      <c r="D1246" s="2" t="str">
        <f t="shared" si="18"/>
        <v>OK</v>
      </c>
    </row>
    <row r="1247" spans="1:4" x14ac:dyDescent="0.2">
      <c r="A1247" s="5">
        <v>1186</v>
      </c>
      <c r="B1247" s="138">
        <f>'Expenditures 15-22'!F127</f>
        <v>299729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299729</v>
      </c>
      <c r="C1249" s="2" t="s">
        <v>594</v>
      </c>
      <c r="D1249" s="2" t="str">
        <f t="shared" si="18"/>
        <v>Error?</v>
      </c>
    </row>
    <row r="1250" spans="1:4" x14ac:dyDescent="0.2">
      <c r="A1250" s="5">
        <v>1189</v>
      </c>
      <c r="B1250" s="138">
        <f>'Expenditures 15-22'!F151</f>
        <v>299729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16309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16309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16309</v>
      </c>
      <c r="C1258" s="2" t="s">
        <v>594</v>
      </c>
      <c r="D1258" s="2" t="str">
        <f t="shared" si="18"/>
        <v>Error?</v>
      </c>
    </row>
    <row r="1259" spans="1:4" x14ac:dyDescent="0.2">
      <c r="A1259" s="5">
        <v>1198</v>
      </c>
      <c r="B1259" s="138">
        <f>'Expenditures 15-22'!G151</f>
        <v>16309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899101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899101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899101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899101</v>
      </c>
      <c r="C1288" s="2" t="s">
        <v>594</v>
      </c>
      <c r="D1288" s="2" t="str">
        <f t="shared" si="19"/>
        <v>Error?</v>
      </c>
    </row>
    <row r="1289" spans="1:4" x14ac:dyDescent="0.2">
      <c r="A1289" s="5">
        <v>1228</v>
      </c>
      <c r="B1289" s="138">
        <f>'Expenditures 15-22'!K152</f>
        <v>-30385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339218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505000</v>
      </c>
      <c r="D1315" s="2" t="str">
        <f t="shared" si="19"/>
        <v>Error?</v>
      </c>
    </row>
    <row r="1316" spans="1:4" x14ac:dyDescent="0.2">
      <c r="A1316" s="5">
        <v>1255</v>
      </c>
      <c r="B1316" s="138">
        <f>'Expenditures 15-22'!H171</f>
        <v>990</v>
      </c>
      <c r="D1316" s="2" t="str">
        <f t="shared" si="19"/>
        <v>Error?</v>
      </c>
    </row>
    <row r="1317" spans="1:4" x14ac:dyDescent="0.2">
      <c r="A1317" s="5">
        <v>1256</v>
      </c>
      <c r="B1317" s="138">
        <f>'Expenditures 15-22'!H172</f>
        <v>845208</v>
      </c>
      <c r="C1317" s="2" t="s">
        <v>594</v>
      </c>
      <c r="D1317" s="2" t="str">
        <f t="shared" si="19"/>
        <v>Error?</v>
      </c>
    </row>
    <row r="1318" spans="1:4" x14ac:dyDescent="0.2">
      <c r="A1318" s="5">
        <v>1257</v>
      </c>
      <c r="B1318" s="138">
        <f>'Expenditures 15-22'!H174</f>
        <v>845208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339218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505000</v>
      </c>
      <c r="C1329" s="2" t="s">
        <v>594</v>
      </c>
      <c r="D1329" s="2" t="str">
        <f t="shared" si="19"/>
        <v>Error?</v>
      </c>
    </row>
    <row r="1330" spans="1:4" x14ac:dyDescent="0.2">
      <c r="A1330" s="5">
        <v>1269</v>
      </c>
      <c r="B1330" s="138">
        <f>'Expenditures 15-22'!K171</f>
        <v>990</v>
      </c>
      <c r="C1330" s="2" t="s">
        <v>594</v>
      </c>
      <c r="D1330" s="2" t="str">
        <f t="shared" si="19"/>
        <v>Error?</v>
      </c>
    </row>
    <row r="1331" spans="1:4" x14ac:dyDescent="0.2">
      <c r="A1331" s="5">
        <v>1270</v>
      </c>
      <c r="B1331" s="138">
        <f>'Expenditures 15-22'!K172</f>
        <v>845208</v>
      </c>
      <c r="C1331" s="2" t="s">
        <v>594</v>
      </c>
      <c r="D1331" s="2" t="str">
        <f t="shared" si="19"/>
        <v>Error?</v>
      </c>
    </row>
    <row r="1332" spans="1:4" x14ac:dyDescent="0.2">
      <c r="A1332" s="5">
        <v>1271</v>
      </c>
      <c r="B1332" s="138">
        <f>'Expenditures 15-22'!K174</f>
        <v>845208</v>
      </c>
      <c r="C1332" s="2" t="s">
        <v>594</v>
      </c>
      <c r="D1332" s="2" t="str">
        <f t="shared" si="19"/>
        <v>Error?</v>
      </c>
    </row>
    <row r="1333" spans="1:4" x14ac:dyDescent="0.2">
      <c r="A1333" s="5">
        <v>1272</v>
      </c>
      <c r="B1333" s="138">
        <f>'Expenditures 15-22'!K175</f>
        <v>-61585</v>
      </c>
      <c r="C1333" s="2" t="s">
        <v>594</v>
      </c>
      <c r="D1333" s="2" t="str">
        <f t="shared" si="19"/>
        <v>Error?</v>
      </c>
    </row>
    <row r="1334" spans="1:4" x14ac:dyDescent="0.2">
      <c r="A1334" s="10">
        <v>1273</v>
      </c>
      <c r="D1334" s="2" t="str">
        <f t="shared" si="19"/>
        <v>OK</v>
      </c>
    </row>
    <row r="1335" spans="1:4" x14ac:dyDescent="0.2">
      <c r="A1335" s="5">
        <v>1274</v>
      </c>
      <c r="B1335" s="138">
        <f>'Expenditures 15-22'!C182</f>
        <v>537016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537016</v>
      </c>
      <c r="C1339" s="2" t="s">
        <v>594</v>
      </c>
      <c r="D1339" s="2" t="str">
        <f t="shared" si="19"/>
        <v>Error?</v>
      </c>
    </row>
    <row r="1340" spans="1:4" x14ac:dyDescent="0.2">
      <c r="A1340" s="5">
        <v>1279</v>
      </c>
      <c r="B1340" s="138">
        <f>'Expenditures 15-22'!C210</f>
        <v>537016</v>
      </c>
      <c r="C1340" s="2" t="s">
        <v>594</v>
      </c>
      <c r="D1340" s="2" t="str">
        <f t="shared" si="19"/>
        <v>Error?</v>
      </c>
    </row>
    <row r="1341" spans="1:4" x14ac:dyDescent="0.2">
      <c r="A1341" s="5">
        <v>1280</v>
      </c>
      <c r="B1341" s="138">
        <f>'Expenditures 15-22'!D182</f>
        <v>6986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6986</v>
      </c>
      <c r="C1345" s="2" t="s">
        <v>594</v>
      </c>
      <c r="D1345" s="2" t="str">
        <f t="shared" si="20"/>
        <v>Error?</v>
      </c>
    </row>
    <row r="1346" spans="1:4" x14ac:dyDescent="0.2">
      <c r="A1346" s="5">
        <v>1285</v>
      </c>
      <c r="B1346" s="138">
        <f>'Expenditures 15-22'!D210</f>
        <v>6986</v>
      </c>
      <c r="C1346" s="2" t="s">
        <v>594</v>
      </c>
      <c r="D1346" s="2" t="str">
        <f t="shared" si="20"/>
        <v>Error?</v>
      </c>
    </row>
    <row r="1347" spans="1:4" x14ac:dyDescent="0.2">
      <c r="A1347" s="5">
        <v>1286</v>
      </c>
      <c r="B1347" s="138">
        <f>'Expenditures 15-22'!E182</f>
        <v>403091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403091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403091</v>
      </c>
      <c r="C1353" s="2" t="s">
        <v>594</v>
      </c>
      <c r="D1353" s="2" t="str">
        <f t="shared" si="20"/>
        <v>Error?</v>
      </c>
    </row>
    <row r="1354" spans="1:4" x14ac:dyDescent="0.2">
      <c r="A1354" s="5">
        <v>1293</v>
      </c>
      <c r="B1354" s="138">
        <f>'Expenditures 15-22'!F182</f>
        <v>156379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156379</v>
      </c>
      <c r="C1358" s="2" t="s">
        <v>594</v>
      </c>
      <c r="D1358" s="2" t="str">
        <f t="shared" si="20"/>
        <v>Error?</v>
      </c>
    </row>
    <row r="1359" spans="1:4" x14ac:dyDescent="0.2">
      <c r="A1359" s="5">
        <v>1298</v>
      </c>
      <c r="B1359" s="138">
        <f>'Expenditures 15-22'!F210</f>
        <v>156379</v>
      </c>
      <c r="C1359" s="2" t="s">
        <v>594</v>
      </c>
      <c r="D1359" s="2" t="str">
        <f t="shared" si="20"/>
        <v>Error?</v>
      </c>
    </row>
    <row r="1360" spans="1:4" x14ac:dyDescent="0.2">
      <c r="A1360" s="5">
        <v>1299</v>
      </c>
      <c r="B1360" s="138">
        <f>'Expenditures 15-22'!G182</f>
        <v>1150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1150</v>
      </c>
      <c r="C1364" s="2" t="s">
        <v>594</v>
      </c>
      <c r="D1364" s="2" t="str">
        <f t="shared" si="20"/>
        <v>Error?</v>
      </c>
    </row>
    <row r="1365" spans="1:4" x14ac:dyDescent="0.2">
      <c r="A1365" s="5">
        <v>1304</v>
      </c>
      <c r="B1365" s="138">
        <f>'Expenditures 15-22'!G210</f>
        <v>1150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1104622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1104622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1104622</v>
      </c>
      <c r="C1388" s="2" t="s">
        <v>594</v>
      </c>
      <c r="D1388" s="2" t="str">
        <f t="shared" si="20"/>
        <v>Error?</v>
      </c>
    </row>
    <row r="1389" spans="1:4" x14ac:dyDescent="0.2">
      <c r="A1389" s="5">
        <v>1328</v>
      </c>
      <c r="B1389" s="138">
        <f>'Expenditures 15-22'!K211</f>
        <v>609990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2736</v>
      </c>
      <c r="D1407" s="2" t="str">
        <f t="shared" ref="D1407:D1470" si="21">IF(ISBLANK(B1407),"OK",IF(A1407-B1407=0,"OK","Error?"))</f>
        <v>Error?</v>
      </c>
    </row>
    <row r="1408" spans="1:4" x14ac:dyDescent="0.2">
      <c r="A1408" s="5">
        <v>1347</v>
      </c>
      <c r="B1408" s="138">
        <f>'Expenditures 15-22'!D223</f>
        <v>2976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91515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3373</v>
      </c>
      <c r="D1412" s="2" t="str">
        <f t="shared" si="21"/>
        <v>Error?</v>
      </c>
    </row>
    <row r="1413" spans="1:4" x14ac:dyDescent="0.2">
      <c r="A1413" s="5">
        <v>1352</v>
      </c>
      <c r="B1413" s="138">
        <f>'Expenditures 15-22'!D234</f>
        <v>3378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6751</v>
      </c>
      <c r="C1417" s="2" t="s">
        <v>594</v>
      </c>
      <c r="D1417" s="2" t="str">
        <f t="shared" si="21"/>
        <v>Error?</v>
      </c>
    </row>
    <row r="1418" spans="1:4" x14ac:dyDescent="0.2">
      <c r="A1418" s="5">
        <v>1357</v>
      </c>
      <c r="B1418" s="138">
        <f>'Expenditures 15-22'!D240</f>
        <v>6849</v>
      </c>
      <c r="D1418" s="2" t="str">
        <f t="shared" si="21"/>
        <v>Error?</v>
      </c>
    </row>
    <row r="1419" spans="1:4" x14ac:dyDescent="0.2">
      <c r="A1419" s="5">
        <v>1358</v>
      </c>
      <c r="B1419" s="138">
        <f>'Expenditures 15-22'!D241</f>
        <v>2844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9693</v>
      </c>
      <c r="C1421" s="2" t="s">
        <v>594</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9031</v>
      </c>
      <c r="D1423" s="2" t="str">
        <f t="shared" si="21"/>
        <v>Error?</v>
      </c>
    </row>
    <row r="1424" spans="1:4" x14ac:dyDescent="0.2">
      <c r="A1424" s="5">
        <v>1363</v>
      </c>
      <c r="B1424" s="138">
        <f>'Expenditures 15-22'!D257</f>
        <v>10739</v>
      </c>
      <c r="C1424" s="2" t="s">
        <v>594</v>
      </c>
      <c r="D1424" s="2" t="str">
        <f t="shared" si="21"/>
        <v>Error?</v>
      </c>
    </row>
    <row r="1425" spans="1:4" x14ac:dyDescent="0.2">
      <c r="A1425" s="5">
        <v>1364</v>
      </c>
      <c r="B1425" s="138">
        <f>'Expenditures 15-22'!D259</f>
        <v>26804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26804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43806</v>
      </c>
      <c r="D1431" s="2" t="str">
        <f t="shared" si="21"/>
        <v>Error?</v>
      </c>
    </row>
    <row r="1432" spans="1:4" x14ac:dyDescent="0.2">
      <c r="A1432" s="5">
        <v>1371</v>
      </c>
      <c r="B1432" s="138">
        <f>'Expenditures 15-22'!D267</f>
        <v>57096</v>
      </c>
      <c r="D1432" s="2" t="str">
        <f t="shared" si="21"/>
        <v>Error?</v>
      </c>
    </row>
    <row r="1433" spans="1:4" x14ac:dyDescent="0.2">
      <c r="A1433" s="5">
        <v>1372</v>
      </c>
      <c r="B1433" s="138">
        <f>'Expenditures 15-22'!D268</f>
        <v>26510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127412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181399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272914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2736</v>
      </c>
      <c r="C1471" s="2" t="s">
        <v>594</v>
      </c>
      <c r="D1471" s="2" t="str">
        <f t="shared" ref="D1471:D1534" si="22">IF(ISBLANK(B1471),"OK",IF(A1471-B1471=0,"OK","Error?"))</f>
        <v>Error?</v>
      </c>
    </row>
    <row r="1472" spans="1:4" x14ac:dyDescent="0.2">
      <c r="A1472" s="5">
        <v>1411</v>
      </c>
      <c r="B1472" s="138">
        <f>'Expenditures 15-22'!K223</f>
        <v>2976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91515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3373</v>
      </c>
      <c r="C1476" s="2" t="s">
        <v>594</v>
      </c>
      <c r="D1476" s="2" t="str">
        <f t="shared" si="22"/>
        <v>Error?</v>
      </c>
    </row>
    <row r="1477" spans="1:4" x14ac:dyDescent="0.2">
      <c r="A1477" s="5">
        <v>1416</v>
      </c>
      <c r="B1477" s="138">
        <f>'Expenditures 15-22'!K234</f>
        <v>3378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6751</v>
      </c>
      <c r="C1481" s="2" t="s">
        <v>594</v>
      </c>
      <c r="D1481" s="2" t="str">
        <f t="shared" si="22"/>
        <v>Error?</v>
      </c>
    </row>
    <row r="1482" spans="1:4" x14ac:dyDescent="0.2">
      <c r="A1482" s="5">
        <v>1421</v>
      </c>
      <c r="B1482" s="138">
        <f>'Expenditures 15-22'!K240</f>
        <v>6849</v>
      </c>
      <c r="C1482" s="2" t="s">
        <v>594</v>
      </c>
      <c r="D1482" s="2" t="str">
        <f t="shared" si="22"/>
        <v>Error?</v>
      </c>
    </row>
    <row r="1483" spans="1:4" x14ac:dyDescent="0.2">
      <c r="A1483" s="5">
        <v>1422</v>
      </c>
      <c r="B1483" s="138">
        <f>'Expenditures 15-22'!K241</f>
        <v>2844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9693</v>
      </c>
      <c r="C1485" s="2" t="s">
        <v>594</v>
      </c>
      <c r="D1485" s="2" t="str">
        <f t="shared" si="22"/>
        <v>Error?</v>
      </c>
    </row>
    <row r="1486" spans="1:4" x14ac:dyDescent="0.2">
      <c r="A1486" s="5">
        <v>1425</v>
      </c>
      <c r="B1486" s="138">
        <f>'Expenditures 15-22'!K245</f>
        <v>153</v>
      </c>
      <c r="C1486" s="2" t="s">
        <v>594</v>
      </c>
      <c r="D1486" s="2" t="str">
        <f t="shared" si="22"/>
        <v>Error?</v>
      </c>
    </row>
    <row r="1487" spans="1:4" x14ac:dyDescent="0.2">
      <c r="A1487" s="5">
        <v>1426</v>
      </c>
      <c r="B1487" s="138">
        <f>'Expenditures 15-22'!K246</f>
        <v>9031</v>
      </c>
      <c r="C1487" s="2" t="s">
        <v>594</v>
      </c>
      <c r="D1487" s="2" t="str">
        <f t="shared" si="22"/>
        <v>Error?</v>
      </c>
    </row>
    <row r="1488" spans="1:4" x14ac:dyDescent="0.2">
      <c r="A1488" s="5">
        <v>1427</v>
      </c>
      <c r="B1488" s="138">
        <f>'Expenditures 15-22'!K257</f>
        <v>10739</v>
      </c>
      <c r="C1488" s="2" t="s">
        <v>594</v>
      </c>
      <c r="D1488" s="2" t="str">
        <f t="shared" si="22"/>
        <v>Error?</v>
      </c>
    </row>
    <row r="1489" spans="1:4" x14ac:dyDescent="0.2">
      <c r="A1489" s="5">
        <v>1428</v>
      </c>
      <c r="B1489" s="138">
        <f>'Expenditures 15-22'!K259</f>
        <v>26804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26804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43806</v>
      </c>
      <c r="C1495" s="2" t="s">
        <v>594</v>
      </c>
      <c r="D1495" s="2" t="str">
        <f t="shared" si="22"/>
        <v>Error?</v>
      </c>
    </row>
    <row r="1496" spans="1:4" x14ac:dyDescent="0.2">
      <c r="A1496" s="5">
        <v>1435</v>
      </c>
      <c r="B1496" s="138">
        <f>'Expenditures 15-22'!K267</f>
        <v>57096</v>
      </c>
      <c r="C1496" s="2" t="s">
        <v>594</v>
      </c>
      <c r="D1496" s="2" t="str">
        <f t="shared" si="22"/>
        <v>Error?</v>
      </c>
    </row>
    <row r="1497" spans="1:4" x14ac:dyDescent="0.2">
      <c r="A1497" s="5">
        <v>1436</v>
      </c>
      <c r="B1497" s="138">
        <f>'Expenditures 15-22'!K268</f>
        <v>26510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127412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181399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272914</v>
      </c>
      <c r="C1517" s="2" t="s">
        <v>594</v>
      </c>
      <c r="D1517" s="2" t="str">
        <f t="shared" si="22"/>
        <v>Error?</v>
      </c>
    </row>
    <row r="1518" spans="1:4" x14ac:dyDescent="0.2">
      <c r="A1518" s="5">
        <v>1457</v>
      </c>
      <c r="B1518" s="138">
        <f>'Expenditures 15-22'!K296</f>
        <v>16396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90187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90187</v>
      </c>
      <c r="C1547" s="2" t="s">
        <v>594</v>
      </c>
      <c r="D1547" s="2" t="str">
        <f t="shared" si="23"/>
        <v>Error?</v>
      </c>
    </row>
    <row r="1548" spans="1:4" x14ac:dyDescent="0.2">
      <c r="A1548" s="5">
        <v>1487</v>
      </c>
      <c r="B1548" s="138">
        <f>'Expenditures 15-22'!G312</f>
        <v>90187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90187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90187</v>
      </c>
      <c r="C1559" s="2" t="s">
        <v>594</v>
      </c>
      <c r="D1559" s="2" t="str">
        <f t="shared" si="23"/>
        <v>Error?</v>
      </c>
    </row>
    <row r="1560" spans="1:4" x14ac:dyDescent="0.2">
      <c r="A1560" s="5">
        <v>1499</v>
      </c>
      <c r="B1560" s="138">
        <f>'Expenditures 15-22'!K312</f>
        <v>90187</v>
      </c>
      <c r="C1560" s="2" t="s">
        <v>594</v>
      </c>
      <c r="D1560" s="2" t="str">
        <f t="shared" si="23"/>
        <v>Error?</v>
      </c>
    </row>
    <row r="1561" spans="1:4" x14ac:dyDescent="0.2">
      <c r="A1561" s="5">
        <v>1500</v>
      </c>
      <c r="B1561" s="138">
        <f>'Expenditures 15-22'!K313</f>
        <v>15786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1637172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1973609</v>
      </c>
      <c r="C1630" s="2" t="s">
        <v>594</v>
      </c>
      <c r="D1630" s="2" t="str">
        <f t="shared" si="24"/>
        <v>Error?</v>
      </c>
    </row>
    <row r="1631" spans="1:4" x14ac:dyDescent="0.2">
      <c r="A1631" s="5">
        <v>1570</v>
      </c>
      <c r="B1631" s="138">
        <f>'Acct Summary 7-8'!D79</f>
        <v>71218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40833</v>
      </c>
      <c r="C1644" s="2" t="s">
        <v>594</v>
      </c>
      <c r="D1644" s="2" t="str">
        <f t="shared" si="24"/>
        <v>Error?</v>
      </c>
    </row>
    <row r="1645" spans="1:4" x14ac:dyDescent="0.2">
      <c r="A1645" s="5">
        <v>1584</v>
      </c>
      <c r="B1645" s="138">
        <f>'Acct Summary 7-8'!E79</f>
        <v>244080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182495</v>
      </c>
      <c r="C1658" s="2" t="s">
        <v>594</v>
      </c>
      <c r="D1658" s="2" t="str">
        <f t="shared" si="24"/>
        <v>Error?</v>
      </c>
    </row>
    <row r="1659" spans="1:4" x14ac:dyDescent="0.2">
      <c r="A1659" s="5">
        <v>1598</v>
      </c>
      <c r="B1659" s="138">
        <f>'Acct Summary 7-8'!F79</f>
        <v>546069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1432844</v>
      </c>
      <c r="C1672" s="2" t="s">
        <v>594</v>
      </c>
      <c r="D1672" s="2" t="str">
        <f t="shared" si="25"/>
        <v>Error?</v>
      </c>
    </row>
    <row r="1673" spans="1:4" x14ac:dyDescent="0.2">
      <c r="A1673" s="5">
        <v>1612</v>
      </c>
      <c r="B1673" s="138">
        <f>'Acct Summary 7-8'!G79</f>
        <v>339716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356112</v>
      </c>
      <c r="C1686" s="2" t="s">
        <v>594</v>
      </c>
      <c r="D1686" s="2" t="str">
        <f t="shared" si="25"/>
        <v>Error?</v>
      </c>
    </row>
    <row r="1687" spans="1:4" x14ac:dyDescent="0.2">
      <c r="A1687" s="5">
        <v>1626</v>
      </c>
      <c r="B1687" s="138">
        <f>'Acct Summary 7-8'!H79</f>
        <v>137584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153370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4602354</v>
      </c>
      <c r="C1744" s="2" t="s">
        <v>594</v>
      </c>
      <c r="D1744" s="2" t="str">
        <f t="shared" si="26"/>
        <v>Error?</v>
      </c>
    </row>
    <row r="1745" spans="1:5" x14ac:dyDescent="0.2">
      <c r="A1745" s="5">
        <v>1684</v>
      </c>
      <c r="B1745" s="138">
        <f>'Tax Sched 23'!B5</f>
        <v>765627</v>
      </c>
      <c r="C1745" s="2" t="s">
        <v>594</v>
      </c>
      <c r="D1745" s="2" t="str">
        <f t="shared" si="26"/>
        <v>Error?</v>
      </c>
    </row>
    <row r="1746" spans="1:5" x14ac:dyDescent="0.2">
      <c r="A1746" s="5">
        <v>1685</v>
      </c>
      <c r="B1746" s="138">
        <f>'Tax Sched 23'!B6</f>
        <v>454494</v>
      </c>
      <c r="C1746" s="2" t="s">
        <v>594</v>
      </c>
      <c r="D1746" s="2" t="str">
        <f t="shared" si="26"/>
        <v>Error?</v>
      </c>
    </row>
    <row r="1747" spans="1:5" x14ac:dyDescent="0.2">
      <c r="A1747" s="5">
        <v>1686</v>
      </c>
      <c r="B1747" s="138">
        <f>'Tax Sched 23'!B7</f>
        <v>314208</v>
      </c>
      <c r="C1747" s="2" t="s">
        <v>594</v>
      </c>
      <c r="D1747" s="2" t="str">
        <f t="shared" si="26"/>
        <v>Error?</v>
      </c>
    </row>
    <row r="1748" spans="1:5" x14ac:dyDescent="0.2">
      <c r="A1748" s="5">
        <v>1687</v>
      </c>
      <c r="B1748" s="138">
        <f>'Tax Sched 23'!B8</f>
        <v>88594</v>
      </c>
      <c r="C1748" s="2" t="s">
        <v>594</v>
      </c>
      <c r="D1748" s="2" t="str">
        <f t="shared" si="26"/>
        <v>Error?</v>
      </c>
    </row>
    <row r="1749" spans="1:5" x14ac:dyDescent="0.2">
      <c r="A1749" s="5">
        <v>1688</v>
      </c>
      <c r="B1749" s="138">
        <f>'Tax Sched 23'!B10</f>
        <v>76229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301043</v>
      </c>
      <c r="C1752" s="2" t="s">
        <v>594</v>
      </c>
      <c r="D1752" s="2" t="str">
        <f t="shared" si="26"/>
        <v>Error?</v>
      </c>
    </row>
    <row r="1753" spans="1:5" x14ac:dyDescent="0.2">
      <c r="A1753" s="5">
        <v>1692</v>
      </c>
      <c r="B1753" s="138">
        <f>'Tax Sched 23'!B12</f>
        <v>76229</v>
      </c>
      <c r="C1753" s="2" t="s">
        <v>594</v>
      </c>
      <c r="D1753" s="2" t="str">
        <f t="shared" si="26"/>
        <v>Error?</v>
      </c>
    </row>
    <row r="1754" spans="1:5" x14ac:dyDescent="0.2">
      <c r="A1754" s="5">
        <v>1693</v>
      </c>
      <c r="B1754" s="138">
        <f>'Tax Sched 23'!B14</f>
        <v>61117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6966652</v>
      </c>
      <c r="C1759" s="2" t="s">
        <v>594</v>
      </c>
      <c r="D1759" s="2" t="str">
        <f t="shared" si="26"/>
        <v>Error?</v>
      </c>
    </row>
    <row r="1760" spans="1:5" x14ac:dyDescent="0.2">
      <c r="A1760" s="5">
        <v>1699</v>
      </c>
      <c r="B1760" s="138">
        <f>'Tax Sched 23'!D4</f>
        <v>4598269</v>
      </c>
      <c r="C1760" s="2" t="s">
        <v>594</v>
      </c>
      <c r="D1760" s="2" t="str">
        <f t="shared" si="26"/>
        <v>Error?</v>
      </c>
    </row>
    <row r="1761" spans="1:5" x14ac:dyDescent="0.2">
      <c r="A1761" s="5">
        <v>1700</v>
      </c>
      <c r="B1761" s="138">
        <f>'Tax Sched 23'!D5</f>
        <v>764946</v>
      </c>
      <c r="C1761" s="2" t="s">
        <v>594</v>
      </c>
      <c r="D1761" s="2" t="str">
        <f t="shared" si="26"/>
        <v>Error?</v>
      </c>
    </row>
    <row r="1762" spans="1:5" s="8" customFormat="1" x14ac:dyDescent="0.2">
      <c r="A1762" s="5">
        <v>1701</v>
      </c>
      <c r="B1762" s="138">
        <f>'Tax Sched 23'!D6</f>
        <v>453943</v>
      </c>
      <c r="C1762" s="2" t="s">
        <v>594</v>
      </c>
      <c r="D1762" s="2" t="str">
        <f t="shared" si="26"/>
        <v>Error?</v>
      </c>
      <c r="E1762" s="9"/>
    </row>
    <row r="1763" spans="1:5" x14ac:dyDescent="0.2">
      <c r="A1763" s="5">
        <v>1702</v>
      </c>
      <c r="B1763" s="138">
        <f>'Tax Sched 23'!D7</f>
        <v>313936</v>
      </c>
      <c r="C1763" s="2" t="s">
        <v>594</v>
      </c>
      <c r="D1763" s="2" t="str">
        <f t="shared" si="26"/>
        <v>Error?</v>
      </c>
    </row>
    <row r="1764" spans="1:5" x14ac:dyDescent="0.2">
      <c r="A1764" s="5">
        <v>1703</v>
      </c>
      <c r="B1764" s="138">
        <f>'Tax Sched 23'!D8</f>
        <v>88513</v>
      </c>
      <c r="C1764" s="2" t="s">
        <v>594</v>
      </c>
      <c r="D1764" s="2" t="str">
        <f t="shared" si="26"/>
        <v>Error?</v>
      </c>
    </row>
    <row r="1765" spans="1:5" x14ac:dyDescent="0.2">
      <c r="A1765" s="5">
        <v>1704</v>
      </c>
      <c r="B1765" s="138">
        <f>'Tax Sched 23'!D10</f>
        <v>76161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300768</v>
      </c>
      <c r="C1768" s="2" t="s">
        <v>594</v>
      </c>
      <c r="D1768" s="2" t="str">
        <f t="shared" si="26"/>
        <v>Error?</v>
      </c>
    </row>
    <row r="1769" spans="1:5" x14ac:dyDescent="0.2">
      <c r="A1769" s="5">
        <v>1708</v>
      </c>
      <c r="B1769" s="138">
        <f>'Tax Sched 23'!D12</f>
        <v>76161</v>
      </c>
      <c r="C1769" s="2" t="s">
        <v>594</v>
      </c>
      <c r="D1769" s="2" t="str">
        <f t="shared" si="26"/>
        <v>Error?</v>
      </c>
    </row>
    <row r="1770" spans="1:5" x14ac:dyDescent="0.2">
      <c r="A1770" s="5">
        <v>1709</v>
      </c>
      <c r="B1770" s="138">
        <f>'Tax Sched 23'!D14</f>
        <v>61063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6960311</v>
      </c>
      <c r="C1775" s="2" t="s">
        <v>594</v>
      </c>
      <c r="D1775" s="2" t="str">
        <f t="shared" si="26"/>
        <v>Error?</v>
      </c>
    </row>
    <row r="1776" spans="1:5" x14ac:dyDescent="0.2">
      <c r="A1776" s="5">
        <v>1715</v>
      </c>
      <c r="B1776" s="138">
        <f>'Tax Sched 23'!C4</f>
        <v>4085</v>
      </c>
      <c r="D1776" s="2" t="str">
        <f t="shared" si="26"/>
        <v>Error?</v>
      </c>
    </row>
    <row r="1777" spans="1:4" x14ac:dyDescent="0.2">
      <c r="A1777" s="5">
        <v>1716</v>
      </c>
      <c r="B1777" s="138">
        <f>'Tax Sched 23'!C5</f>
        <v>681</v>
      </c>
      <c r="D1777" s="2" t="str">
        <f t="shared" si="26"/>
        <v>Error?</v>
      </c>
    </row>
    <row r="1778" spans="1:4" x14ac:dyDescent="0.2">
      <c r="A1778" s="5">
        <v>1717</v>
      </c>
      <c r="B1778" s="138">
        <f>'Tax Sched 23'!C6</f>
        <v>551</v>
      </c>
      <c r="D1778" s="2" t="str">
        <f t="shared" si="26"/>
        <v>Error?</v>
      </c>
    </row>
    <row r="1779" spans="1:4" x14ac:dyDescent="0.2">
      <c r="A1779" s="5">
        <v>1718</v>
      </c>
      <c r="B1779" s="138">
        <f>'Tax Sched 23'!C7</f>
        <v>272</v>
      </c>
      <c r="D1779" s="2" t="str">
        <f t="shared" si="26"/>
        <v>Error?</v>
      </c>
    </row>
    <row r="1780" spans="1:4" x14ac:dyDescent="0.2">
      <c r="A1780" s="5">
        <v>1719</v>
      </c>
      <c r="B1780" s="138">
        <f>'Tax Sched 23'!C8</f>
        <v>81</v>
      </c>
      <c r="D1780" s="2" t="str">
        <f t="shared" si="26"/>
        <v>Error?</v>
      </c>
    </row>
    <row r="1781" spans="1:4" x14ac:dyDescent="0.2">
      <c r="A1781" s="5">
        <v>1720</v>
      </c>
      <c r="B1781" s="138">
        <f>'Tax Sched 23'!C10</f>
        <v>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275</v>
      </c>
      <c r="D1784" s="2" t="str">
        <f t="shared" si="26"/>
        <v>Error?</v>
      </c>
    </row>
    <row r="1785" spans="1:4" x14ac:dyDescent="0.2">
      <c r="A1785" s="5">
        <v>1724</v>
      </c>
      <c r="B1785" s="138">
        <f>'Tax Sched 23'!C12</f>
        <v>68</v>
      </c>
      <c r="D1785" s="2" t="str">
        <f t="shared" si="26"/>
        <v>Error?</v>
      </c>
    </row>
    <row r="1786" spans="1:4" x14ac:dyDescent="0.2">
      <c r="A1786" s="5">
        <v>1725</v>
      </c>
      <c r="B1786" s="138">
        <f>'Tax Sched 23'!C14</f>
        <v>54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6341</v>
      </c>
      <c r="C1791" s="2" t="s">
        <v>594</v>
      </c>
      <c r="D1791" s="2" t="str">
        <f t="shared" ref="D1791:D1854" si="27">IF(ISBLANK(B1791),"OK",IF(A1791-B1791=0,"OK","Error?"))</f>
        <v>Error?</v>
      </c>
    </row>
    <row r="1792" spans="1:4" x14ac:dyDescent="0.2">
      <c r="A1792" s="5">
        <v>1731</v>
      </c>
      <c r="B1792" s="138">
        <f>'Tax Sched 23'!F4</f>
        <v>5519662</v>
      </c>
      <c r="C1792" s="2" t="s">
        <v>594</v>
      </c>
      <c r="D1792" s="2" t="str">
        <f t="shared" si="27"/>
        <v>Error?</v>
      </c>
    </row>
    <row r="1793" spans="1:4" x14ac:dyDescent="0.2">
      <c r="A1793" s="5">
        <v>1732</v>
      </c>
      <c r="B1793" s="138">
        <f>'Tax Sched 23'!F5</f>
        <v>919943</v>
      </c>
      <c r="C1793" s="2" t="s">
        <v>594</v>
      </c>
      <c r="D1793" s="2" t="str">
        <f t="shared" si="27"/>
        <v>Error?</v>
      </c>
    </row>
    <row r="1794" spans="1:4" x14ac:dyDescent="0.2">
      <c r="A1794" s="5">
        <v>1733</v>
      </c>
      <c r="B1794" s="138">
        <f>'Tax Sched 23'!F6</f>
        <v>750237</v>
      </c>
      <c r="C1794" s="2" t="s">
        <v>594</v>
      </c>
      <c r="D1794" s="2" t="str">
        <f t="shared" si="27"/>
        <v>Error?</v>
      </c>
    </row>
    <row r="1795" spans="1:4" x14ac:dyDescent="0.2">
      <c r="A1795" s="5">
        <v>1734</v>
      </c>
      <c r="B1795" s="138">
        <f>'Tax Sched 23'!F7</f>
        <v>367978</v>
      </c>
      <c r="C1795" s="2" t="s">
        <v>594</v>
      </c>
      <c r="D1795" s="2" t="str">
        <f t="shared" si="27"/>
        <v>Error?</v>
      </c>
    </row>
    <row r="1796" spans="1:4" x14ac:dyDescent="0.2">
      <c r="A1796" s="5">
        <v>1735</v>
      </c>
      <c r="B1796" s="138">
        <f>'Tax Sched 23'!F8</f>
        <v>110155</v>
      </c>
      <c r="C1796" s="2" t="s">
        <v>594</v>
      </c>
      <c r="D1796" s="2" t="str">
        <f t="shared" si="27"/>
        <v>Error?</v>
      </c>
    </row>
    <row r="1797" spans="1:4" x14ac:dyDescent="0.2">
      <c r="A1797" s="5">
        <v>1736</v>
      </c>
      <c r="B1797" s="138">
        <f>'Tax Sched 23'!F10</f>
        <v>91994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373922</v>
      </c>
      <c r="C1800" s="2" t="s">
        <v>594</v>
      </c>
      <c r="D1800" s="2" t="str">
        <f t="shared" si="27"/>
        <v>Error?</v>
      </c>
    </row>
    <row r="1801" spans="1:4" x14ac:dyDescent="0.2">
      <c r="A1801" s="5">
        <v>1740</v>
      </c>
      <c r="B1801" s="138">
        <f>'Tax Sched 23'!F12</f>
        <v>91994</v>
      </c>
      <c r="C1801" s="2" t="s">
        <v>594</v>
      </c>
      <c r="D1801" s="2" t="str">
        <f t="shared" si="27"/>
        <v>Error?</v>
      </c>
    </row>
    <row r="1802" spans="1:4" x14ac:dyDescent="0.2">
      <c r="A1802" s="5">
        <v>1741</v>
      </c>
      <c r="B1802" s="138">
        <f>'Tax Sched 23'!F14</f>
        <v>73596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8578537</v>
      </c>
      <c r="C1807" s="2" t="s">
        <v>594</v>
      </c>
      <c r="D1807" s="2" t="str">
        <f t="shared" si="27"/>
        <v>Error?</v>
      </c>
    </row>
    <row r="1808" spans="1:4" x14ac:dyDescent="0.2">
      <c r="A1808" s="5">
        <v>1747</v>
      </c>
      <c r="B1808" s="138">
        <f>'Tax Sched 23'!E4</f>
        <v>5523747</v>
      </c>
      <c r="D1808" s="2" t="str">
        <f t="shared" si="27"/>
        <v>Error?</v>
      </c>
    </row>
    <row r="1809" spans="1:4" x14ac:dyDescent="0.2">
      <c r="A1809" s="5">
        <v>1748</v>
      </c>
      <c r="B1809" s="138">
        <f>'Tax Sched 23'!E5</f>
        <v>920624</v>
      </c>
      <c r="D1809" s="2" t="str">
        <f t="shared" si="27"/>
        <v>Error?</v>
      </c>
    </row>
    <row r="1810" spans="1:4" x14ac:dyDescent="0.2">
      <c r="A1810" s="5">
        <v>1749</v>
      </c>
      <c r="B1810" s="138">
        <f>'Tax Sched 23'!E6</f>
        <v>750788</v>
      </c>
      <c r="D1810" s="2" t="str">
        <f t="shared" si="27"/>
        <v>Error?</v>
      </c>
    </row>
    <row r="1811" spans="1:4" x14ac:dyDescent="0.2">
      <c r="A1811" s="5">
        <v>1750</v>
      </c>
      <c r="B1811" s="138">
        <f>'Tax Sched 23'!E7</f>
        <v>368250</v>
      </c>
      <c r="D1811" s="2" t="str">
        <f t="shared" si="27"/>
        <v>Error?</v>
      </c>
    </row>
    <row r="1812" spans="1:4" x14ac:dyDescent="0.2">
      <c r="A1812" s="5">
        <v>1751</v>
      </c>
      <c r="B1812" s="138">
        <f>'Tax Sched 23'!E8</f>
        <v>110236</v>
      </c>
      <c r="D1812" s="2" t="str">
        <f t="shared" si="27"/>
        <v>Error?</v>
      </c>
    </row>
    <row r="1813" spans="1:4" x14ac:dyDescent="0.2">
      <c r="A1813" s="5">
        <v>1752</v>
      </c>
      <c r="B1813" s="138">
        <f>'Tax Sched 23'!E10</f>
        <v>92062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374197</v>
      </c>
      <c r="D1816" s="2" t="str">
        <f t="shared" si="27"/>
        <v>Error?</v>
      </c>
    </row>
    <row r="1817" spans="1:4" x14ac:dyDescent="0.2">
      <c r="A1817" s="5">
        <v>1756</v>
      </c>
      <c r="B1817" s="138">
        <f>'Tax Sched 23'!E12</f>
        <v>92062</v>
      </c>
      <c r="D1817" s="2" t="str">
        <f t="shared" si="27"/>
        <v>Error?</v>
      </c>
    </row>
    <row r="1818" spans="1:4" x14ac:dyDescent="0.2">
      <c r="A1818" s="5">
        <v>1757</v>
      </c>
      <c r="B1818" s="138">
        <f>'Tax Sched 23'!E14</f>
        <v>73650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8584878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5580000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61117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61117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61117</v>
      </c>
      <c r="D1980" s="2" t="str">
        <f t="shared" si="29"/>
        <v>Error?</v>
      </c>
    </row>
    <row r="1981" spans="1:5" x14ac:dyDescent="0.2">
      <c r="A1981" s="10">
        <v>1920</v>
      </c>
      <c r="D1981" s="2" t="str">
        <f t="shared" si="29"/>
        <v>OK</v>
      </c>
      <c r="E1981" s="2" t="s">
        <v>137</v>
      </c>
    </row>
    <row r="1982" spans="1:5" x14ac:dyDescent="0.2">
      <c r="A1982" s="5">
        <v>1921</v>
      </c>
      <c r="B1982" s="138">
        <f>'Rest Tax Levies-Tort Im 25'!H23</f>
        <v>61117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167371</v>
      </c>
      <c r="D2008" s="2" t="str">
        <f t="shared" si="30"/>
        <v>Error?</v>
      </c>
    </row>
    <row r="2009" spans="1:4" x14ac:dyDescent="0.2">
      <c r="A2009" s="5">
        <v>1948</v>
      </c>
      <c r="B2009" s="138">
        <f>'Cap Outlay Deprec 26'!C8</f>
        <v>17565367</v>
      </c>
      <c r="D2009" s="2" t="str">
        <f t="shared" si="30"/>
        <v>Error?</v>
      </c>
    </row>
    <row r="2010" spans="1:4" x14ac:dyDescent="0.2">
      <c r="A2010" s="5">
        <v>1949</v>
      </c>
      <c r="B2010" s="138">
        <f>'Cap Outlay Deprec 26'!C10</f>
        <v>3661717</v>
      </c>
      <c r="D2010" s="2" t="str">
        <f t="shared" si="30"/>
        <v>Error?</v>
      </c>
    </row>
    <row r="2011" spans="1:4" x14ac:dyDescent="0.2">
      <c r="A2011" s="5">
        <v>1950</v>
      </c>
      <c r="B2011" s="138">
        <f>'Cap Outlay Deprec 26'!C12</f>
        <v>1463952</v>
      </c>
      <c r="D2011" s="2" t="str">
        <f t="shared" si="30"/>
        <v>Error?</v>
      </c>
    </row>
    <row r="2012" spans="1:4" x14ac:dyDescent="0.2">
      <c r="A2012" s="5">
        <v>1951</v>
      </c>
      <c r="B2012" s="138">
        <f>'Cap Outlay Deprec 26'!C13</f>
        <v>144657</v>
      </c>
      <c r="D2012" s="2" t="str">
        <f t="shared" si="30"/>
        <v>Error?</v>
      </c>
    </row>
    <row r="2013" spans="1:4" x14ac:dyDescent="0.2">
      <c r="A2013" s="5">
        <v>1952</v>
      </c>
      <c r="B2013" s="138">
        <f>'Cap Outlay Deprec 26'!C16</f>
        <v>23003064</v>
      </c>
      <c r="C2013" s="2" t="s">
        <v>594</v>
      </c>
      <c r="D2013" s="2" t="str">
        <f t="shared" si="30"/>
        <v>Error?</v>
      </c>
    </row>
    <row r="2014" spans="1:4" x14ac:dyDescent="0.2">
      <c r="A2014" s="5">
        <v>1953</v>
      </c>
      <c r="B2014" s="138">
        <f>'Cap Outlay Deprec 26'!D5</f>
        <v>90187</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277695</v>
      </c>
      <c r="D2017" s="2" t="str">
        <f t="shared" si="30"/>
        <v>Error?</v>
      </c>
    </row>
    <row r="2018" spans="1:4" x14ac:dyDescent="0.2">
      <c r="A2018" s="5">
        <v>1957</v>
      </c>
      <c r="B2018" s="138">
        <f>'Cap Outlay Deprec 26'!D13</f>
        <v>1150</v>
      </c>
      <c r="D2018" s="2" t="str">
        <f t="shared" si="30"/>
        <v>Error?</v>
      </c>
    </row>
    <row r="2019" spans="1:4" x14ac:dyDescent="0.2">
      <c r="A2019" s="5">
        <v>1958</v>
      </c>
      <c r="B2019" s="138">
        <f>'Cap Outlay Deprec 26'!D16</f>
        <v>369032</v>
      </c>
      <c r="C2019" s="2" t="s">
        <v>594</v>
      </c>
      <c r="D2019" s="2" t="str">
        <f t="shared" si="30"/>
        <v>Error?</v>
      </c>
    </row>
    <row r="2020" spans="1:4" x14ac:dyDescent="0.2">
      <c r="A2020" s="5">
        <v>1959</v>
      </c>
      <c r="B2020" s="138">
        <f>'Cap Outlay Deprec 26'!E5</f>
        <v>26400</v>
      </c>
      <c r="D2020" s="2" t="str">
        <f t="shared" si="30"/>
        <v>Error?</v>
      </c>
    </row>
    <row r="2021" spans="1:4" x14ac:dyDescent="0.2">
      <c r="A2021" s="5">
        <v>1960</v>
      </c>
      <c r="B2021" s="138">
        <f>'Cap Outlay Deprec 26'!E8</f>
        <v>130000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49735</v>
      </c>
      <c r="D2023" s="2" t="str">
        <f t="shared" si="30"/>
        <v>Error?</v>
      </c>
    </row>
    <row r="2024" spans="1:4" x14ac:dyDescent="0.2">
      <c r="A2024" s="5">
        <v>1963</v>
      </c>
      <c r="B2024" s="138">
        <f>'Cap Outlay Deprec 26'!E13</f>
        <v>5113</v>
      </c>
      <c r="D2024" s="2" t="str">
        <f t="shared" si="30"/>
        <v>Error?</v>
      </c>
    </row>
    <row r="2025" spans="1:4" x14ac:dyDescent="0.2">
      <c r="A2025" s="5">
        <v>1964</v>
      </c>
      <c r="B2025" s="138">
        <f>'Cap Outlay Deprec 26'!E16</f>
        <v>211248</v>
      </c>
      <c r="C2025" s="2" t="s">
        <v>594</v>
      </c>
      <c r="D2025" s="2" t="str">
        <f t="shared" si="30"/>
        <v>Error?</v>
      </c>
    </row>
    <row r="2026" spans="1:4" x14ac:dyDescent="0.2">
      <c r="A2026" s="5">
        <v>1965</v>
      </c>
      <c r="B2026" s="138">
        <f>'Cap Outlay Deprec 26'!F5</f>
        <v>231158</v>
      </c>
      <c r="C2026" s="2" t="s">
        <v>594</v>
      </c>
      <c r="D2026" s="2" t="str">
        <f t="shared" si="30"/>
        <v>Error?</v>
      </c>
    </row>
    <row r="2027" spans="1:4" x14ac:dyDescent="0.2">
      <c r="A2027" s="5">
        <v>1966</v>
      </c>
      <c r="B2027" s="138">
        <f>'Cap Outlay Deprec 26'!F8</f>
        <v>17435367</v>
      </c>
      <c r="C2027" s="2" t="s">
        <v>594</v>
      </c>
      <c r="D2027" s="2" t="str">
        <f t="shared" si="30"/>
        <v>Error?</v>
      </c>
    </row>
    <row r="2028" spans="1:4" x14ac:dyDescent="0.2">
      <c r="A2028" s="5">
        <v>1967</v>
      </c>
      <c r="B2028" s="138">
        <f>'Cap Outlay Deprec 26'!F10</f>
        <v>3661717</v>
      </c>
      <c r="C2028" s="2" t="s">
        <v>594</v>
      </c>
      <c r="D2028" s="2" t="str">
        <f t="shared" si="30"/>
        <v>Error?</v>
      </c>
    </row>
    <row r="2029" spans="1:4" x14ac:dyDescent="0.2">
      <c r="A2029" s="5">
        <v>1968</v>
      </c>
      <c r="B2029" s="138">
        <f>'Cap Outlay Deprec 26'!F12</f>
        <v>1691912</v>
      </c>
      <c r="C2029" s="2" t="s">
        <v>594</v>
      </c>
      <c r="D2029" s="2" t="str">
        <f t="shared" si="30"/>
        <v>Error?</v>
      </c>
    </row>
    <row r="2030" spans="1:4" x14ac:dyDescent="0.2">
      <c r="A2030" s="5">
        <v>1969</v>
      </c>
      <c r="B2030" s="138">
        <f>'Cap Outlay Deprec 26'!F13</f>
        <v>140694</v>
      </c>
      <c r="C2030" s="2" t="s">
        <v>594</v>
      </c>
      <c r="D2030" s="2" t="str">
        <f t="shared" si="30"/>
        <v>Error?</v>
      </c>
    </row>
    <row r="2031" spans="1:4" x14ac:dyDescent="0.2">
      <c r="A2031" s="5">
        <v>1970</v>
      </c>
      <c r="B2031" s="138">
        <f>'Cap Outlay Deprec 26'!F16</f>
        <v>23160848</v>
      </c>
      <c r="C2031" s="2" t="s">
        <v>594</v>
      </c>
      <c r="D2031" s="2" t="str">
        <f t="shared" si="30"/>
        <v>Error?</v>
      </c>
    </row>
    <row r="2032" spans="1:4" x14ac:dyDescent="0.2">
      <c r="A2032" s="10">
        <v>1971</v>
      </c>
      <c r="D2032" s="2" t="str">
        <f t="shared" si="30"/>
        <v>OK</v>
      </c>
    </row>
    <row r="2033" spans="1:4" x14ac:dyDescent="0.2">
      <c r="A2033" s="5">
        <v>1972</v>
      </c>
      <c r="B2033" s="138">
        <f>'Cap Outlay Deprec 26'!H8</f>
        <v>6847745</v>
      </c>
      <c r="D2033" s="2" t="str">
        <f t="shared" si="30"/>
        <v>Error?</v>
      </c>
    </row>
    <row r="2034" spans="1:4" x14ac:dyDescent="0.2">
      <c r="A2034" s="5">
        <v>1973</v>
      </c>
      <c r="B2034" s="138">
        <f>'Cap Outlay Deprec 26'!H10</f>
        <v>2598688</v>
      </c>
      <c r="D2034" s="2" t="str">
        <f t="shared" si="30"/>
        <v>Error?</v>
      </c>
    </row>
    <row r="2035" spans="1:4" x14ac:dyDescent="0.2">
      <c r="A2035" s="5">
        <v>1974</v>
      </c>
      <c r="B2035" s="138">
        <f>'Cap Outlay Deprec 26'!H12</f>
        <v>858858</v>
      </c>
      <c r="D2035" s="2" t="str">
        <f t="shared" si="30"/>
        <v>Error?</v>
      </c>
    </row>
    <row r="2036" spans="1:4" x14ac:dyDescent="0.2">
      <c r="A2036" s="5">
        <v>1975</v>
      </c>
      <c r="B2036" s="138">
        <f>'Cap Outlay Deprec 26'!H13</f>
        <v>119826</v>
      </c>
      <c r="D2036" s="2" t="str">
        <f t="shared" si="30"/>
        <v>Error?</v>
      </c>
    </row>
    <row r="2037" spans="1:4" x14ac:dyDescent="0.2">
      <c r="A2037" s="5">
        <v>1976</v>
      </c>
      <c r="B2037" s="138">
        <f>'Cap Outlay Deprec 26'!H16</f>
        <v>10425117</v>
      </c>
      <c r="C2037" s="2" t="s">
        <v>594</v>
      </c>
      <c r="D2037" s="2" t="str">
        <f t="shared" si="30"/>
        <v>Error?</v>
      </c>
    </row>
    <row r="2038" spans="1:4" x14ac:dyDescent="0.2">
      <c r="A2038" s="10">
        <v>1977</v>
      </c>
      <c r="D2038" s="2" t="str">
        <f t="shared" si="30"/>
        <v>OK</v>
      </c>
    </row>
    <row r="2039" spans="1:4" x14ac:dyDescent="0.2">
      <c r="A2039" s="5">
        <v>1978</v>
      </c>
      <c r="B2039" s="138">
        <f>'Cap Outlay Deprec 26'!I8</f>
        <v>251137</v>
      </c>
      <c r="D2039" s="2" t="str">
        <f t="shared" si="30"/>
        <v>Error?</v>
      </c>
    </row>
    <row r="2040" spans="1:4" x14ac:dyDescent="0.2">
      <c r="A2040" s="5">
        <v>1979</v>
      </c>
      <c r="B2040" s="138">
        <f>'Cap Outlay Deprec 26'!I10</f>
        <v>140506</v>
      </c>
      <c r="D2040" s="2" t="str">
        <f t="shared" si="30"/>
        <v>Error?</v>
      </c>
    </row>
    <row r="2041" spans="1:4" x14ac:dyDescent="0.2">
      <c r="A2041" s="5">
        <v>1980</v>
      </c>
      <c r="B2041" s="138">
        <f>'Cap Outlay Deprec 26'!I12</f>
        <v>163241</v>
      </c>
      <c r="D2041" s="2" t="str">
        <f t="shared" si="30"/>
        <v>Error?</v>
      </c>
    </row>
    <row r="2042" spans="1:4" x14ac:dyDescent="0.2">
      <c r="A2042" s="5">
        <v>1981</v>
      </c>
      <c r="B2042" s="138">
        <f>'Cap Outlay Deprec 26'!I13</f>
        <v>17521</v>
      </c>
      <c r="D2042" s="2" t="str">
        <f t="shared" si="30"/>
        <v>Error?</v>
      </c>
    </row>
    <row r="2043" spans="1:4" x14ac:dyDescent="0.2">
      <c r="A2043" s="5">
        <v>1982</v>
      </c>
      <c r="B2043" s="138">
        <f>'Cap Outlay Deprec 26'!I16</f>
        <v>572405</v>
      </c>
      <c r="C2043" s="2" t="s">
        <v>594</v>
      </c>
      <c r="D2043" s="2" t="str">
        <f t="shared" si="30"/>
        <v>Error?</v>
      </c>
    </row>
    <row r="2044" spans="1:4" x14ac:dyDescent="0.2">
      <c r="A2044" s="10">
        <v>1983</v>
      </c>
      <c r="D2044" s="2" t="str">
        <f t="shared" si="30"/>
        <v>OK</v>
      </c>
    </row>
    <row r="2045" spans="1:4" x14ac:dyDescent="0.2">
      <c r="A2045" s="5">
        <v>1984</v>
      </c>
      <c r="B2045" s="138">
        <f>'Cap Outlay Deprec 26'!J8</f>
        <v>20583</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49735</v>
      </c>
      <c r="D2047" s="2" t="str">
        <f t="shared" ref="D2047:D2110" si="31">IF(ISBLANK(B2047),"OK",IF(A2047-B2047=0,"OK","Error?"))</f>
        <v>Error?</v>
      </c>
    </row>
    <row r="2048" spans="1:4" x14ac:dyDescent="0.2">
      <c r="A2048" s="5">
        <v>1987</v>
      </c>
      <c r="B2048" s="138">
        <f>'Cap Outlay Deprec 26'!J13</f>
        <v>5113</v>
      </c>
      <c r="D2048" s="2" t="str">
        <f t="shared" si="31"/>
        <v>Error?</v>
      </c>
    </row>
    <row r="2049" spans="1:4" x14ac:dyDescent="0.2">
      <c r="A2049" s="5">
        <v>1988</v>
      </c>
      <c r="B2049" s="138">
        <f>'Cap Outlay Deprec 26'!J16</f>
        <v>75431</v>
      </c>
      <c r="C2049" s="2" t="s">
        <v>594</v>
      </c>
      <c r="D2049" s="2" t="str">
        <f t="shared" si="31"/>
        <v>Error?</v>
      </c>
    </row>
    <row r="2050" spans="1:4" x14ac:dyDescent="0.2">
      <c r="A2050" s="10">
        <v>1989</v>
      </c>
      <c r="D2050" s="2" t="str">
        <f t="shared" si="31"/>
        <v>OK</v>
      </c>
    </row>
    <row r="2051" spans="1:4" x14ac:dyDescent="0.2">
      <c r="A2051" s="5">
        <v>1990</v>
      </c>
      <c r="B2051" s="138">
        <f>'Cap Outlay Deprec 26'!K8</f>
        <v>7078299</v>
      </c>
      <c r="C2051" s="2" t="s">
        <v>594</v>
      </c>
      <c r="D2051" s="2" t="str">
        <f t="shared" si="31"/>
        <v>Error?</v>
      </c>
    </row>
    <row r="2052" spans="1:4" x14ac:dyDescent="0.2">
      <c r="A2052" s="5">
        <v>1991</v>
      </c>
      <c r="B2052" s="138">
        <f>'Cap Outlay Deprec 26'!K10</f>
        <v>2739194</v>
      </c>
      <c r="C2052" s="2" t="s">
        <v>594</v>
      </c>
      <c r="D2052" s="2" t="str">
        <f t="shared" si="31"/>
        <v>Error?</v>
      </c>
    </row>
    <row r="2053" spans="1:4" x14ac:dyDescent="0.2">
      <c r="A2053" s="5">
        <v>1992</v>
      </c>
      <c r="B2053" s="138">
        <f>'Cap Outlay Deprec 26'!K12</f>
        <v>972364</v>
      </c>
      <c r="C2053" s="2" t="s">
        <v>594</v>
      </c>
      <c r="D2053" s="2" t="str">
        <f t="shared" si="31"/>
        <v>Error?</v>
      </c>
    </row>
    <row r="2054" spans="1:4" x14ac:dyDescent="0.2">
      <c r="A2054" s="5">
        <v>1993</v>
      </c>
      <c r="B2054" s="138">
        <f>'Cap Outlay Deprec 26'!K13</f>
        <v>132234</v>
      </c>
      <c r="C2054" s="2" t="s">
        <v>594</v>
      </c>
      <c r="D2054" s="2" t="str">
        <f t="shared" si="31"/>
        <v>Error?</v>
      </c>
    </row>
    <row r="2055" spans="1:4" x14ac:dyDescent="0.2">
      <c r="A2055" s="5">
        <v>1994</v>
      </c>
      <c r="B2055" s="138">
        <f>'Cap Outlay Deprec 26'!K16</f>
        <v>10922091</v>
      </c>
      <c r="C2055" s="2" t="s">
        <v>594</v>
      </c>
      <c r="D2055" s="2" t="str">
        <f t="shared" si="31"/>
        <v>Error?</v>
      </c>
    </row>
    <row r="2056" spans="1:4" x14ac:dyDescent="0.2">
      <c r="A2056" s="5">
        <v>1995</v>
      </c>
      <c r="B2056" s="138">
        <f>'Cap Outlay Deprec 26'!L5</f>
        <v>231158</v>
      </c>
      <c r="C2056" s="2" t="s">
        <v>594</v>
      </c>
      <c r="D2056" s="2" t="str">
        <f t="shared" si="31"/>
        <v>Error?</v>
      </c>
    </row>
    <row r="2057" spans="1:4" x14ac:dyDescent="0.2">
      <c r="A2057" s="5">
        <v>1996</v>
      </c>
      <c r="B2057" s="138">
        <f>'Cap Outlay Deprec 26'!L8</f>
        <v>10357068</v>
      </c>
      <c r="C2057" s="2" t="s">
        <v>594</v>
      </c>
      <c r="D2057" s="2" t="str">
        <f t="shared" si="31"/>
        <v>Error?</v>
      </c>
    </row>
    <row r="2058" spans="1:4" x14ac:dyDescent="0.2">
      <c r="A2058" s="5">
        <v>1997</v>
      </c>
      <c r="B2058" s="138">
        <f>'Cap Outlay Deprec 26'!L10</f>
        <v>922523</v>
      </c>
      <c r="C2058" s="2" t="s">
        <v>594</v>
      </c>
      <c r="D2058" s="2" t="str">
        <f t="shared" si="31"/>
        <v>Error?</v>
      </c>
    </row>
    <row r="2059" spans="1:4" x14ac:dyDescent="0.2">
      <c r="A2059" s="5">
        <v>1998</v>
      </c>
      <c r="B2059" s="138">
        <f>'Cap Outlay Deprec 26'!L12</f>
        <v>719548</v>
      </c>
      <c r="C2059" s="2" t="s">
        <v>594</v>
      </c>
      <c r="D2059" s="2" t="str">
        <f t="shared" si="31"/>
        <v>Error?</v>
      </c>
    </row>
    <row r="2060" spans="1:4" x14ac:dyDescent="0.2">
      <c r="A2060" s="5">
        <v>1999</v>
      </c>
      <c r="B2060" s="138">
        <f>'Cap Outlay Deprec 26'!L13</f>
        <v>8460</v>
      </c>
      <c r="C2060" s="2" t="s">
        <v>594</v>
      </c>
      <c r="D2060" s="2" t="str">
        <f t="shared" si="31"/>
        <v>Error?</v>
      </c>
    </row>
    <row r="2061" spans="1:4" x14ac:dyDescent="0.2">
      <c r="A2061" s="5">
        <v>2000</v>
      </c>
      <c r="B2061" s="138">
        <f>'Cap Outlay Deprec 26'!L16</f>
        <v>12238757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346914</v>
      </c>
      <c r="C2088" s="2" t="s">
        <v>594</v>
      </c>
      <c r="D2088" s="2" t="str">
        <f t="shared" si="31"/>
        <v>Error?</v>
      </c>
    </row>
    <row r="2089" spans="1:4" x14ac:dyDescent="0.2">
      <c r="A2089" s="5">
        <v>2028</v>
      </c>
      <c r="B2089" s="138">
        <f>'Expenditures 15-22'!K92</f>
        <v>17700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186670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5469988</v>
      </c>
      <c r="C2551" s="2" t="s">
        <v>594</v>
      </c>
      <c r="D2551" s="2" t="str">
        <f t="shared" si="38"/>
        <v>Error?</v>
      </c>
    </row>
    <row r="2552" spans="1:4" x14ac:dyDescent="0.2">
      <c r="A2552" s="10">
        <v>2491</v>
      </c>
      <c r="D2552" s="2" t="str">
        <f t="shared" si="38"/>
        <v>OK</v>
      </c>
    </row>
    <row r="2553" spans="1:4" x14ac:dyDescent="0.2">
      <c r="A2553" s="5">
        <v>2492</v>
      </c>
      <c r="B2553" s="138">
        <f>'Acct Summary 7-8'!C6</f>
        <v>2025164</v>
      </c>
      <c r="C2553" s="2" t="s">
        <v>594</v>
      </c>
      <c r="D2553" s="2" t="str">
        <f t="shared" si="38"/>
        <v>Error?</v>
      </c>
    </row>
    <row r="2554" spans="1:4" x14ac:dyDescent="0.2">
      <c r="A2554" s="5">
        <v>2493</v>
      </c>
      <c r="B2554" s="138">
        <f>'Acct Summary 7-8'!C7</f>
        <v>418278</v>
      </c>
      <c r="C2554" s="2" t="s">
        <v>594</v>
      </c>
      <c r="D2554" s="2" t="str">
        <f t="shared" si="38"/>
        <v>Error?</v>
      </c>
    </row>
    <row r="2555" spans="1:4" x14ac:dyDescent="0.2">
      <c r="A2555" s="5">
        <v>2494</v>
      </c>
      <c r="B2555" s="138">
        <f>'Acct Summary 7-8'!C8</f>
        <v>7913430</v>
      </c>
      <c r="C2555" s="2" t="s">
        <v>594</v>
      </c>
      <c r="D2555" s="2" t="str">
        <f t="shared" si="38"/>
        <v>Error?</v>
      </c>
    </row>
    <row r="2556" spans="1:4" x14ac:dyDescent="0.2">
      <c r="A2556" s="5">
        <v>2495</v>
      </c>
      <c r="B2556" s="138">
        <f>'Acct Summary 7-8'!C12</f>
        <v>5054954</v>
      </c>
      <c r="C2556" s="2" t="s">
        <v>594</v>
      </c>
      <c r="D2556" s="2" t="str">
        <f t="shared" si="38"/>
        <v>Error?</v>
      </c>
    </row>
    <row r="2557" spans="1:4" x14ac:dyDescent="0.2">
      <c r="A2557" s="5">
        <v>2496</v>
      </c>
      <c r="B2557" s="138">
        <f>'Acct Summary 7-8'!C13</f>
        <v>2239053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364614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7658621</v>
      </c>
      <c r="C2561" s="2" t="s">
        <v>594</v>
      </c>
      <c r="D2561" s="2" t="str">
        <f t="shared" si="39"/>
        <v>Error?</v>
      </c>
    </row>
    <row r="2562" spans="1:4" x14ac:dyDescent="0.2">
      <c r="A2562" s="5">
        <v>2501</v>
      </c>
      <c r="B2562" s="138">
        <f>'Acct Summary 7-8'!C20</f>
        <v>254809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868716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868716</v>
      </c>
      <c r="C2568" s="2" t="s">
        <v>594</v>
      </c>
      <c r="D2568" s="2" t="str">
        <f t="shared" si="39"/>
        <v>Error?</v>
      </c>
    </row>
    <row r="2569" spans="1:4" x14ac:dyDescent="0.2">
      <c r="A2569" s="5">
        <v>2508</v>
      </c>
      <c r="B2569" s="138">
        <f>'Acct Summary 7-8'!D13</f>
        <v>899101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899101</v>
      </c>
      <c r="C2573" s="2" t="s">
        <v>594</v>
      </c>
      <c r="D2573" s="2" t="str">
        <f t="shared" si="39"/>
        <v>Error?</v>
      </c>
    </row>
    <row r="2574" spans="1:4" x14ac:dyDescent="0.2">
      <c r="A2574" s="5">
        <v>2513</v>
      </c>
      <c r="B2574" s="138">
        <f>'Acct Summary 7-8'!D20</f>
        <v>-30385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421696</v>
      </c>
      <c r="C2591" s="2" t="s">
        <v>594</v>
      </c>
      <c r="D2591" s="2" t="str">
        <f t="shared" si="39"/>
        <v>Error?</v>
      </c>
    </row>
    <row r="2592" spans="1:4" x14ac:dyDescent="0.2">
      <c r="A2592" s="10">
        <v>2531</v>
      </c>
      <c r="D2592" s="2" t="str">
        <f t="shared" si="39"/>
        <v>OK</v>
      </c>
    </row>
    <row r="2593" spans="1:4" x14ac:dyDescent="0.2">
      <c r="A2593" s="5">
        <v>2532</v>
      </c>
      <c r="B2593" s="138">
        <f>'Acct Summary 7-8'!F6</f>
        <v>1292916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1714612</v>
      </c>
      <c r="C2595" s="2" t="s">
        <v>594</v>
      </c>
      <c r="D2595" s="2" t="str">
        <f t="shared" si="39"/>
        <v>Error?</v>
      </c>
    </row>
    <row r="2596" spans="1:4" x14ac:dyDescent="0.2">
      <c r="A2596" s="5">
        <v>2535</v>
      </c>
      <c r="B2596" s="138">
        <f>'Acct Summary 7-8'!F13</f>
        <v>1104622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1104622</v>
      </c>
      <c r="C2600" s="2" t="s">
        <v>594</v>
      </c>
      <c r="D2600" s="2" t="str">
        <f t="shared" si="39"/>
        <v>Error?</v>
      </c>
    </row>
    <row r="2601" spans="1:4" x14ac:dyDescent="0.2">
      <c r="A2601" s="5">
        <v>2540</v>
      </c>
      <c r="B2601" s="138">
        <f>'Acct Summary 7-8'!F20</f>
        <v>609990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289310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289310</v>
      </c>
      <c r="C2606" s="2" t="s">
        <v>594</v>
      </c>
      <c r="D2606" s="2" t="str">
        <f t="shared" si="39"/>
        <v>Error?</v>
      </c>
    </row>
    <row r="2607" spans="1:4" x14ac:dyDescent="0.2">
      <c r="A2607" s="5">
        <v>2546</v>
      </c>
      <c r="B2607" s="138">
        <f>'Acct Summary 7-8'!G12</f>
        <v>91515</v>
      </c>
      <c r="C2607" s="2" t="s">
        <v>594</v>
      </c>
      <c r="D2607" s="2" t="str">
        <f t="shared" si="39"/>
        <v>Error?</v>
      </c>
    </row>
    <row r="2608" spans="1:4" x14ac:dyDescent="0.2">
      <c r="A2608" s="5">
        <v>2547</v>
      </c>
      <c r="B2608" s="138">
        <f>'Acct Summary 7-8'!G13</f>
        <v>181399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272914</v>
      </c>
      <c r="C2612" s="2" t="s">
        <v>594</v>
      </c>
      <c r="D2612" s="2" t="str">
        <f t="shared" si="39"/>
        <v>Error?</v>
      </c>
    </row>
    <row r="2613" spans="1:4" x14ac:dyDescent="0.2">
      <c r="A2613" s="5">
        <v>2552</v>
      </c>
      <c r="B2613" s="138">
        <f>'Acct Summary 7-8'!G20</f>
        <v>16396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674596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783623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845208</v>
      </c>
      <c r="C2634" s="2" t="s">
        <v>594</v>
      </c>
      <c r="D2634" s="2" t="str">
        <f t="shared" si="40"/>
        <v>Error?</v>
      </c>
    </row>
    <row r="2635" spans="1:4" x14ac:dyDescent="0.2">
      <c r="A2635" s="5">
        <v>2574</v>
      </c>
      <c r="B2635" s="138">
        <f>'Acct Summary 7-8'!E17</f>
        <v>845208</v>
      </c>
      <c r="C2635" s="2" t="s">
        <v>594</v>
      </c>
      <c r="D2635" s="2" t="str">
        <f t="shared" si="40"/>
        <v>Error?</v>
      </c>
    </row>
    <row r="2636" spans="1:4" x14ac:dyDescent="0.2">
      <c r="A2636" s="5">
        <v>2575</v>
      </c>
      <c r="B2636" s="138">
        <f>'Acct Summary 7-8'!E20</f>
        <v>-61585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105973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105973</v>
      </c>
      <c r="C2658" s="2" t="s">
        <v>594</v>
      </c>
      <c r="D2658" s="2" t="str">
        <f t="shared" si="40"/>
        <v>Error?</v>
      </c>
    </row>
    <row r="2659" spans="1:4" x14ac:dyDescent="0.2">
      <c r="A2659" s="5">
        <v>2598</v>
      </c>
      <c r="B2659" s="138">
        <f>'Acct Summary 7-8'!H13</f>
        <v>90187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90187</v>
      </c>
      <c r="C2661" s="2" t="s">
        <v>594</v>
      </c>
      <c r="D2661" s="2" t="str">
        <f t="shared" si="40"/>
        <v>Error?</v>
      </c>
    </row>
    <row r="2662" spans="1:4" x14ac:dyDescent="0.2">
      <c r="A2662" s="5">
        <v>2601</v>
      </c>
      <c r="B2662" s="138">
        <f>'Acct Summary 7-8'!H20</f>
        <v>15786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346704</v>
      </c>
      <c r="C2789" s="2" t="s">
        <v>594</v>
      </c>
      <c r="D2789" s="2" t="str">
        <f t="shared" si="42"/>
        <v>Error?</v>
      </c>
    </row>
    <row r="2790" spans="1:4" x14ac:dyDescent="0.2">
      <c r="A2790" s="5">
        <v>2729</v>
      </c>
      <c r="B2790" s="138">
        <f>'Expenditures 15-22'!E102</f>
        <v>346704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89987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472870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146369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340564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472870</v>
      </c>
      <c r="D2912" s="2" t="str">
        <f t="shared" si="44"/>
        <v>Error?</v>
      </c>
    </row>
    <row r="2913" spans="1:4" x14ac:dyDescent="0.2">
      <c r="A2913" s="5">
        <v>2852</v>
      </c>
      <c r="B2913" s="138">
        <f>'Assets-Liab 5-6'!I41</f>
        <v>472870</v>
      </c>
      <c r="C2913" s="2" t="s">
        <v>594</v>
      </c>
      <c r="D2913" s="2" t="str">
        <f t="shared" si="44"/>
        <v>Error?</v>
      </c>
    </row>
    <row r="2914" spans="1:4" x14ac:dyDescent="0.2">
      <c r="A2914" s="5">
        <v>2853</v>
      </c>
      <c r="B2914" s="138">
        <f>'Assets-Liab 5-6'!L33</f>
        <v>340564</v>
      </c>
      <c r="D2914" s="2" t="str">
        <f t="shared" si="44"/>
        <v>Error?</v>
      </c>
    </row>
    <row r="2915" spans="1:4" x14ac:dyDescent="0.2">
      <c r="A2915" s="10">
        <v>2854</v>
      </c>
      <c r="D2915" s="2" t="str">
        <f t="shared" si="44"/>
        <v>OK</v>
      </c>
    </row>
    <row r="2916" spans="1:4" x14ac:dyDescent="0.2">
      <c r="A2916" s="5">
        <v>2855</v>
      </c>
      <c r="B2916" s="138">
        <f>'Assets-Liab 5-6'!L34</f>
        <v>340564</v>
      </c>
      <c r="C2916" s="2" t="s">
        <v>594</v>
      </c>
      <c r="D2916" s="2" t="str">
        <f t="shared" si="44"/>
        <v>Error?</v>
      </c>
    </row>
    <row r="2917" spans="1:4" x14ac:dyDescent="0.2">
      <c r="A2917" s="5">
        <v>2856</v>
      </c>
      <c r="B2917" s="138">
        <f>'Assets-Liab 5-6'!L41</f>
        <v>340564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346704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210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210</v>
      </c>
      <c r="C2973" s="2" t="s">
        <v>594</v>
      </c>
      <c r="D2973" s="2" t="str">
        <f t="shared" si="45"/>
        <v>Error?</v>
      </c>
    </row>
    <row r="2974" spans="1:4" x14ac:dyDescent="0.2">
      <c r="A2974" s="5">
        <v>2913</v>
      </c>
      <c r="B2974" s="138">
        <f>'Expenditures 15-22'!K79</f>
        <v>346704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3667</v>
      </c>
      <c r="D3055" s="2" t="str">
        <f t="shared" si="46"/>
        <v>Error?</v>
      </c>
    </row>
    <row r="3056" spans="1:4" x14ac:dyDescent="0.2">
      <c r="A3056" s="5">
        <v>2995</v>
      </c>
      <c r="B3056" s="138">
        <f>'Expenditures 15-22'!D10</f>
        <v>38</v>
      </c>
      <c r="D3056" s="2" t="str">
        <f t="shared" si="46"/>
        <v>Error?</v>
      </c>
    </row>
    <row r="3057" spans="1:4" x14ac:dyDescent="0.2">
      <c r="A3057" s="5">
        <v>2996</v>
      </c>
      <c r="B3057" s="138">
        <f>'Expenditures 15-22'!E10</f>
        <v>5120</v>
      </c>
      <c r="D3057" s="2" t="str">
        <f t="shared" si="46"/>
        <v>Error?</v>
      </c>
    </row>
    <row r="3058" spans="1:4" x14ac:dyDescent="0.2">
      <c r="A3058" s="5">
        <v>2997</v>
      </c>
      <c r="B3058" s="138">
        <f>'Expenditures 15-22'!F10</f>
        <v>10604</v>
      </c>
      <c r="D3058" s="2" t="str">
        <f t="shared" si="46"/>
        <v>Error?</v>
      </c>
    </row>
    <row r="3059" spans="1:4" x14ac:dyDescent="0.2">
      <c r="A3059" s="5">
        <v>2998</v>
      </c>
      <c r="B3059" s="138">
        <f>'Expenditures 15-22'!G10</f>
        <v>71321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90750</v>
      </c>
      <c r="C3062" s="2" t="s">
        <v>594</v>
      </c>
      <c r="D3062" s="2" t="str">
        <f t="shared" si="46"/>
        <v>Error?</v>
      </c>
    </row>
    <row r="3063" spans="1:4" x14ac:dyDescent="0.2">
      <c r="A3063" s="10">
        <v>3002</v>
      </c>
      <c r="D3063" s="2" t="str">
        <f t="shared" si="46"/>
        <v>OK</v>
      </c>
    </row>
    <row r="3064" spans="1:4" x14ac:dyDescent="0.2">
      <c r="A3064" s="5">
        <v>3003</v>
      </c>
      <c r="B3064" s="138">
        <f>'Expenditures 15-22'!D219</f>
        <v>570</v>
      </c>
      <c r="D3064" s="2" t="str">
        <f t="shared" si="46"/>
        <v>Error?</v>
      </c>
    </row>
    <row r="3065" spans="1:4" x14ac:dyDescent="0.2">
      <c r="A3065" s="5">
        <v>3004</v>
      </c>
      <c r="B3065" s="138">
        <f>'Expenditures 15-22'!K219</f>
        <v>570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76543</v>
      </c>
      <c r="C3225" s="2" t="s">
        <v>594</v>
      </c>
      <c r="D3225" s="2" t="str">
        <f t="shared" si="49"/>
        <v>Error?</v>
      </c>
    </row>
    <row r="3226" spans="1:4" x14ac:dyDescent="0.2">
      <c r="A3226" s="5">
        <v>3165</v>
      </c>
      <c r="B3226" s="138">
        <f>'Acct Summary 7-8'!I8</f>
        <v>76543</v>
      </c>
      <c r="C3226" s="2" t="s">
        <v>594</v>
      </c>
      <c r="D3226" s="2" t="str">
        <f t="shared" si="49"/>
        <v>Error?</v>
      </c>
    </row>
    <row r="3227" spans="1:4" x14ac:dyDescent="0.2">
      <c r="A3227" s="5">
        <v>3166</v>
      </c>
      <c r="B3227" s="138">
        <f>'Acct Summary 7-8'!I20</f>
        <v>76543</v>
      </c>
      <c r="C3227" s="2" t="s">
        <v>594</v>
      </c>
      <c r="D3227" s="2" t="str">
        <f t="shared" si="49"/>
        <v>Error?</v>
      </c>
    </row>
    <row r="3228" spans="1:4" x14ac:dyDescent="0.2">
      <c r="A3228" s="5">
        <v>3167</v>
      </c>
      <c r="B3228" s="138">
        <f>'Acct Summary 7-8'!C43</f>
        <v>81628</v>
      </c>
      <c r="D3228" s="2" t="str">
        <f t="shared" si="49"/>
        <v>Error?</v>
      </c>
    </row>
    <row r="3229" spans="1:4" x14ac:dyDescent="0.2">
      <c r="A3229" s="5">
        <v>3168</v>
      </c>
      <c r="B3229" s="138">
        <f>'Acct Summary 7-8'!C44</f>
        <v>81628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81628</v>
      </c>
      <c r="C3232" s="2" t="s">
        <v>594</v>
      </c>
      <c r="D3232" s="2" t="str">
        <f t="shared" si="49"/>
        <v>Error?</v>
      </c>
    </row>
    <row r="3233" spans="1:4" x14ac:dyDescent="0.2">
      <c r="A3233" s="5">
        <v>3172</v>
      </c>
      <c r="B3233" s="138">
        <f>'Acct Summary 7-8'!C78</f>
        <v>336437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-30385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276785</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276785</v>
      </c>
      <c r="C3255" s="2" t="s">
        <v>594</v>
      </c>
      <c r="D3255" s="2" t="str">
        <f t="shared" si="49"/>
        <v>Error?</v>
      </c>
    </row>
    <row r="3256" spans="1:4" x14ac:dyDescent="0.2">
      <c r="A3256" s="5">
        <v>3195</v>
      </c>
      <c r="B3256" s="138">
        <f>'Acct Summary 7-8'!F78</f>
        <v>886775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16396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-61585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15786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76543</v>
      </c>
      <c r="C3320" s="2" t="s">
        <v>594</v>
      </c>
      <c r="D3320" s="2" t="str">
        <f t="shared" si="50"/>
        <v>Error?</v>
      </c>
    </row>
    <row r="3321" spans="1:4" x14ac:dyDescent="0.2">
      <c r="A3321" s="5">
        <v>3260</v>
      </c>
      <c r="B3321" s="138">
        <f>'Acct Summary 7-8'!I79</f>
        <v>396327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472870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433526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67197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503202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65870</v>
      </c>
      <c r="D3387" s="2" t="str">
        <f t="shared" si="51"/>
        <v>Error?</v>
      </c>
    </row>
    <row r="3388" spans="1:4" x14ac:dyDescent="0.2">
      <c r="A3388" s="5">
        <v>3327</v>
      </c>
      <c r="B3388" s="138">
        <f>'Expenditures 15-22'!D217</f>
        <v>8114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65870</v>
      </c>
      <c r="C3390" s="2" t="s">
        <v>594</v>
      </c>
      <c r="D3390" s="2" t="str">
        <f t="shared" si="51"/>
        <v>Error?</v>
      </c>
    </row>
    <row r="3391" spans="1:4" x14ac:dyDescent="0.2">
      <c r="A3391" s="5">
        <v>3330</v>
      </c>
      <c r="B3391" s="138">
        <f>'Expenditures 15-22'!K217</f>
        <v>8114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1891649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40833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182495</v>
      </c>
      <c r="D3417" s="2" t="str">
        <f t="shared" si="52"/>
        <v>Error?</v>
      </c>
    </row>
    <row r="3418" spans="1:4" x14ac:dyDescent="0.2">
      <c r="A3418" s="10">
        <v>3357</v>
      </c>
      <c r="D3418" s="2" t="str">
        <f t="shared" si="52"/>
        <v>OK</v>
      </c>
    </row>
    <row r="3419" spans="1:4" x14ac:dyDescent="0.2">
      <c r="A3419" s="5">
        <v>3358</v>
      </c>
      <c r="B3419" s="138">
        <f>'Assets-Liab 5-6'!F4</f>
        <v>1407441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307886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153370</v>
      </c>
      <c r="D3425" s="2" t="str">
        <f t="shared" si="52"/>
        <v>Error?</v>
      </c>
    </row>
    <row r="3426" spans="1:4" x14ac:dyDescent="0.2">
      <c r="A3426" s="10">
        <v>3365</v>
      </c>
      <c r="D3426" s="2" t="str">
        <f t="shared" si="52"/>
        <v>OK</v>
      </c>
    </row>
    <row r="3427" spans="1:4" x14ac:dyDescent="0.2">
      <c r="A3427" s="5">
        <v>3366</v>
      </c>
      <c r="B3427" s="138">
        <f>'Assets-Liab 5-6'!I4</f>
        <v>382883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194195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150528</v>
      </c>
      <c r="C3446" s="2" t="s">
        <v>594</v>
      </c>
      <c r="D3446" s="2" t="str">
        <f t="shared" si="52"/>
        <v>Error?</v>
      </c>
    </row>
    <row r="3447" spans="1:4" x14ac:dyDescent="0.2">
      <c r="A3447" s="5">
        <v>3386</v>
      </c>
      <c r="B3447" s="138">
        <f>'Tax Sched 23'!D16</f>
        <v>150390</v>
      </c>
      <c r="C3447" s="2" t="s">
        <v>594</v>
      </c>
      <c r="D3447" s="2" t="str">
        <f t="shared" si="52"/>
        <v>Error?</v>
      </c>
    </row>
    <row r="3448" spans="1:4" x14ac:dyDescent="0.2">
      <c r="A3448" s="5">
        <v>3387</v>
      </c>
      <c r="B3448" s="138">
        <f>'Tax Sched 23'!C16</f>
        <v>138</v>
      </c>
      <c r="D3448" s="2" t="str">
        <f t="shared" si="52"/>
        <v>Error?</v>
      </c>
    </row>
    <row r="3449" spans="1:4" x14ac:dyDescent="0.2">
      <c r="A3449" s="5">
        <v>3388</v>
      </c>
      <c r="B3449" s="138">
        <f>'Tax Sched 23'!F16</f>
        <v>187062</v>
      </c>
      <c r="C3449" s="2" t="s">
        <v>594</v>
      </c>
      <c r="D3449" s="2" t="str">
        <f t="shared" si="52"/>
        <v>Error?</v>
      </c>
    </row>
    <row r="3450" spans="1:4" x14ac:dyDescent="0.2">
      <c r="A3450" s="5">
        <v>3389</v>
      </c>
      <c r="B3450" s="138">
        <f>'Tax Sched 23'!E16</f>
        <v>187200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276785</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172070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172070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172070</v>
      </c>
      <c r="D3567" s="2" t="str">
        <f t="shared" si="54"/>
        <v>Error?</v>
      </c>
    </row>
    <row r="3568" spans="1:4" x14ac:dyDescent="0.2">
      <c r="A3568" s="5">
        <v>3507</v>
      </c>
      <c r="B3568" s="138">
        <f>'Assets-Liab 5-6'!K41</f>
        <v>172070</v>
      </c>
      <c r="C3568" s="2" t="s">
        <v>594</v>
      </c>
      <c r="D3568" s="2" t="str">
        <f t="shared" si="54"/>
        <v>Error?</v>
      </c>
    </row>
    <row r="3569" spans="1:4" x14ac:dyDescent="0.2">
      <c r="A3569" s="5">
        <v>3508</v>
      </c>
      <c r="B3569" s="138">
        <f>'Acct Summary 7-8'!K4</f>
        <v>76229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76229</v>
      </c>
      <c r="C3571" s="2" t="s">
        <v>594</v>
      </c>
      <c r="D3571" s="2" t="str">
        <f t="shared" si="54"/>
        <v>Error?</v>
      </c>
    </row>
    <row r="3572" spans="1:4" x14ac:dyDescent="0.2">
      <c r="A3572" s="5">
        <v>3511</v>
      </c>
      <c r="B3572" s="138">
        <f>'Acct Summary 7-8'!K13</f>
        <v>7043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7043</v>
      </c>
      <c r="C3575" s="2" t="s">
        <v>594</v>
      </c>
      <c r="D3575" s="2" t="str">
        <f t="shared" si="54"/>
        <v>Error?</v>
      </c>
    </row>
    <row r="3576" spans="1:4" x14ac:dyDescent="0.2">
      <c r="A3576" s="5">
        <v>3515</v>
      </c>
      <c r="B3576" s="138">
        <f>'Acct Summary 7-8'!K20</f>
        <v>69186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69186</v>
      </c>
      <c r="C3588" s="2" t="s">
        <v>594</v>
      </c>
      <c r="D3588" s="2" t="str">
        <f t="shared" si="55"/>
        <v>Error?</v>
      </c>
    </row>
    <row r="3589" spans="1:4" x14ac:dyDescent="0.2">
      <c r="A3589" s="5">
        <v>3528</v>
      </c>
      <c r="B3589" s="138">
        <f>'Acct Summary 7-8'!K79</f>
        <v>102884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172070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7043</v>
      </c>
      <c r="D3632" s="2" t="str">
        <f t="shared" si="55"/>
        <v>Error?</v>
      </c>
    </row>
    <row r="3633" spans="1:4" x14ac:dyDescent="0.2">
      <c r="A3633" s="5">
        <v>3572</v>
      </c>
      <c r="B3633" s="138">
        <f>'Expenditures 15-22'!E350</f>
        <v>7043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7043</v>
      </c>
      <c r="C3635" s="2" t="s">
        <v>594</v>
      </c>
      <c r="D3635" s="2" t="str">
        <f t="shared" si="55"/>
        <v>Error?</v>
      </c>
    </row>
    <row r="3636" spans="1:4" x14ac:dyDescent="0.2">
      <c r="A3636" s="5">
        <v>3575</v>
      </c>
      <c r="B3636" s="138">
        <f>'Expenditures 15-22'!E367</f>
        <v>7043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7043</v>
      </c>
      <c r="C3669" s="2" t="s">
        <v>594</v>
      </c>
      <c r="D3669" s="2" t="str">
        <f t="shared" si="56"/>
        <v>Error?</v>
      </c>
    </row>
    <row r="3670" spans="1:4" x14ac:dyDescent="0.2">
      <c r="A3670" s="5">
        <v>3609</v>
      </c>
      <c r="B3670" s="138">
        <f>'Expenditures 15-22'!K350</f>
        <v>7043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7043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7043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69186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76229</v>
      </c>
      <c r="C3725" s="2" t="s">
        <v>594</v>
      </c>
      <c r="D3725" s="2" t="str">
        <f t="shared" si="57"/>
        <v>Error?</v>
      </c>
    </row>
    <row r="3726" spans="1:4" x14ac:dyDescent="0.2">
      <c r="A3726" s="5">
        <v>3665</v>
      </c>
      <c r="B3726" s="138">
        <f>'Tax Sched 23'!D13</f>
        <v>76161</v>
      </c>
      <c r="C3726" s="2" t="s">
        <v>594</v>
      </c>
      <c r="D3726" s="2" t="str">
        <f t="shared" si="57"/>
        <v>Error?</v>
      </c>
    </row>
    <row r="3727" spans="1:4" x14ac:dyDescent="0.2">
      <c r="A3727" s="5">
        <v>3666</v>
      </c>
      <c r="B3727" s="138">
        <f>'Tax Sched 23'!C13</f>
        <v>68</v>
      </c>
      <c r="D3727" s="2" t="str">
        <f t="shared" si="57"/>
        <v>Error?</v>
      </c>
    </row>
    <row r="3728" spans="1:4" x14ac:dyDescent="0.2">
      <c r="A3728" s="5">
        <v>3667</v>
      </c>
      <c r="B3728" s="138">
        <f>'Tax Sched 23'!F13</f>
        <v>91994</v>
      </c>
      <c r="C3728" s="2" t="s">
        <v>594</v>
      </c>
      <c r="D3728" s="2" t="str">
        <f t="shared" si="57"/>
        <v>Error?</v>
      </c>
    </row>
    <row r="3729" spans="1:4" x14ac:dyDescent="0.2">
      <c r="A3729" s="5">
        <v>3668</v>
      </c>
      <c r="B3729" s="138">
        <f>'Tax Sched 23'!E13</f>
        <v>92062</v>
      </c>
      <c r="D3729" s="2" t="str">
        <f t="shared" si="57"/>
        <v>Error?</v>
      </c>
    </row>
    <row r="3730" spans="1:4" x14ac:dyDescent="0.2">
      <c r="A3730" s="5">
        <v>3669</v>
      </c>
      <c r="B3730" s="138">
        <f>'ICR Computation 30'!E10</f>
        <v>227248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3291195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11204625</v>
      </c>
      <c r="C4122" s="2" t="s">
        <v>594</v>
      </c>
      <c r="D4122" s="2" t="str">
        <f t="shared" si="63"/>
        <v>Error?</v>
      </c>
    </row>
    <row r="4123" spans="1:4" x14ac:dyDescent="0.2">
      <c r="A4123" s="5">
        <v>4062</v>
      </c>
      <c r="B4123" s="138">
        <f>'Acct Summary 7-8'!D10</f>
        <v>868716</v>
      </c>
      <c r="C4123" s="2" t="s">
        <v>594</v>
      </c>
      <c r="D4123" s="2" t="str">
        <f t="shared" si="63"/>
        <v>Error?</v>
      </c>
    </row>
    <row r="4124" spans="1:4" x14ac:dyDescent="0.2">
      <c r="A4124" s="5">
        <v>4063</v>
      </c>
      <c r="B4124" s="138">
        <f>'Acct Summary 7-8'!E10</f>
        <v>783623</v>
      </c>
      <c r="C4124" s="2" t="s">
        <v>594</v>
      </c>
      <c r="D4124" s="2" t="str">
        <f t="shared" si="63"/>
        <v>Error?</v>
      </c>
    </row>
    <row r="4125" spans="1:4" x14ac:dyDescent="0.2">
      <c r="A4125" s="5">
        <v>4064</v>
      </c>
      <c r="B4125" s="138">
        <f>'Acct Summary 7-8'!F10</f>
        <v>1714612</v>
      </c>
      <c r="C4125" s="2" t="s">
        <v>594</v>
      </c>
      <c r="D4125" s="2" t="str">
        <f t="shared" si="63"/>
        <v>Error?</v>
      </c>
    </row>
    <row r="4126" spans="1:4" x14ac:dyDescent="0.2">
      <c r="A4126" s="5">
        <v>4065</v>
      </c>
      <c r="B4126" s="138">
        <f>'Acct Summary 7-8'!G10</f>
        <v>289310</v>
      </c>
      <c r="C4126" s="2" t="s">
        <v>594</v>
      </c>
      <c r="D4126" s="2" t="str">
        <f t="shared" si="63"/>
        <v>Error?</v>
      </c>
    </row>
    <row r="4127" spans="1:4" x14ac:dyDescent="0.2">
      <c r="A4127" s="5">
        <v>4066</v>
      </c>
      <c r="B4127" s="138">
        <f>'Acct Summary 7-8'!H10</f>
        <v>105973</v>
      </c>
      <c r="C4127" s="2" t="s">
        <v>594</v>
      </c>
      <c r="D4127" s="2" t="str">
        <f t="shared" si="63"/>
        <v>Error?</v>
      </c>
    </row>
    <row r="4128" spans="1:4" x14ac:dyDescent="0.2">
      <c r="A4128" s="5">
        <v>4067</v>
      </c>
      <c r="B4128" s="138">
        <f>'Acct Summary 7-8'!I10</f>
        <v>76543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76229</v>
      </c>
      <c r="C4130" s="2" t="s">
        <v>594</v>
      </c>
      <c r="D4130" s="2" t="str">
        <f t="shared" si="63"/>
        <v>Error?</v>
      </c>
    </row>
    <row r="4131" spans="1:4" x14ac:dyDescent="0.2">
      <c r="A4131" s="5">
        <v>4070</v>
      </c>
      <c r="B4131" s="138">
        <f>'Acct Summary 7-8'!C18</f>
        <v>3291195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10949816</v>
      </c>
      <c r="C4136" s="2" t="s">
        <v>594</v>
      </c>
      <c r="D4136" s="2" t="str">
        <f t="shared" si="63"/>
        <v>Error?</v>
      </c>
    </row>
    <row r="4137" spans="1:4" x14ac:dyDescent="0.2">
      <c r="A4137" s="5">
        <v>4076</v>
      </c>
      <c r="B4137" s="138">
        <f>'Acct Summary 7-8'!D19</f>
        <v>899101</v>
      </c>
      <c r="C4137" s="2" t="s">
        <v>594</v>
      </c>
      <c r="D4137" s="2" t="str">
        <f t="shared" si="63"/>
        <v>Error?</v>
      </c>
    </row>
    <row r="4138" spans="1:4" x14ac:dyDescent="0.2">
      <c r="A4138" s="5">
        <v>4077</v>
      </c>
      <c r="B4138" s="138">
        <f>'Acct Summary 7-8'!E19</f>
        <v>845208</v>
      </c>
      <c r="C4138" s="2" t="s">
        <v>594</v>
      </c>
      <c r="D4138" s="2" t="str">
        <f t="shared" si="63"/>
        <v>Error?</v>
      </c>
    </row>
    <row r="4139" spans="1:4" x14ac:dyDescent="0.2">
      <c r="A4139" s="5">
        <v>4078</v>
      </c>
      <c r="B4139" s="138">
        <f>'Acct Summary 7-8'!F19</f>
        <v>1104622</v>
      </c>
      <c r="C4139" s="2" t="s">
        <v>594</v>
      </c>
      <c r="D4139" s="2" t="str">
        <f t="shared" si="63"/>
        <v>Error?</v>
      </c>
    </row>
    <row r="4140" spans="1:4" x14ac:dyDescent="0.2">
      <c r="A4140" s="5">
        <v>4079</v>
      </c>
      <c r="B4140" s="138">
        <f>'Acct Summary 7-8'!G19</f>
        <v>272914</v>
      </c>
      <c r="C4140" s="2" t="s">
        <v>594</v>
      </c>
      <c r="D4140" s="2" t="str">
        <f t="shared" si="63"/>
        <v>Error?</v>
      </c>
    </row>
    <row r="4141" spans="1:4" x14ac:dyDescent="0.2">
      <c r="A4141" s="5">
        <v>4080</v>
      </c>
      <c r="B4141" s="138">
        <f>'Acct Summary 7-8'!H19</f>
        <v>90187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7043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5075000</v>
      </c>
      <c r="C4171" s="2" t="s">
        <v>594</v>
      </c>
      <c r="D4171" s="2" t="str">
        <f t="shared" si="64"/>
        <v>Error?</v>
      </c>
    </row>
    <row r="4172" spans="1:4" x14ac:dyDescent="0.2">
      <c r="A4172" s="5">
        <v>4111</v>
      </c>
      <c r="B4172" s="138">
        <f>'Short-Term Long-Term Debt 24'!J49</f>
        <v>4892505</v>
      </c>
      <c r="C4172" s="2" t="s">
        <v>594</v>
      </c>
      <c r="D4172" s="2" t="str">
        <f t="shared" si="64"/>
        <v>Error?</v>
      </c>
    </row>
    <row r="4173" spans="1:4" x14ac:dyDescent="0.2">
      <c r="A4173" s="5">
        <v>4112</v>
      </c>
      <c r="B4173" s="138">
        <f>'Short-Term Long-Term Debt 24'!H49</f>
        <v>505000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3700</v>
      </c>
      <c r="C4268" s="2" t="s">
        <v>594</v>
      </c>
      <c r="D4268" s="2" t="str">
        <f t="shared" si="65"/>
        <v>Error?</v>
      </c>
    </row>
    <row r="4269" spans="1:5" x14ac:dyDescent="0.2">
      <c r="A4269" s="12">
        <v>4208</v>
      </c>
      <c r="B4269" s="138">
        <f>'FP Info 3'!J16</f>
        <v>3920156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1035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13618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6524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54151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109027</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109027</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5650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184124898</v>
      </c>
      <c r="D4995" s="2" t="str">
        <f t="shared" si="77"/>
        <v>Error?</v>
      </c>
    </row>
    <row r="4996" spans="1:4" x14ac:dyDescent="0.2">
      <c r="A4996" s="12">
        <v>4935</v>
      </c>
      <c r="B4996" s="138">
        <f>'FP Info 3'!H31</f>
        <v>25409235.924000002</v>
      </c>
      <c r="D4996" s="2" t="str">
        <f t="shared" si="77"/>
        <v>Error?</v>
      </c>
    </row>
    <row r="4997" spans="1:4" x14ac:dyDescent="0.2">
      <c r="A4997" s="12">
        <v>4936</v>
      </c>
      <c r="B4997" s="138">
        <f>'FP Info 3'!H37</f>
        <v>5075000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76229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4602354</v>
      </c>
      <c r="D5061" s="2" t="str">
        <f t="shared" si="78"/>
        <v>Error?</v>
      </c>
    </row>
    <row r="5062" spans="1:4" x14ac:dyDescent="0.2">
      <c r="A5062" s="10">
        <v>5001</v>
      </c>
      <c r="D5062" s="2" t="str">
        <f t="shared" si="78"/>
        <v>OK</v>
      </c>
    </row>
    <row r="5063" spans="1:4" x14ac:dyDescent="0.2">
      <c r="A5063" s="5">
        <v>5002</v>
      </c>
      <c r="B5063" s="138">
        <f>'Revenues 9-14'!C7</f>
        <v>61117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4739700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299666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299666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14771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14771</v>
      </c>
      <c r="C5090" s="2" t="s">
        <v>594</v>
      </c>
      <c r="D5090" s="2" t="str">
        <f t="shared" si="78"/>
        <v>Error?</v>
      </c>
    </row>
    <row r="5091" spans="1:4" x14ac:dyDescent="0.2">
      <c r="A5091" s="5">
        <v>5030</v>
      </c>
      <c r="B5091" s="138">
        <f>'Revenues 9-14'!C70</f>
        <v>19760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14746</v>
      </c>
      <c r="D5093" s="2" t="str">
        <f t="shared" si="78"/>
        <v>Error?</v>
      </c>
    </row>
    <row r="5094" spans="1:4" x14ac:dyDescent="0.2">
      <c r="A5094" s="5">
        <v>5033</v>
      </c>
      <c r="B5094" s="138">
        <f>'Revenues 9-14'!C73</f>
        <v>9724</v>
      </c>
      <c r="D5094" s="2" t="str">
        <f t="shared" si="78"/>
        <v>Error?</v>
      </c>
    </row>
    <row r="5095" spans="1:4" x14ac:dyDescent="0.2">
      <c r="A5095" s="5">
        <v>5034</v>
      </c>
      <c r="B5095" s="138">
        <f>'Revenues 9-14'!C74</f>
        <v>3030</v>
      </c>
      <c r="D5095" s="2" t="str">
        <f t="shared" si="78"/>
        <v>Error?</v>
      </c>
    </row>
    <row r="5096" spans="1:4" x14ac:dyDescent="0.2">
      <c r="A5096" s="5">
        <v>5035</v>
      </c>
      <c r="B5096" s="138">
        <f>'Revenues 9-14'!C75</f>
        <v>214850</v>
      </c>
      <c r="C5096" s="2" t="s">
        <v>594</v>
      </c>
      <c r="D5096" s="2" t="str">
        <f t="shared" si="78"/>
        <v>Error?</v>
      </c>
    </row>
    <row r="5097" spans="1:4" x14ac:dyDescent="0.2">
      <c r="A5097" s="5">
        <v>5036</v>
      </c>
      <c r="B5097" s="138">
        <f>'Revenues 9-14'!C77</f>
        <v>21986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22200</v>
      </c>
      <c r="D5099" s="2" t="str">
        <f t="shared" si="78"/>
        <v>Error?</v>
      </c>
    </row>
    <row r="5100" spans="1:4" x14ac:dyDescent="0.2">
      <c r="A5100" s="5">
        <v>5039</v>
      </c>
      <c r="B5100" s="138">
        <f>'Revenues 9-14'!C80</f>
        <v>2925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47111</v>
      </c>
      <c r="C5102" s="2" t="s">
        <v>594</v>
      </c>
      <c r="D5102" s="2" t="str">
        <f t="shared" si="78"/>
        <v>Error?</v>
      </c>
    </row>
    <row r="5103" spans="1:4" x14ac:dyDescent="0.2">
      <c r="A5103" s="5">
        <v>5042</v>
      </c>
      <c r="B5103" s="138">
        <f>'Revenues 9-14'!C84</f>
        <v>44322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44322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6768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94788</v>
      </c>
      <c r="D5119" s="2" t="str">
        <f t="shared" ref="D5119:D5182" si="79">IF(ISBLANK(B5119),"OK",IF(A5119-B5119=0,"OK","Error?"))</f>
        <v>Error?</v>
      </c>
    </row>
    <row r="5120" spans="1:4" x14ac:dyDescent="0.2">
      <c r="A5120" s="5">
        <v>5059</v>
      </c>
      <c r="B5120" s="138">
        <f>'Revenues 9-14'!C108</f>
        <v>109568</v>
      </c>
      <c r="C5120" s="2" t="s">
        <v>594</v>
      </c>
      <c r="D5120" s="2" t="str">
        <f t="shared" si="79"/>
        <v>Error?</v>
      </c>
    </row>
    <row r="5121" spans="1:4" x14ac:dyDescent="0.2">
      <c r="A5121" s="5">
        <v>5060</v>
      </c>
      <c r="B5121" s="138">
        <f>'Revenues 9-14'!C109</f>
        <v>5469988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1394780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1394780</v>
      </c>
      <c r="C5132" s="2" t="s">
        <v>594</v>
      </c>
      <c r="D5132" s="2" t="str">
        <f t="shared" si="79"/>
        <v>Error?</v>
      </c>
    </row>
    <row r="5133" spans="1:4" x14ac:dyDescent="0.2">
      <c r="A5133" s="5">
        <v>5072</v>
      </c>
      <c r="B5133" s="138">
        <f>'Revenues 9-14'!C124</f>
        <v>54355</v>
      </c>
      <c r="D5133" s="2" t="str">
        <f t="shared" si="79"/>
        <v>Error?</v>
      </c>
    </row>
    <row r="5134" spans="1:4" x14ac:dyDescent="0.2">
      <c r="A5134" s="5">
        <v>5073</v>
      </c>
      <c r="B5134" s="138">
        <f>'Revenues 9-14'!C125</f>
        <v>62986</v>
      </c>
      <c r="D5134" s="2" t="str">
        <f t="shared" si="79"/>
        <v>Error?</v>
      </c>
    </row>
    <row r="5135" spans="1:4" x14ac:dyDescent="0.2">
      <c r="A5135" s="5">
        <v>5074</v>
      </c>
      <c r="B5135" s="138">
        <f>'Revenues 9-14'!C126</f>
        <v>44161</v>
      </c>
      <c r="D5135" s="2" t="str">
        <f t="shared" si="79"/>
        <v>Error?</v>
      </c>
    </row>
    <row r="5136" spans="1:4" x14ac:dyDescent="0.2">
      <c r="A5136" s="10">
        <v>5075</v>
      </c>
      <c r="D5136" s="2" t="str">
        <f t="shared" si="79"/>
        <v>OK</v>
      </c>
    </row>
    <row r="5137" spans="1:4" x14ac:dyDescent="0.2">
      <c r="A5137" s="5">
        <v>5076</v>
      </c>
      <c r="B5137" s="138">
        <f>'Revenues 9-14'!C127</f>
        <v>9100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358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170960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5325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13601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3746</v>
      </c>
      <c r="D5167" s="2" t="str">
        <f t="shared" si="79"/>
        <v>Error?</v>
      </c>
    </row>
    <row r="5168" spans="1:4" x14ac:dyDescent="0.2">
      <c r="A5168" s="5">
        <v>5107</v>
      </c>
      <c r="B5168" s="138">
        <f>'Revenues 9-14'!C147</f>
        <v>13010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423417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630384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2025164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201462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61143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262605</v>
      </c>
      <c r="C5246" s="2" t="s">
        <v>594</v>
      </c>
      <c r="D5246" s="2" t="str">
        <f t="shared" si="80"/>
        <v>Error?</v>
      </c>
    </row>
    <row r="5247" spans="1:4" x14ac:dyDescent="0.2">
      <c r="A5247" s="5">
        <v>5186</v>
      </c>
      <c r="B5247" s="138">
        <f>'Revenues 9-14'!C203</f>
        <v>80345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6524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80345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1035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418278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418278</v>
      </c>
      <c r="C5326" s="2" t="s">
        <v>594</v>
      </c>
      <c r="D5326" s="2" t="str">
        <f t="shared" si="82"/>
        <v>Error?</v>
      </c>
    </row>
    <row r="5327" spans="1:4" x14ac:dyDescent="0.2">
      <c r="A5327" s="5">
        <v>5266</v>
      </c>
      <c r="B5327" s="138">
        <f>'Revenues 9-14'!C275</f>
        <v>7913430</v>
      </c>
      <c r="C5327" s="2" t="s">
        <v>594</v>
      </c>
      <c r="D5327" s="2" t="str">
        <f t="shared" si="82"/>
        <v>Error?</v>
      </c>
    </row>
    <row r="5328" spans="1:4" x14ac:dyDescent="0.2">
      <c r="A5328" s="5">
        <v>5267</v>
      </c>
      <c r="B5328" s="138">
        <f>'Revenues 9-14'!D5</f>
        <v>765627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765627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46000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57089</v>
      </c>
      <c r="D5354" s="2" t="str">
        <f t="shared" si="82"/>
        <v>Error?</v>
      </c>
    </row>
    <row r="5355" spans="1:4" x14ac:dyDescent="0.2">
      <c r="A5355" s="5">
        <v>5294</v>
      </c>
      <c r="B5355" s="138">
        <f>'Revenues 9-14'!D108</f>
        <v>57089</v>
      </c>
      <c r="C5355" s="2" t="s">
        <v>594</v>
      </c>
      <c r="D5355" s="2" t="str">
        <f t="shared" si="82"/>
        <v>Error?</v>
      </c>
    </row>
    <row r="5356" spans="1:4" x14ac:dyDescent="0.2">
      <c r="A5356" s="5">
        <v>5295</v>
      </c>
      <c r="B5356" s="138">
        <f>'Revenues 9-14'!D109</f>
        <v>868716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868716</v>
      </c>
      <c r="C5508" s="2" t="s">
        <v>594</v>
      </c>
      <c r="D5508" s="2" t="str">
        <f t="shared" si="85"/>
        <v>Error?</v>
      </c>
    </row>
    <row r="5509" spans="1:4" x14ac:dyDescent="0.2">
      <c r="A5509" s="5">
        <v>5448</v>
      </c>
      <c r="B5509" s="138">
        <f>'Revenues 9-14'!E5</f>
        <v>454494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454494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220102</v>
      </c>
      <c r="C5526" s="2" t="s">
        <v>594</v>
      </c>
      <c r="D5526" s="2" t="str">
        <f t="shared" si="85"/>
        <v>Error?</v>
      </c>
    </row>
    <row r="5527" spans="1:4" x14ac:dyDescent="0.2">
      <c r="A5527" s="5">
        <v>5466</v>
      </c>
      <c r="B5527" s="138">
        <f>'Revenues 9-14'!E109</f>
        <v>674596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783623</v>
      </c>
      <c r="C5552" s="2" t="s">
        <v>594</v>
      </c>
      <c r="D5552" s="2" t="str">
        <f t="shared" si="85"/>
        <v>Error?</v>
      </c>
    </row>
    <row r="5553" spans="1:4" x14ac:dyDescent="0.2">
      <c r="A5553" s="5">
        <v>5492</v>
      </c>
      <c r="B5553" s="138">
        <f>'Revenues 9-14'!F5</f>
        <v>314208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314208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99019</v>
      </c>
      <c r="D5564" s="2" t="str">
        <f t="shared" si="85"/>
        <v>Error?</v>
      </c>
    </row>
    <row r="5565" spans="1:4" x14ac:dyDescent="0.2">
      <c r="A5565" s="5">
        <v>5504</v>
      </c>
      <c r="B5565" s="138">
        <f>'Revenues 9-14'!F44</f>
        <v>8180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107199</v>
      </c>
      <c r="C5579" s="2" t="s">
        <v>594</v>
      </c>
      <c r="D5579" s="2" t="str">
        <f t="shared" si="86"/>
        <v>Error?</v>
      </c>
    </row>
    <row r="5580" spans="1:4" x14ac:dyDescent="0.2">
      <c r="A5580" s="5">
        <v>5519</v>
      </c>
      <c r="B5580" s="138">
        <f>'Revenues 9-14'!F65</f>
        <v>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v>
      </c>
      <c r="D5586" s="2" t="str">
        <f t="shared" si="86"/>
        <v>Error?</v>
      </c>
    </row>
    <row r="5587" spans="1:4" x14ac:dyDescent="0.2">
      <c r="A5587" s="5">
        <v>5526</v>
      </c>
      <c r="B5587" s="138">
        <f>'Revenues 9-14'!F108</f>
        <v>200</v>
      </c>
      <c r="C5587" s="2" t="s">
        <v>594</v>
      </c>
      <c r="D5587" s="2" t="str">
        <f t="shared" si="86"/>
        <v>Error?</v>
      </c>
    </row>
    <row r="5588" spans="1:4" x14ac:dyDescent="0.2">
      <c r="A5588" s="5">
        <v>5527</v>
      </c>
      <c r="B5588" s="138">
        <f>'Revenues 9-14'!F109</f>
        <v>421696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1156978</v>
      </c>
      <c r="D5615" s="2" t="str">
        <f t="shared" si="86"/>
        <v>Error?</v>
      </c>
    </row>
    <row r="5616" spans="1:4" x14ac:dyDescent="0.2">
      <c r="A5616" s="10">
        <v>5555</v>
      </c>
      <c r="D5616" s="2" t="str">
        <f t="shared" si="86"/>
        <v>OK</v>
      </c>
    </row>
    <row r="5617" spans="1:4" x14ac:dyDescent="0.2">
      <c r="A5617" s="5">
        <v>5556</v>
      </c>
      <c r="B5617" s="138">
        <f>'Revenues 9-14'!F152</f>
        <v>135938</v>
      </c>
      <c r="D5617" s="2" t="str">
        <f t="shared" si="86"/>
        <v>Error?</v>
      </c>
    </row>
    <row r="5618" spans="1:4" x14ac:dyDescent="0.2">
      <c r="A5618" s="5">
        <v>5557</v>
      </c>
      <c r="B5618" s="138">
        <f>'Revenues 9-14'!F154</f>
        <v>1292916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1292916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1292916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1714612</v>
      </c>
      <c r="C5720" s="2" t="s">
        <v>594</v>
      </c>
      <c r="D5720" s="2" t="str">
        <f t="shared" si="88"/>
        <v>Error?</v>
      </c>
    </row>
    <row r="5721" spans="1:4" x14ac:dyDescent="0.2">
      <c r="A5721" s="5">
        <v>5660</v>
      </c>
      <c r="B5721" s="138">
        <f>'Revenues 9-14'!G5</f>
        <v>88594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150528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239122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50020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50020</v>
      </c>
      <c r="C5730" s="2" t="s">
        <v>594</v>
      </c>
      <c r="D5730" s="2" t="str">
        <f t="shared" si="88"/>
        <v>Error?</v>
      </c>
    </row>
    <row r="5731" spans="1:4" x14ac:dyDescent="0.2">
      <c r="A5731" s="5">
        <v>5670</v>
      </c>
      <c r="B5731" s="138">
        <f>'Revenues 9-14'!G65</f>
        <v>168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289310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105973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105973</v>
      </c>
      <c r="C5915" s="2" t="s">
        <v>594</v>
      </c>
      <c r="D5915" s="2" t="str">
        <f t="shared" si="91"/>
        <v>Error?</v>
      </c>
    </row>
    <row r="5916" spans="1:4" x14ac:dyDescent="0.2">
      <c r="A5916" s="5">
        <v>5855</v>
      </c>
      <c r="B5916" s="138">
        <f>'Revenues 9-14'!I5</f>
        <v>76229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76229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76543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76229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76229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76229</v>
      </c>
      <c r="C6023" s="2" t="s">
        <v>594</v>
      </c>
      <c r="D6023" s="2" t="str">
        <f t="shared" si="93"/>
        <v>Error?</v>
      </c>
    </row>
    <row r="6024" spans="1:5" x14ac:dyDescent="0.2">
      <c r="A6024" s="5">
        <v>5963</v>
      </c>
      <c r="B6024" s="138">
        <f>'Revenues 9-14'!G109</f>
        <v>289310</v>
      </c>
      <c r="C6024" s="2" t="s">
        <v>594</v>
      </c>
      <c r="D6024" s="2" t="str">
        <f t="shared" si="93"/>
        <v>Error?</v>
      </c>
    </row>
    <row r="6025" spans="1:5" x14ac:dyDescent="0.2">
      <c r="A6025" s="5">
        <v>5964</v>
      </c>
      <c r="B6025" s="138">
        <f>'Revenues 9-14'!H109</f>
        <v>105973</v>
      </c>
      <c r="C6025" s="2" t="s">
        <v>594</v>
      </c>
      <c r="D6025" s="2" t="str">
        <f t="shared" si="93"/>
        <v>Error?</v>
      </c>
    </row>
    <row r="6026" spans="1:5" x14ac:dyDescent="0.2">
      <c r="A6026" s="5">
        <v>5965</v>
      </c>
      <c r="B6026" s="138">
        <f>'Revenues 9-14'!I109</f>
        <v>76543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76229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167590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50389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875.6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318468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318468</v>
      </c>
      <c r="D6215" s="2" t="str">
        <f t="shared" si="96"/>
        <v>Error?</v>
      </c>
      <c r="E6215" s="2" t="s">
        <v>199</v>
      </c>
    </row>
    <row r="6216" spans="1:5" x14ac:dyDescent="0.2">
      <c r="A6216">
        <v>6155</v>
      </c>
      <c r="B6216" s="138">
        <f>'Assets-Liab 5-6'!J41</f>
        <v>318468</v>
      </c>
      <c r="D6216" s="2" t="str">
        <f t="shared" si="96"/>
        <v>Error?</v>
      </c>
      <c r="E6216" s="2" t="s">
        <v>199</v>
      </c>
    </row>
    <row r="6217" spans="1:5" x14ac:dyDescent="0.2">
      <c r="A6217">
        <v>6156</v>
      </c>
      <c r="B6217" s="138">
        <f>'Assets-Liab 5-6'!J4</f>
        <v>318468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301642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301642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301642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260526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260526</v>
      </c>
      <c r="D6229" s="2" t="str">
        <f t="shared" si="96"/>
        <v>Error?</v>
      </c>
      <c r="E6229" s="2" t="s">
        <v>199</v>
      </c>
    </row>
    <row r="6230" spans="1:5" x14ac:dyDescent="0.2">
      <c r="A6230">
        <v>6169</v>
      </c>
      <c r="B6230" s="138">
        <f>'Acct Summary 7-8'!J20</f>
        <v>41116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41116</v>
      </c>
      <c r="D6263" s="2" t="str">
        <f t="shared" si="96"/>
        <v>Error?</v>
      </c>
      <c r="E6263" s="2" t="s">
        <v>199</v>
      </c>
    </row>
    <row r="6264" spans="1:5" x14ac:dyDescent="0.2">
      <c r="A6264">
        <v>6203</v>
      </c>
      <c r="B6264" s="138">
        <f>'Acct Summary 7-8'!J79</f>
        <v>277352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318468</v>
      </c>
      <c r="D6266" s="2" t="str">
        <f t="shared" si="96"/>
        <v>Error?</v>
      </c>
      <c r="E6266" s="2" t="s">
        <v>199</v>
      </c>
    </row>
    <row r="6267" spans="1:5" x14ac:dyDescent="0.2">
      <c r="A6267">
        <v>6206</v>
      </c>
      <c r="B6267" s="138">
        <f>'Acct Summary 7-8'!C82</f>
        <v>336437</v>
      </c>
      <c r="D6267" s="2" t="str">
        <f t="shared" si="96"/>
        <v>Error?</v>
      </c>
      <c r="E6267" s="2" t="s">
        <v>199</v>
      </c>
    </row>
    <row r="6268" spans="1:5" x14ac:dyDescent="0.2">
      <c r="A6268">
        <v>6207</v>
      </c>
      <c r="B6268" s="138">
        <f>'Acct Summary 7-8'!D82</f>
        <v>-30385</v>
      </c>
      <c r="D6268" s="2" t="str">
        <f t="shared" si="96"/>
        <v>Error?</v>
      </c>
      <c r="E6268" s="2" t="s">
        <v>199</v>
      </c>
    </row>
    <row r="6269" spans="1:5" x14ac:dyDescent="0.2">
      <c r="A6269">
        <v>6208</v>
      </c>
      <c r="B6269" s="138">
        <f>'Acct Summary 7-8'!E82</f>
        <v>-61585</v>
      </c>
      <c r="D6269" s="2" t="str">
        <f t="shared" si="96"/>
        <v>Error?</v>
      </c>
      <c r="E6269" s="2" t="s">
        <v>199</v>
      </c>
    </row>
    <row r="6270" spans="1:5" x14ac:dyDescent="0.2">
      <c r="A6270">
        <v>6209</v>
      </c>
      <c r="B6270" s="138">
        <f>'Acct Summary 7-8'!F82</f>
        <v>886775</v>
      </c>
      <c r="D6270" s="2" t="str">
        <f t="shared" si="96"/>
        <v>Error?</v>
      </c>
      <c r="E6270" s="2" t="s">
        <v>199</v>
      </c>
    </row>
    <row r="6271" spans="1:5" x14ac:dyDescent="0.2">
      <c r="A6271">
        <v>6210</v>
      </c>
      <c r="B6271" s="138">
        <f>'Acct Summary 7-8'!G82</f>
        <v>16396</v>
      </c>
      <c r="D6271" s="2" t="str">
        <f t="shared" ref="D6271:D6334" si="97">IF(ISBLANK(B6271),"OK",IF(A6271-B6271=0,"OK","Error?"))</f>
        <v>Error?</v>
      </c>
      <c r="E6271" s="2" t="s">
        <v>199</v>
      </c>
    </row>
    <row r="6272" spans="1:5" x14ac:dyDescent="0.2">
      <c r="A6272">
        <v>6211</v>
      </c>
      <c r="B6272" s="138">
        <f>'Acct Summary 7-8'!H82</f>
        <v>15786</v>
      </c>
      <c r="D6272" s="2" t="str">
        <f t="shared" si="97"/>
        <v>Error?</v>
      </c>
      <c r="E6272" s="2" t="s">
        <v>199</v>
      </c>
    </row>
    <row r="6273" spans="1:5" x14ac:dyDescent="0.2">
      <c r="A6273">
        <v>6212</v>
      </c>
      <c r="B6273" s="138">
        <f>'Acct Summary 7-8'!I82</f>
        <v>76543</v>
      </c>
      <c r="D6273" s="2" t="str">
        <f t="shared" si="97"/>
        <v>Error?</v>
      </c>
      <c r="E6273" s="2" t="s">
        <v>199</v>
      </c>
    </row>
    <row r="6274" spans="1:5" x14ac:dyDescent="0.2">
      <c r="A6274">
        <v>6213</v>
      </c>
      <c r="B6274" s="138">
        <f>'Acct Summary 7-8'!J82</f>
        <v>41116</v>
      </c>
      <c r="D6274" s="2" t="str">
        <f t="shared" si="97"/>
        <v>Error?</v>
      </c>
      <c r="E6274" s="2" t="s">
        <v>199</v>
      </c>
    </row>
    <row r="6275" spans="1:5" x14ac:dyDescent="0.2">
      <c r="A6275">
        <v>6214</v>
      </c>
      <c r="B6275" s="138">
        <f>'Acct Summary 7-8'!K82</f>
        <v>69186</v>
      </c>
      <c r="D6275" s="2" t="str">
        <f t="shared" si="97"/>
        <v>Error?</v>
      </c>
      <c r="E6275" s="2" t="s">
        <v>199</v>
      </c>
    </row>
    <row r="6276" spans="1:5" x14ac:dyDescent="0.2">
      <c r="A6276">
        <v>6215</v>
      </c>
      <c r="B6276" s="138">
        <f>'Acct Summary 7-8'!C83</f>
        <v>0.17046790929713029</v>
      </c>
      <c r="D6276" s="2" t="str">
        <f t="shared" si="97"/>
        <v>Error?</v>
      </c>
      <c r="E6276" s="2" t="s">
        <v>199</v>
      </c>
    </row>
    <row r="6277" spans="1:5" x14ac:dyDescent="0.2">
      <c r="A6277">
        <v>6216</v>
      </c>
      <c r="B6277" s="138">
        <f>'Acct Summary 7-8'!D83</f>
        <v>-0.74412852349815095</v>
      </c>
      <c r="D6277" s="2" t="str">
        <f t="shared" si="97"/>
        <v>Error?</v>
      </c>
      <c r="E6277" s="2" t="s">
        <v>199</v>
      </c>
    </row>
    <row r="6278" spans="1:5" x14ac:dyDescent="0.2">
      <c r="A6278">
        <v>6217</v>
      </c>
      <c r="B6278" s="138">
        <f>'Acct Summary 7-8'!E83</f>
        <v>-0.33746130030959753</v>
      </c>
      <c r="D6278" s="2" t="str">
        <f t="shared" si="97"/>
        <v>Error?</v>
      </c>
      <c r="E6278" s="2" t="s">
        <v>199</v>
      </c>
    </row>
    <row r="6279" spans="1:5" x14ac:dyDescent="0.2">
      <c r="A6279">
        <v>6218</v>
      </c>
      <c r="B6279" s="138">
        <f>'Acct Summary 7-8'!F83</f>
        <v>0.61889151924424435</v>
      </c>
      <c r="D6279" s="2" t="str">
        <f t="shared" si="97"/>
        <v>Error?</v>
      </c>
      <c r="E6279" s="2" t="s">
        <v>199</v>
      </c>
    </row>
    <row r="6280" spans="1:5" x14ac:dyDescent="0.2">
      <c r="A6280">
        <v>6219</v>
      </c>
      <c r="B6280" s="138">
        <f>'Acct Summary 7-8'!G83</f>
        <v>4.6041694747719818E-2</v>
      </c>
      <c r="D6280" s="2" t="str">
        <f t="shared" si="97"/>
        <v>Error?</v>
      </c>
      <c r="E6280" s="2" t="s">
        <v>199</v>
      </c>
    </row>
    <row r="6281" spans="1:5" x14ac:dyDescent="0.2">
      <c r="A6281">
        <v>6220</v>
      </c>
      <c r="B6281" s="138">
        <f>'Acct Summary 7-8'!H83</f>
        <v>0.10292756080067809</v>
      </c>
      <c r="D6281" s="2" t="str">
        <f t="shared" si="97"/>
        <v>Error?</v>
      </c>
      <c r="E6281" s="2" t="s">
        <v>199</v>
      </c>
    </row>
    <row r="6282" spans="1:5" x14ac:dyDescent="0.2">
      <c r="A6282">
        <v>6221</v>
      </c>
      <c r="B6282" s="138">
        <f>'Acct Summary 7-8'!I83</f>
        <v>0.16186901262503436</v>
      </c>
      <c r="D6282" s="2" t="str">
        <f t="shared" si="97"/>
        <v>Error?</v>
      </c>
      <c r="E6282" s="2" t="s">
        <v>199</v>
      </c>
    </row>
    <row r="6283" spans="1:5" x14ac:dyDescent="0.2">
      <c r="A6283">
        <v>6222</v>
      </c>
      <c r="B6283" s="138">
        <f>'Acct Summary 7-8'!J83</f>
        <v>0.12910559302661492</v>
      </c>
      <c r="D6283" s="2" t="str">
        <f t="shared" si="97"/>
        <v>Error?</v>
      </c>
      <c r="E6283" s="2" t="s">
        <v>199</v>
      </c>
    </row>
    <row r="6284" spans="1:5" x14ac:dyDescent="0.2">
      <c r="A6284">
        <v>6223</v>
      </c>
      <c r="B6284" s="138">
        <f>'Acct Summary 7-8'!K83</f>
        <v>0.40208054861393616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301043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301043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3967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301642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8276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213815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109027</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109027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282508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82909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76130</v>
      </c>
      <c r="D6880" s="2" t="str">
        <f t="shared" si="106"/>
        <v>Error?</v>
      </c>
    </row>
    <row r="6881" spans="1:4" x14ac:dyDescent="0.2">
      <c r="A6881">
        <v>6820</v>
      </c>
      <c r="B6881" s="138">
        <f>'Expenditures 15-22'!K22</f>
        <v>76130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4100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4100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17700</v>
      </c>
      <c r="D6987" s="2" t="str">
        <f t="shared" si="108"/>
        <v>Error?</v>
      </c>
    </row>
    <row r="6988" spans="1:4" x14ac:dyDescent="0.2">
      <c r="A6988">
        <v>6927</v>
      </c>
      <c r="B6988" s="138">
        <f>'Expenditures 15-22'!K88</f>
        <v>17700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17700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260526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301642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10164</v>
      </c>
      <c r="D7073" s="2" t="str">
        <f t="shared" si="109"/>
        <v>Error?</v>
      </c>
    </row>
    <row r="7074" spans="1:4" x14ac:dyDescent="0.2">
      <c r="A7074">
        <v>7013</v>
      </c>
      <c r="B7074" s="138">
        <f>'Expenditures 15-22'!K216</f>
        <v>10164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1085</v>
      </c>
      <c r="D7079" s="2" t="str">
        <f t="shared" si="109"/>
        <v>Error?</v>
      </c>
    </row>
    <row r="7080" spans="1:4" x14ac:dyDescent="0.2">
      <c r="A7080">
        <v>7019</v>
      </c>
      <c r="B7080" s="138">
        <f>'Expenditures 15-22'!K226</f>
        <v>1085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1555</v>
      </c>
      <c r="D7093" s="2" t="str">
        <f t="shared" si="109"/>
        <v>Error?</v>
      </c>
    </row>
    <row r="7094" spans="1:4" x14ac:dyDescent="0.2">
      <c r="A7094">
        <v>7033</v>
      </c>
      <c r="B7094" s="138">
        <f>'Expenditures 15-22'!K254</f>
        <v>1555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57242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57242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143152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143152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33762</v>
      </c>
      <c r="D7172" s="2" t="str">
        <f t="shared" si="111"/>
        <v>Error?</v>
      </c>
    </row>
    <row r="7173" spans="1:4" x14ac:dyDescent="0.2">
      <c r="A7173">
        <v>7112</v>
      </c>
      <c r="B7173" s="138">
        <f>'Expenditures 15-22'!D325</f>
        <v>9387</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43149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16983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16983</v>
      </c>
      <c r="D7198" s="2" t="str">
        <f t="shared" si="111"/>
        <v>Error?</v>
      </c>
    </row>
    <row r="7199" spans="1:4" x14ac:dyDescent="0.2">
      <c r="A7199">
        <v>7138</v>
      </c>
      <c r="B7199" s="138">
        <f>'Expenditures 15-22'!C330</f>
        <v>33762</v>
      </c>
      <c r="D7199" s="2" t="str">
        <f t="shared" si="111"/>
        <v>Error?</v>
      </c>
    </row>
    <row r="7200" spans="1:4" x14ac:dyDescent="0.2">
      <c r="A7200">
        <v>7139</v>
      </c>
      <c r="B7200" s="138">
        <f>'Expenditures 15-22'!D330</f>
        <v>9387</v>
      </c>
      <c r="D7200" s="2" t="str">
        <f t="shared" si="111"/>
        <v>Error?</v>
      </c>
    </row>
    <row r="7201" spans="1:4" x14ac:dyDescent="0.2">
      <c r="A7201">
        <v>7140</v>
      </c>
      <c r="B7201" s="138">
        <f>'Expenditures 15-22'!E330</f>
        <v>217377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260526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33762</v>
      </c>
      <c r="D7216" s="2" t="str">
        <f t="shared" si="111"/>
        <v>Error?</v>
      </c>
    </row>
    <row r="7217" spans="1:4" x14ac:dyDescent="0.2">
      <c r="A7217">
        <v>7156</v>
      </c>
      <c r="B7217" s="138">
        <f>'Expenditures 15-22'!D342</f>
        <v>9387</v>
      </c>
      <c r="D7217" s="2" t="str">
        <f t="shared" si="111"/>
        <v>Error?</v>
      </c>
    </row>
    <row r="7218" spans="1:4" x14ac:dyDescent="0.2">
      <c r="A7218">
        <v>7157</v>
      </c>
      <c r="B7218" s="138">
        <f>'Expenditures 15-22'!E342</f>
        <v>217377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260526</v>
      </c>
      <c r="D7224" s="2" t="str">
        <f t="shared" si="111"/>
        <v>Error?</v>
      </c>
    </row>
    <row r="7225" spans="1:4" x14ac:dyDescent="0.2">
      <c r="A7225">
        <v>7164</v>
      </c>
      <c r="B7225" s="138">
        <f>'Expenditures 15-22'!K343</f>
        <v>41116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49090</v>
      </c>
      <c r="D7246" s="2" t="str">
        <f t="shared" si="112"/>
        <v>Error?</v>
      </c>
    </row>
    <row r="7247" spans="1:4" x14ac:dyDescent="0.2">
      <c r="A7247">
        <f t="shared" si="113"/>
        <v>7186</v>
      </c>
      <c r="B7247" s="138">
        <f>'Expenditures 15-22'!E7</f>
        <v>1573</v>
      </c>
      <c r="D7247" s="2" t="str">
        <f t="shared" si="112"/>
        <v>Error?</v>
      </c>
    </row>
    <row r="7248" spans="1:4" x14ac:dyDescent="0.2">
      <c r="A7248">
        <f t="shared" si="113"/>
        <v>7187</v>
      </c>
      <c r="B7248" s="138">
        <f>'Expenditures 15-22'!F7</f>
        <v>18030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74819</v>
      </c>
      <c r="D7263" s="2" t="str">
        <f t="shared" si="112"/>
        <v>Error?</v>
      </c>
    </row>
    <row r="7264" spans="1:4" x14ac:dyDescent="0.2">
      <c r="A7264">
        <f t="shared" si="113"/>
        <v>7203</v>
      </c>
      <c r="B7264" s="138">
        <f>'Expenditures 15-22'!D17</f>
        <v>8090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572405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137584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3967</v>
      </c>
      <c r="D7712" s="2" t="str">
        <f t="shared" si="126"/>
        <v>Error?</v>
      </c>
      <c r="E7712" s="2" t="s">
        <v>881</v>
      </c>
    </row>
    <row r="7713" spans="1:6" x14ac:dyDescent="0.2">
      <c r="A7713">
        <v>7652</v>
      </c>
      <c r="B7713" s="138">
        <f>'Rest Tax Levies-Tort Im 25'!J8</f>
        <v>326075</v>
      </c>
      <c r="D7713" s="2" t="str">
        <f t="shared" si="126"/>
        <v>Error?</v>
      </c>
      <c r="E7713" s="2" t="s">
        <v>881</v>
      </c>
    </row>
    <row r="7714" spans="1:6" x14ac:dyDescent="0.2">
      <c r="A7714">
        <v>7653</v>
      </c>
      <c r="B7714" s="138">
        <f>'Rest Tax Levies-Tort Im 25'!K9</f>
        <v>13010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326075</v>
      </c>
      <c r="D7718" s="2" t="str">
        <f t="shared" si="126"/>
        <v>Error?</v>
      </c>
      <c r="E7718" s="2" t="s">
        <v>881</v>
      </c>
    </row>
    <row r="7719" spans="1:6" x14ac:dyDescent="0.2">
      <c r="A7719">
        <v>7658</v>
      </c>
      <c r="B7719" s="138">
        <f>'Rest Tax Levies-Tort Im 25'!K12</f>
        <v>16977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16977</v>
      </c>
      <c r="D7721" s="2" t="str">
        <f t="shared" si="126"/>
        <v>Error?</v>
      </c>
      <c r="E7721" s="2" t="s">
        <v>881</v>
      </c>
    </row>
    <row r="7722" spans="1:6" x14ac:dyDescent="0.2">
      <c r="A7722">
        <v>7661</v>
      </c>
      <c r="B7722" s="138">
        <f>'Rest Tax Levies-Tort Im 25'!J15</f>
        <v>90187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102</v>
      </c>
      <c r="D7724" s="2" t="str">
        <f t="shared" si="126"/>
        <v>Error?</v>
      </c>
      <c r="E7724" s="2" t="s">
        <v>881</v>
      </c>
      <c r="F7724" s="2"/>
    </row>
    <row r="7725" spans="1:6" x14ac:dyDescent="0.2">
      <c r="A7725">
        <v>7664</v>
      </c>
      <c r="B7725" s="138">
        <f>'Rest Tax Levies-Tort Im 25'!J19</f>
        <v>220000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220102</v>
      </c>
      <c r="D7727" s="2" t="str">
        <f t="shared" si="126"/>
        <v>Error?</v>
      </c>
      <c r="E7727" s="2" t="s">
        <v>881</v>
      </c>
    </row>
    <row r="7728" spans="1:6" x14ac:dyDescent="0.2">
      <c r="A7728">
        <v>7667</v>
      </c>
      <c r="B7728" s="138">
        <f>'Revenues 9-14'!E103</f>
        <v>220102</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310289</v>
      </c>
      <c r="D7730" s="2" t="str">
        <f t="shared" si="126"/>
        <v>Error?</v>
      </c>
      <c r="E7730" s="2" t="s">
        <v>881</v>
      </c>
    </row>
    <row r="7731" spans="1:6" x14ac:dyDescent="0.2">
      <c r="A7731">
        <v>7670</v>
      </c>
      <c r="B7731" s="138">
        <f>'Revenues 9-14'!H103</f>
        <v>105973</v>
      </c>
      <c r="D7731" s="2" t="str">
        <f t="shared" si="126"/>
        <v>Error?</v>
      </c>
      <c r="E7731" s="2" t="s">
        <v>881</v>
      </c>
    </row>
    <row r="7732" spans="1:6" x14ac:dyDescent="0.2">
      <c r="A7732">
        <v>7671</v>
      </c>
      <c r="B7732" s="138">
        <f>'Rest Tax Levies-Tort Im 25'!J24</f>
        <v>153370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153370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109027</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29'!D26</f>
        <v>367174</v>
      </c>
      <c r="D7797" s="2" t="str">
        <f t="shared" si="127"/>
        <v>Error?</v>
      </c>
      <c r="E7797" s="4" t="s">
        <v>2020</v>
      </c>
    </row>
    <row r="7798" spans="1:5" x14ac:dyDescent="0.2">
      <c r="A7798">
        <v>7737</v>
      </c>
      <c r="B7798" s="138">
        <f>'Contracts Paid in CY 29'!F26</f>
        <v>50000</v>
      </c>
      <c r="D7798" s="2" t="str">
        <f t="shared" si="127"/>
        <v>Error?</v>
      </c>
      <c r="E7798" s="4" t="s">
        <v>2020</v>
      </c>
    </row>
    <row r="7799" spans="1:5" x14ac:dyDescent="0.2">
      <c r="A7799">
        <v>7738</v>
      </c>
      <c r="B7799" s="138">
        <f>'Contracts Paid in CY 29'!G26</f>
        <v>317174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24" sqref="A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1" t="str">
        <f>COVER!A17</f>
        <v>United CUSD 304</v>
      </c>
      <c r="B7" s="2402"/>
      <c r="C7" s="2402"/>
      <c r="D7" s="2439"/>
      <c r="E7" s="2440" t="str">
        <f>COVER!A13</f>
        <v>33-094-3040-26</v>
      </c>
      <c r="F7" s="2441"/>
      <c r="G7" s="2408">
        <f>COVER!T23</f>
        <v>60.008476000000002</v>
      </c>
      <c r="H7" s="2409"/>
      <c r="I7" s="2409"/>
      <c r="J7" s="2409"/>
      <c r="K7" s="2409"/>
      <c r="L7" s="2410"/>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1"/>
      <c r="B9" s="2412"/>
      <c r="C9" s="2412"/>
      <c r="D9" s="2412"/>
      <c r="E9" s="2412"/>
      <c r="F9" s="2413"/>
      <c r="G9" s="2414" t="str">
        <f>COVER!T13</f>
        <v>Cavanaugh, Davies, Blackman &amp; Cramblet</v>
      </c>
      <c r="H9" s="2415"/>
      <c r="I9" s="2415"/>
      <c r="J9" s="2415"/>
      <c r="K9" s="2415"/>
      <c r="L9" s="2416"/>
    </row>
    <row r="10" spans="1:29" ht="13.5" customHeight="1" x14ac:dyDescent="0.2">
      <c r="A10" s="2398" t="str">
        <f>COVER!A38</f>
        <v>Mr. Jeffrey Whitsitt</v>
      </c>
      <c r="B10" s="2399"/>
      <c r="C10" s="2399"/>
      <c r="D10" s="2399"/>
      <c r="E10" s="2399"/>
      <c r="F10" s="2400"/>
      <c r="G10" s="2414" t="str">
        <f>COVER!T17</f>
        <v>1021 N. Main St., PO Box 318</v>
      </c>
      <c r="H10" s="2427"/>
      <c r="I10" s="2427"/>
      <c r="J10" s="2427"/>
      <c r="K10" s="2427"/>
      <c r="L10" s="2428"/>
    </row>
    <row r="11" spans="1:29" ht="13.5" customHeight="1" x14ac:dyDescent="0.2">
      <c r="A11" s="1184" t="s">
        <v>1599</v>
      </c>
      <c r="B11" s="1185"/>
      <c r="C11" s="1186"/>
      <c r="D11" s="1191"/>
      <c r="E11" s="1186"/>
      <c r="F11" s="1190"/>
      <c r="G11" s="2414" t="str">
        <f>COVER!T19</f>
        <v>Monmouth</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cdbccpas@monmouthcpa.com</v>
      </c>
      <c r="J13" s="2436"/>
      <c r="K13" s="2436"/>
      <c r="L13" s="2437"/>
    </row>
    <row r="14" spans="1:29" ht="13.5" customHeight="1" x14ac:dyDescent="0.2">
      <c r="A14" s="2414" t="str">
        <f>COVER!A19</f>
        <v>1905 100th St</v>
      </c>
      <c r="B14" s="2427"/>
      <c r="C14" s="2427"/>
      <c r="D14" s="2427"/>
      <c r="E14" s="2427"/>
      <c r="F14" s="2428"/>
      <c r="G14" s="1195" t="s">
        <v>1247</v>
      </c>
      <c r="H14" s="1193"/>
      <c r="I14" s="1193"/>
      <c r="J14" s="1193"/>
      <c r="K14" s="1193"/>
      <c r="L14" s="1194"/>
    </row>
    <row r="15" spans="1:29" ht="13.5" customHeight="1" x14ac:dyDescent="0.2">
      <c r="A15" s="2414" t="str">
        <f>COVER!A21</f>
        <v>Monmouth</v>
      </c>
      <c r="B15" s="2427"/>
      <c r="C15" s="2427"/>
      <c r="D15" s="2427"/>
      <c r="E15" s="2427"/>
      <c r="F15" s="2428"/>
      <c r="G15" s="2424" t="str">
        <f>COVER!T15</f>
        <v>Rod Davies</v>
      </c>
      <c r="H15" s="2425"/>
      <c r="I15" s="2425"/>
      <c r="J15" s="2425"/>
      <c r="K15" s="2425"/>
      <c r="L15" s="2426"/>
    </row>
    <row r="16" spans="1:29" ht="12.2" customHeight="1" x14ac:dyDescent="0.2">
      <c r="A16" s="2404">
        <f>COVER!A25</f>
        <v>61462</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5" t="s">
        <v>1246</v>
      </c>
      <c r="H17" s="1193"/>
      <c r="I17" s="1193"/>
      <c r="J17" s="1193"/>
      <c r="K17" s="1197" t="s">
        <v>1245</v>
      </c>
      <c r="L17" s="1190"/>
      <c r="M17" s="1183"/>
    </row>
    <row r="18" spans="1:13" ht="12.2" customHeight="1" x14ac:dyDescent="0.2">
      <c r="A18" s="2398"/>
      <c r="B18" s="2399"/>
      <c r="C18" s="2399"/>
      <c r="D18" s="2399"/>
      <c r="E18" s="2399"/>
      <c r="F18" s="2400"/>
      <c r="G18" s="2401" t="str">
        <f>COVER!T21</f>
        <v>309-734-2330</v>
      </c>
      <c r="H18" s="2402"/>
      <c r="I18" s="2402"/>
      <c r="J18" s="2402"/>
      <c r="K18" s="2401" t="str">
        <f>COVER!X21</f>
        <v>309-734-2349</v>
      </c>
      <c r="L18" s="240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4" sqref="A24"/>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2" t="str">
        <f>'Single Audit Cover'!A7</f>
        <v>United CUSD 304</v>
      </c>
      <c r="B1" s="2438"/>
      <c r="C1" s="2438"/>
      <c r="D1" s="2438"/>
    </row>
    <row r="2" spans="1:11" s="1214" customFormat="1" ht="12.75" x14ac:dyDescent="0.2">
      <c r="A2" s="2443" t="str">
        <f>'Single Audit Cover'!E7</f>
        <v>33-094-3040-26</v>
      </c>
      <c r="B2" s="2444"/>
      <c r="C2" s="2444"/>
      <c r="D2" s="2444"/>
    </row>
    <row r="3" spans="1:11" s="1214" customFormat="1" ht="12.75" x14ac:dyDescent="0.2">
      <c r="A3" s="2442" t="s">
        <v>1593</v>
      </c>
      <c r="B3" s="2438"/>
      <c r="C3" s="2438"/>
      <c r="D3" s="2438"/>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6" t="str">
        <f>'Single Audit Cover'!A7</f>
        <v>United CUSD 304</v>
      </c>
      <c r="B1" s="2446"/>
      <c r="C1" s="2446"/>
      <c r="D1" s="2446"/>
      <c r="E1" s="2446"/>
    </row>
    <row r="2" spans="1:5" x14ac:dyDescent="0.2">
      <c r="A2" s="2447" t="str">
        <f>'Single Audit Cover'!E7</f>
        <v>33-094-3040-26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9" t="s">
        <v>1305</v>
      </c>
    </row>
    <row r="10" spans="1:5" x14ac:dyDescent="0.2">
      <c r="A10" s="1260" t="s">
        <v>1304</v>
      </c>
      <c r="B10" s="1261" t="s">
        <v>1303</v>
      </c>
      <c r="C10" s="1261"/>
      <c r="D10" s="1262">
        <f>SUM('Acct Summary 7-8'!C7:K7)</f>
        <v>527305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50389</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-13618</v>
      </c>
    </row>
    <row r="19" spans="1:4" ht="13.5" thickBot="1" x14ac:dyDescent="0.25">
      <c r="A19" s="1264" t="s">
        <v>1297</v>
      </c>
      <c r="D19" s="1265">
        <f>SUM(D10:D17)</f>
        <v>564076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8"/>
      <c r="B24" s="2448"/>
      <c r="D24" s="1267"/>
    </row>
    <row r="25" spans="1:4" x14ac:dyDescent="0.2">
      <c r="A25" s="2445"/>
      <c r="B25" s="2445"/>
      <c r="D25" s="1267"/>
    </row>
    <row r="26" spans="1:4" x14ac:dyDescent="0.2">
      <c r="A26" s="2445"/>
      <c r="B26" s="2445"/>
      <c r="D26" s="1267"/>
    </row>
    <row r="27" spans="1:4" x14ac:dyDescent="0.2">
      <c r="A27" s="2445"/>
      <c r="B27" s="2445"/>
      <c r="D27" s="1267"/>
    </row>
    <row r="28" spans="1:4" x14ac:dyDescent="0.2">
      <c r="A28" s="2445"/>
      <c r="B28" s="2445"/>
      <c r="D28" s="1267"/>
    </row>
    <row r="29" spans="1:4" x14ac:dyDescent="0.2">
      <c r="A29" s="2445"/>
      <c r="B29" s="2445"/>
      <c r="D29" s="1267"/>
    </row>
    <row r="30" spans="1:4" x14ac:dyDescent="0.2">
      <c r="A30" s="2445"/>
      <c r="B30" s="2445"/>
      <c r="D30" s="1267"/>
    </row>
    <row r="32" spans="1:4" x14ac:dyDescent="0.2">
      <c r="A32" s="1259" t="s">
        <v>1295</v>
      </c>
      <c r="D32" s="1262">
        <f>SUM(D19:D30)</f>
        <v>564076</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5"/>
      <c r="B40" s="2445"/>
      <c r="D40" s="1267"/>
    </row>
    <row r="41" spans="1:4" x14ac:dyDescent="0.2">
      <c r="A41" s="2445"/>
      <c r="B41" s="2445"/>
      <c r="D41" s="1270"/>
    </row>
    <row r="42" spans="1:4" x14ac:dyDescent="0.2">
      <c r="A42" s="2445"/>
      <c r="B42" s="2445"/>
      <c r="D42" s="1270"/>
    </row>
    <row r="43" spans="1:4" x14ac:dyDescent="0.2">
      <c r="A43" s="2445"/>
      <c r="B43" s="2445"/>
      <c r="D43" s="1270"/>
    </row>
    <row r="44" spans="1:4" x14ac:dyDescent="0.2">
      <c r="A44" s="2445"/>
      <c r="B44" s="2445"/>
      <c r="D44" s="1270"/>
    </row>
    <row r="45" spans="1:4" x14ac:dyDescent="0.2">
      <c r="A45" s="2445"/>
      <c r="B45" s="2445"/>
      <c r="D45" s="1270"/>
    </row>
    <row r="47" spans="1:4" x14ac:dyDescent="0.2">
      <c r="B47" s="1271" t="s">
        <v>1289</v>
      </c>
      <c r="C47" s="1271"/>
      <c r="D47" s="1272">
        <f>SUM(D35:D45)</f>
        <v>0</v>
      </c>
    </row>
    <row r="49" spans="2:4" x14ac:dyDescent="0.2">
      <c r="B49" s="1271" t="s">
        <v>1288</v>
      </c>
      <c r="C49" s="1271"/>
      <c r="D49" s="1272">
        <f>D32-D47</f>
        <v>564076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4" sqref="A2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United CUSD 304</v>
      </c>
      <c r="B1" s="2451"/>
      <c r="C1" s="2451"/>
      <c r="D1" s="2451"/>
      <c r="E1" s="2451"/>
      <c r="F1" s="2451"/>
    </row>
    <row r="2" spans="1:7" ht="13.5" customHeight="1" x14ac:dyDescent="0.2">
      <c r="A2" s="2452" t="str">
        <f>'Single Audit Cover'!E7</f>
        <v>33-094-3040-26</v>
      </c>
      <c r="B2" s="2452"/>
      <c r="C2" s="2452"/>
      <c r="D2" s="2452"/>
      <c r="E2" s="2452"/>
      <c r="F2" s="2452"/>
      <c r="G2" s="1274"/>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5" t="s">
        <v>1831</v>
      </c>
      <c r="C6" s="317"/>
      <c r="D6" s="317"/>
    </row>
    <row r="7" spans="1:7" ht="60.95" customHeight="1" x14ac:dyDescent="0.2">
      <c r="A7" s="2450" t="s">
        <v>1832</v>
      </c>
      <c r="B7" s="2450"/>
      <c r="C7" s="2450"/>
      <c r="D7" s="2450"/>
      <c r="E7" s="2450"/>
      <c r="F7" s="2450"/>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3"/>
      <c r="D11" s="1279"/>
      <c r="E11" s="1923"/>
      <c r="F11" s="1279"/>
      <c r="G11" s="1277"/>
    </row>
    <row r="12" spans="1:7" x14ac:dyDescent="0.2">
      <c r="A12" s="1275" t="s">
        <v>1669</v>
      </c>
      <c r="C12" s="1259"/>
      <c r="D12" s="1259"/>
    </row>
    <row r="13" spans="1:7" ht="15" customHeight="1" x14ac:dyDescent="0.2">
      <c r="A13" s="2450" t="s">
        <v>1834</v>
      </c>
      <c r="B13" s="2450"/>
      <c r="C13" s="2450"/>
      <c r="D13" s="2450"/>
      <c r="E13" s="2450"/>
      <c r="F13" s="2450"/>
    </row>
    <row r="14" spans="1:7" ht="9.75" customHeight="1" x14ac:dyDescent="0.2">
      <c r="C14" s="1259"/>
      <c r="D14" s="1259"/>
    </row>
    <row r="15" spans="1:7" ht="13.5" customHeight="1" x14ac:dyDescent="0.2">
      <c r="C15" s="1867" t="s">
        <v>1332</v>
      </c>
      <c r="D15" s="2456" t="s">
        <v>1331</v>
      </c>
      <c r="E15" s="2456"/>
      <c r="F15" s="2456"/>
    </row>
    <row r="16" spans="1:7" ht="13.5" customHeight="1" x14ac:dyDescent="0.2">
      <c r="A16" s="1281"/>
      <c r="B16" s="1275" t="s">
        <v>1330</v>
      </c>
      <c r="C16" s="1867" t="s">
        <v>1329</v>
      </c>
      <c r="D16" s="2457" t="s">
        <v>1670</v>
      </c>
      <c r="E16" s="2457"/>
      <c r="F16" s="2457"/>
    </row>
    <row r="17" spans="1:6" ht="20.45" customHeight="1" x14ac:dyDescent="0.2">
      <c r="A17" s="1282"/>
      <c r="B17" s="1283"/>
      <c r="C17" s="1284"/>
      <c r="D17" s="2455"/>
      <c r="E17" s="2455"/>
      <c r="F17" s="2455"/>
    </row>
    <row r="18" spans="1:6" ht="20.65" customHeight="1" x14ac:dyDescent="0.2">
      <c r="A18" s="1282"/>
      <c r="B18" s="1283"/>
      <c r="C18" s="1284"/>
      <c r="D18" s="2455"/>
      <c r="E18" s="2455"/>
      <c r="F18" s="2455"/>
    </row>
    <row r="19" spans="1:6" ht="20.65" customHeight="1" x14ac:dyDescent="0.2">
      <c r="A19" s="1282"/>
      <c r="B19" s="1283"/>
      <c r="C19" s="1284"/>
      <c r="D19" s="2455"/>
      <c r="E19" s="2455"/>
      <c r="F19" s="2455"/>
    </row>
    <row r="20" spans="1:6" ht="20.65" customHeight="1" x14ac:dyDescent="0.2">
      <c r="A20" s="1282"/>
      <c r="B20" s="1283"/>
      <c r="C20" s="1284"/>
      <c r="D20" s="2455"/>
      <c r="E20" s="2455"/>
      <c r="F20" s="2455"/>
    </row>
    <row r="21" spans="1:6" ht="20.65" customHeight="1" x14ac:dyDescent="0.2">
      <c r="A21" s="1282"/>
      <c r="B21" s="1283"/>
      <c r="C21" s="1284"/>
      <c r="D21" s="2455"/>
      <c r="E21" s="2455"/>
      <c r="F21" s="2455"/>
    </row>
    <row r="22" spans="1:6" ht="20.65" customHeight="1" x14ac:dyDescent="0.2">
      <c r="A22" s="1282"/>
      <c r="B22" s="1283"/>
      <c r="C22" s="1284"/>
      <c r="D22" s="2455"/>
      <c r="E22" s="2455"/>
      <c r="F22" s="2455"/>
    </row>
    <row r="23" spans="1:6" ht="20.65" customHeight="1" x14ac:dyDescent="0.2">
      <c r="A23" s="1282"/>
      <c r="B23" s="1283"/>
      <c r="C23" s="1284"/>
      <c r="D23" s="2455"/>
      <c r="E23" s="2455"/>
      <c r="F23" s="2455"/>
    </row>
    <row r="24" spans="1:6" ht="20.65" customHeight="1" x14ac:dyDescent="0.2">
      <c r="A24" s="1282"/>
      <c r="B24" s="1283"/>
      <c r="C24" s="1284"/>
      <c r="D24" s="2455"/>
      <c r="E24" s="2455"/>
      <c r="F24" s="2455"/>
    </row>
    <row r="25" spans="1:6" ht="20.65" customHeight="1" x14ac:dyDescent="0.2">
      <c r="A25" s="1282"/>
      <c r="B25" s="1283"/>
      <c r="C25" s="1284"/>
      <c r="D25" s="2455"/>
      <c r="E25" s="2455"/>
      <c r="F25" s="2455"/>
    </row>
    <row r="26" spans="1:6" ht="20.65" customHeight="1" x14ac:dyDescent="0.2">
      <c r="A26" s="1282"/>
      <c r="B26" s="1283"/>
      <c r="C26" s="1284"/>
      <c r="D26" s="2455"/>
      <c r="E26" s="2455"/>
      <c r="F26" s="2455"/>
    </row>
    <row r="27" spans="1:6" ht="20.65" customHeight="1" x14ac:dyDescent="0.2">
      <c r="A27" s="1282"/>
      <c r="B27" s="1283"/>
      <c r="C27" s="1284"/>
      <c r="D27" s="2455"/>
      <c r="E27" s="2455"/>
      <c r="F27" s="2455"/>
    </row>
    <row r="28" spans="1:6" ht="20.65" customHeight="1" x14ac:dyDescent="0.2">
      <c r="A28" s="1282"/>
      <c r="B28" s="1283"/>
      <c r="C28" s="1284"/>
      <c r="D28" s="2455"/>
      <c r="E28" s="2455"/>
      <c r="F28" s="2455"/>
    </row>
    <row r="29" spans="1:6" ht="20.65" customHeight="1" x14ac:dyDescent="0.2">
      <c r="A29" s="1282"/>
      <c r="B29" s="1283"/>
      <c r="C29" s="1284"/>
      <c r="D29" s="2455"/>
      <c r="E29" s="2455"/>
      <c r="F29" s="2455"/>
    </row>
    <row r="30" spans="1:6" ht="12" customHeight="1" x14ac:dyDescent="0.2">
      <c r="A30" s="328"/>
      <c r="B30" s="328"/>
      <c r="C30" s="1477"/>
      <c r="D30" s="1924"/>
      <c r="E30" s="1285"/>
    </row>
    <row r="31" spans="1:6" ht="12" customHeight="1" x14ac:dyDescent="0.2">
      <c r="A31" s="1286" t="s">
        <v>1630</v>
      </c>
      <c r="B31" s="328"/>
      <c r="C31" s="1477"/>
      <c r="D31" s="1924"/>
      <c r="E31" s="1285"/>
    </row>
    <row r="32" spans="1:6" ht="30" customHeight="1" x14ac:dyDescent="0.2">
      <c r="A32" s="2459" t="s">
        <v>1835</v>
      </c>
      <c r="B32" s="2459"/>
      <c r="C32" s="2459"/>
      <c r="D32" s="2459"/>
      <c r="E32" s="2459"/>
      <c r="F32" s="2459"/>
    </row>
    <row r="33" spans="1:6" ht="13.5" customHeight="1" x14ac:dyDescent="0.2">
      <c r="A33" s="328" t="s">
        <v>1509</v>
      </c>
      <c r="B33" s="328"/>
      <c r="C33" s="1287">
        <v>0</v>
      </c>
      <c r="D33" s="1924"/>
      <c r="E33" s="1285"/>
    </row>
    <row r="34" spans="1:6" ht="13.5" customHeight="1" x14ac:dyDescent="0.2">
      <c r="A34" s="328" t="s">
        <v>1949</v>
      </c>
      <c r="B34" s="328"/>
      <c r="C34" s="1288">
        <v>0</v>
      </c>
      <c r="D34" s="1924" t="s">
        <v>1671</v>
      </c>
      <c r="E34" s="2460">
        <f>+C33+C34</f>
        <v>0</v>
      </c>
      <c r="F34" s="2461"/>
    </row>
    <row r="35" spans="1:6" ht="12" customHeight="1" x14ac:dyDescent="0.2">
      <c r="A35" s="328"/>
      <c r="B35" s="328"/>
      <c r="C35" s="1925"/>
      <c r="D35" s="1924"/>
      <c r="E35" s="1289"/>
      <c r="F35" s="1290"/>
    </row>
    <row r="36" spans="1:6" ht="13.5" customHeight="1" x14ac:dyDescent="0.2">
      <c r="A36" s="1286" t="s">
        <v>1631</v>
      </c>
      <c r="B36" s="328"/>
      <c r="C36" s="1477"/>
      <c r="D36" s="1924"/>
      <c r="E36" s="1285"/>
    </row>
    <row r="37" spans="1:6" ht="14.25" customHeight="1" x14ac:dyDescent="0.2">
      <c r="A37" s="328" t="s">
        <v>1563</v>
      </c>
      <c r="B37" s="328"/>
      <c r="C37" s="1926"/>
      <c r="D37" s="1924"/>
      <c r="E37" s="1285"/>
    </row>
    <row r="38" spans="1:6" ht="14.25" customHeight="1" x14ac:dyDescent="0.2">
      <c r="A38" s="328"/>
      <c r="B38" s="328" t="s">
        <v>1510</v>
      </c>
      <c r="C38" s="1291"/>
      <c r="D38" s="1924"/>
      <c r="E38" s="1285"/>
    </row>
    <row r="39" spans="1:6" ht="14.25" customHeight="1" x14ac:dyDescent="0.2">
      <c r="A39" s="328"/>
      <c r="B39" s="328" t="s">
        <v>1511</v>
      </c>
      <c r="C39" s="1291"/>
      <c r="D39" s="1924"/>
      <c r="E39" s="1285"/>
    </row>
    <row r="40" spans="1:6" ht="14.25" customHeight="1" x14ac:dyDescent="0.2">
      <c r="A40" s="328"/>
      <c r="B40" s="328" t="s">
        <v>1512</v>
      </c>
      <c r="C40" s="1291"/>
      <c r="D40" s="1924"/>
      <c r="E40" s="1285"/>
    </row>
    <row r="41" spans="1:6" ht="14.25" customHeight="1" x14ac:dyDescent="0.2">
      <c r="A41" s="328"/>
      <c r="B41" s="328" t="s">
        <v>1513</v>
      </c>
      <c r="C41" s="1291"/>
      <c r="D41" s="1924"/>
      <c r="E41" s="1285"/>
    </row>
    <row r="42" spans="1:6" ht="14.25" customHeight="1" x14ac:dyDescent="0.2">
      <c r="A42" s="328" t="s">
        <v>1514</v>
      </c>
      <c r="B42" s="328"/>
      <c r="C42" s="1922"/>
      <c r="D42" s="1924"/>
      <c r="E42" s="1285"/>
    </row>
    <row r="43" spans="1:6" ht="14.25" customHeight="1" x14ac:dyDescent="0.2">
      <c r="A43" s="328" t="s">
        <v>1515</v>
      </c>
      <c r="B43" s="328"/>
      <c r="C43" s="1292"/>
      <c r="D43" s="1924"/>
      <c r="E43" s="1285"/>
    </row>
    <row r="44" spans="1:6" ht="14.25" customHeight="1" x14ac:dyDescent="0.2">
      <c r="A44" s="328"/>
      <c r="B44" s="328"/>
      <c r="C44" s="1926" t="s">
        <v>1516</v>
      </c>
      <c r="D44" s="1924"/>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2" t="s">
        <v>1672</v>
      </c>
      <c r="C49" s="2462"/>
      <c r="D49" s="2462"/>
      <c r="E49" s="1398"/>
    </row>
    <row r="50" spans="1:5" s="1299" customFormat="1" ht="3.75" customHeight="1" x14ac:dyDescent="0.2">
      <c r="A50" s="1298"/>
      <c r="B50" s="1866"/>
      <c r="C50" s="1866"/>
      <c r="D50" s="1866"/>
      <c r="E50" s="1398"/>
    </row>
    <row r="51" spans="1:5" s="1299" customFormat="1" ht="20.25" customHeight="1" x14ac:dyDescent="0.2">
      <c r="A51" s="1300">
        <v>6</v>
      </c>
      <c r="B51" s="2458" t="s">
        <v>1632</v>
      </c>
      <c r="C51" s="2458"/>
      <c r="D51" s="2458"/>
    </row>
    <row r="52" spans="1:5" ht="14.25" customHeight="1" x14ac:dyDescent="0.2">
      <c r="A52" s="1300"/>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4" sqref="A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07" t="str">
        <f>'Single Audit Cover'!A7</f>
        <v>United CUSD 304</v>
      </c>
      <c r="C1" s="2463"/>
      <c r="D1" s="2463"/>
      <c r="E1" s="2463"/>
      <c r="F1" s="2463"/>
      <c r="G1" s="2463"/>
      <c r="H1" s="2463"/>
      <c r="I1" s="2463"/>
      <c r="J1" s="2463"/>
      <c r="K1" s="2463"/>
      <c r="L1" s="2463"/>
      <c r="M1" s="2463"/>
    </row>
    <row r="2" spans="2:14" ht="15" x14ac:dyDescent="0.2">
      <c r="B2" s="2452" t="str">
        <f>'Single Audit Cover'!E7</f>
        <v>33-094-3040-26</v>
      </c>
      <c r="C2" s="2452"/>
      <c r="D2" s="2452"/>
      <c r="E2" s="2452"/>
      <c r="F2" s="2452"/>
      <c r="G2" s="2452"/>
      <c r="H2" s="2452"/>
      <c r="I2" s="2452"/>
      <c r="J2" s="2452"/>
      <c r="K2" s="2452"/>
      <c r="L2" s="2452"/>
      <c r="M2" s="2452"/>
      <c r="N2" s="1301"/>
    </row>
    <row r="3" spans="2:14" ht="15" x14ac:dyDescent="0.2">
      <c r="B3" s="2464" t="s">
        <v>1281</v>
      </c>
      <c r="C3" s="2464"/>
      <c r="D3" s="2464"/>
      <c r="E3" s="2464"/>
      <c r="F3" s="2464"/>
      <c r="G3" s="2464"/>
      <c r="H3" s="2464"/>
      <c r="I3" s="2464"/>
      <c r="J3" s="2464"/>
      <c r="K3" s="2464"/>
      <c r="L3" s="2464"/>
      <c r="M3" s="2464"/>
      <c r="N3" s="1301"/>
    </row>
    <row r="4" spans="2:14" ht="15" x14ac:dyDescent="0.2">
      <c r="B4" s="2465" t="str">
        <f>'Single Audit Cover'!A4</f>
        <v>Year Ending June 30, 2018</v>
      </c>
      <c r="C4" s="2465"/>
      <c r="D4" s="2465"/>
      <c r="E4" s="2465"/>
      <c r="F4" s="2465"/>
      <c r="G4" s="2465"/>
      <c r="H4" s="2465"/>
      <c r="I4" s="2465"/>
      <c r="J4" s="2465"/>
      <c r="K4" s="2465"/>
      <c r="L4" s="2465"/>
      <c r="M4" s="246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t="s">
        <v>2077</v>
      </c>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2077</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2091</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24" sqref="A24"/>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United CUSD 304</v>
      </c>
      <c r="C1" s="2471"/>
      <c r="D1" s="2471"/>
      <c r="E1" s="2471"/>
      <c r="F1" s="2471"/>
      <c r="G1" s="2471"/>
      <c r="H1" s="2471"/>
      <c r="I1" s="2471"/>
      <c r="J1" s="1421"/>
    </row>
    <row r="2" spans="2:10" s="317" customFormat="1" ht="12.75" customHeight="1" x14ac:dyDescent="0.2">
      <c r="B2" s="2472" t="str">
        <f>'Single Audit Cover'!E7</f>
        <v>33-094-3040-26</v>
      </c>
      <c r="C2" s="2473"/>
      <c r="D2" s="2473"/>
      <c r="E2" s="2473"/>
      <c r="F2" s="2473"/>
      <c r="G2" s="2473"/>
      <c r="H2" s="2473"/>
      <c r="I2" s="2473"/>
      <c r="J2" s="1421"/>
    </row>
    <row r="3" spans="2:10" s="317" customFormat="1" ht="12.75" customHeight="1" x14ac:dyDescent="0.2">
      <c r="B3" s="2474" t="s">
        <v>1347</v>
      </c>
      <c r="C3" s="2475"/>
      <c r="D3" s="2475"/>
      <c r="E3" s="2475"/>
      <c r="F3" s="2475"/>
      <c r="G3" s="2475"/>
      <c r="H3" s="2475"/>
      <c r="I3" s="2475"/>
      <c r="J3" s="1422"/>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4" t="s">
        <v>1346</v>
      </c>
      <c r="C7" s="2475"/>
      <c r="D7" s="2475"/>
      <c r="E7" s="2475"/>
      <c r="F7" s="2475"/>
      <c r="G7" s="2475"/>
      <c r="H7" s="2475"/>
      <c r="I7" s="2475"/>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76"/>
      <c r="D11" s="2476"/>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77"/>
      <c r="E29" s="2477"/>
      <c r="F29" s="2477"/>
      <c r="G29" s="2477"/>
      <c r="H29" s="2477"/>
      <c r="I29" s="2477"/>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78" t="s">
        <v>1854</v>
      </c>
      <c r="D37" s="2479"/>
      <c r="E37" s="2479"/>
      <c r="F37" s="2480"/>
      <c r="G37" s="2478" t="s">
        <v>1674</v>
      </c>
      <c r="H37" s="2479"/>
      <c r="I37" s="2480"/>
    </row>
    <row r="38" spans="2:9" ht="16.5" customHeight="1" x14ac:dyDescent="0.2">
      <c r="B38" s="1443"/>
      <c r="C38" s="2466"/>
      <c r="D38" s="2467"/>
      <c r="E38" s="2467"/>
      <c r="F38" s="2468"/>
      <c r="G38" s="2481"/>
      <c r="H38" s="2482"/>
      <c r="I38" s="2483"/>
    </row>
    <row r="39" spans="2:9" ht="16.5" customHeight="1" x14ac:dyDescent="0.2">
      <c r="B39" s="1443"/>
      <c r="C39" s="2466"/>
      <c r="D39" s="2467"/>
      <c r="E39" s="2467"/>
      <c r="F39" s="2468"/>
      <c r="G39" s="2469"/>
      <c r="H39" s="2469"/>
      <c r="I39" s="2469"/>
    </row>
    <row r="40" spans="2:9" ht="16.5" customHeight="1" x14ac:dyDescent="0.2">
      <c r="B40" s="1443"/>
      <c r="C40" s="2466"/>
      <c r="D40" s="2467"/>
      <c r="E40" s="2467"/>
      <c r="F40" s="2468"/>
      <c r="G40" s="2469"/>
      <c r="H40" s="2469"/>
      <c r="I40" s="2469"/>
    </row>
    <row r="41" spans="2:9" ht="16.5" customHeight="1" x14ac:dyDescent="0.2">
      <c r="B41" s="1443"/>
      <c r="C41" s="2466"/>
      <c r="D41" s="2467"/>
      <c r="E41" s="2467"/>
      <c r="F41" s="2468"/>
      <c r="G41" s="2469"/>
      <c r="H41" s="2469"/>
      <c r="I41" s="2469"/>
    </row>
    <row r="42" spans="2:9" ht="16.5" customHeight="1" x14ac:dyDescent="0.2">
      <c r="B42" s="1443"/>
      <c r="C42" s="2466"/>
      <c r="D42" s="2467"/>
      <c r="E42" s="2467"/>
      <c r="F42" s="2468"/>
      <c r="G42" s="2469"/>
      <c r="H42" s="2469"/>
      <c r="I42" s="2469"/>
    </row>
    <row r="43" spans="2:9" ht="16.5" customHeight="1" x14ac:dyDescent="0.2">
      <c r="B43" s="1443"/>
      <c r="C43" s="2484" t="s">
        <v>1675</v>
      </c>
      <c r="D43" s="2485"/>
      <c r="E43" s="2485"/>
      <c r="F43" s="2486"/>
      <c r="G43" s="2487">
        <f>SUM(G38:I42)</f>
        <v>0</v>
      </c>
      <c r="H43" s="2487"/>
      <c r="I43" s="2487"/>
    </row>
    <row r="44" spans="2:9" ht="12.75" customHeight="1" x14ac:dyDescent="0.2"/>
    <row r="45" spans="2:9" ht="12.75" customHeight="1" x14ac:dyDescent="0.2">
      <c r="B45" s="1434" t="s">
        <v>1952</v>
      </c>
      <c r="D45" s="2488">
        <v>0</v>
      </c>
      <c r="E45" s="248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0"/>
      <c r="F49" s="2490"/>
      <c r="G49" s="249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8"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1</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63.75" customHeight="1" x14ac:dyDescent="0.2">
      <c r="B14" s="2492" t="s">
        <v>2078</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2079</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t="s">
        <v>2080</v>
      </c>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2081</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2082</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2083</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952"/>
      <c r="M3" s="1952"/>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2</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v>2013</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t="s">
        <v>2112</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2113</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t="s">
        <v>2114</v>
      </c>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2115</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2116</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2159</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953"/>
      <c r="M3" s="1953"/>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3</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v>2013</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t="s">
        <v>2165</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2171</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2166</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2117</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0"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953"/>
      <c r="M3" s="1953"/>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4</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v>2016</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t="s">
        <v>2141</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2142</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2143</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2167</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1"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953"/>
      <c r="M3" s="1953"/>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5</v>
      </c>
      <c r="E10" s="322"/>
      <c r="F10" s="1386" t="s">
        <v>1362</v>
      </c>
      <c r="G10" s="1387" t="s">
        <v>2077</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t="s">
        <v>2160</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2161</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2162</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2163</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5" zoomScale="110" zoomScaleNormal="110" workbookViewId="0">
      <selection activeCell="B26" sqref="B26:K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CUSD 304</v>
      </c>
      <c r="C1" s="2470"/>
      <c r="D1" s="2470"/>
      <c r="E1" s="2470"/>
      <c r="F1" s="2470"/>
      <c r="G1" s="2470"/>
      <c r="H1" s="2470"/>
      <c r="I1" s="2470"/>
      <c r="J1" s="2470"/>
      <c r="K1" s="2470"/>
      <c r="L1" s="1373"/>
      <c r="M1" s="1373"/>
    </row>
    <row r="2" spans="1:13" ht="12" customHeight="1" x14ac:dyDescent="0.2">
      <c r="B2" s="2472" t="str">
        <f>'Single Audit Cover'!E7</f>
        <v>33-094-3040-26</v>
      </c>
      <c r="C2" s="2472"/>
      <c r="D2" s="2472"/>
      <c r="E2" s="2472"/>
      <c r="F2" s="2472"/>
      <c r="G2" s="2472"/>
      <c r="H2" s="2472"/>
      <c r="I2" s="2472"/>
      <c r="J2" s="2472"/>
      <c r="K2" s="2472"/>
      <c r="L2" s="1374"/>
      <c r="M2" s="1375"/>
    </row>
    <row r="3" spans="1:13" ht="10.35" customHeight="1" x14ac:dyDescent="0.2">
      <c r="B3" s="2493" t="s">
        <v>1347</v>
      </c>
      <c r="C3" s="2493"/>
      <c r="D3" s="2493"/>
      <c r="E3" s="2493"/>
      <c r="F3" s="2493"/>
      <c r="G3" s="2493"/>
      <c r="H3" s="2493"/>
      <c r="I3" s="2493"/>
      <c r="J3" s="2493"/>
      <c r="K3" s="2493"/>
      <c r="L3" s="1953"/>
      <c r="M3" s="1953"/>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6</v>
      </c>
      <c r="E10" s="322"/>
      <c r="F10" s="1386" t="s">
        <v>1362</v>
      </c>
      <c r="G10" s="1387" t="s">
        <v>2077</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t="s">
        <v>2168</v>
      </c>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2172</v>
      </c>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t="s">
        <v>2173</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2169</v>
      </c>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t="s">
        <v>2170</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United CUSD 304</v>
      </c>
      <c r="C1" s="2497"/>
      <c r="D1" s="2497"/>
      <c r="E1" s="2497"/>
      <c r="F1" s="2497"/>
      <c r="G1" s="2497"/>
      <c r="H1" s="2497"/>
      <c r="I1" s="2497"/>
      <c r="J1" s="2497"/>
      <c r="K1" s="2497"/>
      <c r="L1" s="1464"/>
    </row>
    <row r="2" spans="1:12" ht="12.75" customHeight="1" x14ac:dyDescent="0.2">
      <c r="B2" s="2498" t="str">
        <f>'Single Audit Cover'!E7</f>
        <v>33-094-3040-26</v>
      </c>
      <c r="C2" s="2498"/>
      <c r="D2" s="2498"/>
      <c r="E2" s="2498"/>
      <c r="F2" s="2498"/>
      <c r="G2" s="2498"/>
      <c r="H2" s="2498"/>
      <c r="I2" s="2498"/>
      <c r="J2" s="2498"/>
      <c r="K2" s="2498"/>
      <c r="L2" s="1465"/>
    </row>
    <row r="3" spans="1:12" ht="12.75" customHeight="1" x14ac:dyDescent="0.2">
      <c r="B3" s="2493" t="s">
        <v>1347</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59" t="s">
        <v>1231</v>
      </c>
      <c r="C5" s="1259"/>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77"/>
      <c r="G12" s="2477"/>
      <c r="H12" s="2477"/>
      <c r="I12" s="2477"/>
      <c r="J12" s="2477"/>
      <c r="K12" s="2477"/>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0"/>
      <c r="E14" s="2500"/>
      <c r="F14" s="2500"/>
      <c r="H14" s="1474" t="s">
        <v>1370</v>
      </c>
      <c r="I14" s="2501"/>
      <c r="J14" s="2501"/>
      <c r="K14" s="250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1"/>
      <c r="E16" s="2501"/>
      <c r="F16" s="2501"/>
      <c r="G16" s="2501"/>
      <c r="H16" s="2501"/>
      <c r="I16" s="2501"/>
      <c r="J16" s="2501"/>
      <c r="K16" s="2501"/>
      <c r="L16" s="322"/>
    </row>
    <row r="17" spans="2:12" ht="13.5" customHeight="1" x14ac:dyDescent="0.2">
      <c r="B17" s="1386" t="s">
        <v>1368</v>
      </c>
      <c r="C17" s="1386"/>
      <c r="D17" s="2502"/>
      <c r="E17" s="2502"/>
      <c r="F17" s="2502"/>
      <c r="G17" s="2502"/>
      <c r="H17" s="2502"/>
      <c r="I17" s="2502"/>
      <c r="J17" s="2502"/>
      <c r="K17" s="250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0" t="str">
        <f>'Single Audit Cover'!A7</f>
        <v>United CUSD 304</v>
      </c>
      <c r="C1" s="2470"/>
      <c r="D1" s="2470"/>
      <c r="E1" s="1490"/>
    </row>
    <row r="2" spans="2:5" s="1281" customFormat="1" ht="12.75" customHeight="1" x14ac:dyDescent="0.2">
      <c r="B2" s="2472" t="str">
        <f>'Single Audit Cover'!E7</f>
        <v>33-094-3040-26</v>
      </c>
      <c r="C2" s="2472"/>
      <c r="D2" s="2472"/>
      <c r="E2" s="1491"/>
    </row>
    <row r="3" spans="2:5" ht="12.75" customHeight="1" x14ac:dyDescent="0.2">
      <c r="B3" s="2493" t="s">
        <v>1869</v>
      </c>
      <c r="C3" s="2493"/>
      <c r="D3" s="2493"/>
      <c r="E3" s="1273"/>
    </row>
    <row r="4" spans="2:5" s="1281" customFormat="1" ht="12.75" customHeight="1" x14ac:dyDescent="0.2">
      <c r="B4" s="2503" t="str">
        <f>'Single Audit Cover'!A4</f>
        <v>Year Ending June 30, 2018</v>
      </c>
      <c r="C4" s="2503"/>
      <c r="D4" s="250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t="s">
        <v>2144</v>
      </c>
      <c r="C7" s="324" t="s">
        <v>2145</v>
      </c>
      <c r="D7" s="324" t="s">
        <v>2146</v>
      </c>
      <c r="E7" s="324"/>
    </row>
    <row r="8" spans="2:5" ht="13.5" customHeight="1" x14ac:dyDescent="0.2">
      <c r="B8" s="1495"/>
      <c r="C8" s="324"/>
      <c r="D8" s="324" t="s">
        <v>2147</v>
      </c>
      <c r="E8" s="324"/>
    </row>
    <row r="9" spans="2:5" ht="13.5" customHeight="1" x14ac:dyDescent="0.2">
      <c r="B9" s="1496"/>
      <c r="C9" s="323"/>
      <c r="D9" s="323"/>
      <c r="E9" s="323"/>
    </row>
    <row r="10" spans="2:5" ht="13.5" customHeight="1" x14ac:dyDescent="0.2">
      <c r="B10" s="1495" t="s">
        <v>2148</v>
      </c>
      <c r="C10" s="323" t="s">
        <v>2149</v>
      </c>
      <c r="D10" s="323" t="s">
        <v>2151</v>
      </c>
      <c r="E10" s="323"/>
    </row>
    <row r="11" spans="2:5" ht="13.5" customHeight="1" x14ac:dyDescent="0.2">
      <c r="B11" s="1495"/>
      <c r="C11" s="323" t="s">
        <v>2150</v>
      </c>
      <c r="D11" s="323"/>
      <c r="E11" s="323"/>
    </row>
    <row r="12" spans="2:5" ht="13.5" customHeight="1" x14ac:dyDescent="0.2">
      <c r="B12" s="1495"/>
      <c r="C12" s="323"/>
      <c r="D12" s="323"/>
      <c r="E12" s="323"/>
    </row>
    <row r="13" spans="2:5" ht="13.5" customHeight="1" x14ac:dyDescent="0.2">
      <c r="B13" s="1495" t="s">
        <v>2152</v>
      </c>
      <c r="C13" s="323" t="s">
        <v>2153</v>
      </c>
      <c r="D13" s="323" t="s">
        <v>2151</v>
      </c>
      <c r="E13" s="323"/>
    </row>
    <row r="14" spans="2:5" ht="13.5" customHeight="1" x14ac:dyDescent="0.2">
      <c r="B14" s="1495"/>
      <c r="C14" s="323" t="s">
        <v>2154</v>
      </c>
      <c r="D14" s="323"/>
      <c r="E14" s="323"/>
    </row>
    <row r="15" spans="2:5" ht="13.5" customHeight="1" x14ac:dyDescent="0.2">
      <c r="B15" s="1495"/>
      <c r="C15" s="323"/>
      <c r="D15" s="323"/>
      <c r="E15" s="323"/>
    </row>
    <row r="16" spans="2:5" ht="13.5" customHeight="1" x14ac:dyDescent="0.2">
      <c r="B16" s="1495" t="s">
        <v>2155</v>
      </c>
      <c r="C16" s="323" t="s">
        <v>2156</v>
      </c>
      <c r="D16" s="323" t="s">
        <v>2151</v>
      </c>
      <c r="E16" s="323"/>
    </row>
    <row r="17" spans="2:5" ht="13.5" customHeight="1" x14ac:dyDescent="0.2">
      <c r="B17" s="1495"/>
      <c r="C17" s="323" t="s">
        <v>2157</v>
      </c>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24" sqref="A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184124898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0.03</v>
      </c>
      <c r="E10" s="356" t="s">
        <v>1062</v>
      </c>
      <c r="F10" s="355">
        <v>5.0000000000000001E-3</v>
      </c>
      <c r="G10" s="356" t="s">
        <v>1062</v>
      </c>
      <c r="H10" s="355">
        <v>2E-3</v>
      </c>
      <c r="I10" s="356" t="s">
        <v>1063</v>
      </c>
      <c r="J10" s="1752">
        <f>ROUND(D10+F10+H10,5)</f>
        <v>3.6999999999999998E-2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10573301</v>
      </c>
      <c r="E16" s="356"/>
      <c r="F16" s="1753">
        <f>SUM('Acct Summary 7-8'!C17,'Acct Summary 7-8'!D17,'Acct Summary 7-8'!F17)</f>
        <v>9662344</v>
      </c>
      <c r="G16" s="356"/>
      <c r="H16" s="1753">
        <f>SUM(D16-F16)</f>
        <v>910957</v>
      </c>
      <c r="I16" s="222"/>
      <c r="J16" s="1753">
        <f>SUM('Acct Summary 7-8'!C81,'Acct Summary 7-8'!D81,'Acct Summary 7-8'!F81,'Acct Summary 7-8'!I81)</f>
        <v>3920156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25409235.924000002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5075000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5" zoomScale="110" zoomScaleNormal="110" workbookViewId="0">
      <selection activeCell="A24" sqref="A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United CUSD 304</v>
      </c>
      <c r="E7" s="391"/>
      <c r="G7" s="252"/>
      <c r="H7" s="387"/>
      <c r="I7" s="387"/>
      <c r="J7" s="387"/>
      <c r="K7" s="387"/>
      <c r="L7" s="329"/>
      <c r="M7" s="329"/>
      <c r="N7" s="329"/>
      <c r="O7" s="329"/>
      <c r="P7" s="329"/>
    </row>
    <row r="8" spans="1:18" ht="12.75" x14ac:dyDescent="0.2">
      <c r="A8" s="329"/>
      <c r="B8" s="329"/>
      <c r="C8" s="389" t="s">
        <v>1187</v>
      </c>
      <c r="D8" s="392" t="str">
        <f>COVER!A13</f>
        <v>33-094-3040-26</v>
      </c>
      <c r="E8" s="393"/>
      <c r="G8" s="329"/>
      <c r="H8" s="329"/>
      <c r="I8" s="329"/>
      <c r="J8" s="329"/>
      <c r="K8" s="329"/>
      <c r="L8" s="329"/>
      <c r="M8" s="329"/>
      <c r="N8" s="329"/>
      <c r="O8" s="329"/>
      <c r="P8" s="329"/>
    </row>
    <row r="9" spans="1:18" ht="12.75" x14ac:dyDescent="0.2">
      <c r="A9" s="329"/>
      <c r="B9" s="329"/>
      <c r="C9" s="389" t="s">
        <v>737</v>
      </c>
      <c r="D9" s="394" t="str">
        <f>COVER!A15</f>
        <v>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3920156</v>
      </c>
      <c r="I12" s="404"/>
      <c r="J12" s="404"/>
      <c r="K12" s="405">
        <f>TRUNC((H12/H13*100000),5)/100000</f>
        <v>0.37075989790000002</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10573301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9662344</v>
      </c>
      <c r="I17" s="404"/>
      <c r="J17" s="416"/>
      <c r="K17" s="405">
        <f>TRUNC((H17/H18*100000),5)/100000</f>
        <v>0.91384365199999995</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10573301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3920333</v>
      </c>
      <c r="I24" s="422"/>
      <c r="J24" s="422"/>
      <c r="K24" s="423">
        <f>TRUNC(((H24/H25*100000)/100000),2)</f>
        <v>146.06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26839.844440000001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5790728.0421000002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5075000</v>
      </c>
      <c r="I32" s="420"/>
      <c r="J32" s="420"/>
      <c r="K32" s="423">
        <f>TRUNC(100-((((H32/H33*100))*100)/100),2)</f>
        <v>80.02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25409235.924000002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8" activePane="bottomLeft" state="frozen"/>
      <selection activeCell="A24" sqref="A24"/>
      <selection pane="bottomLeft" activeCell="A24" sqref="A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0"/>
      <c r="D3" s="1581"/>
      <c r="E3" s="1581"/>
      <c r="F3" s="1581"/>
      <c r="G3" s="1581"/>
      <c r="H3" s="1581"/>
      <c r="I3" s="1581"/>
      <c r="J3" s="1581"/>
      <c r="K3" s="1581"/>
      <c r="L3" s="1581"/>
      <c r="M3" s="1582"/>
      <c r="N3" s="1583"/>
    </row>
    <row r="4" spans="1:14" ht="13.5" customHeight="1" x14ac:dyDescent="0.2">
      <c r="A4" s="463" t="s">
        <v>1750</v>
      </c>
      <c r="B4" s="464"/>
      <c r="C4" s="465">
        <v>1891649</v>
      </c>
      <c r="D4" s="466">
        <v>40833</v>
      </c>
      <c r="E4" s="466">
        <v>182495</v>
      </c>
      <c r="F4" s="466">
        <v>1407441</v>
      </c>
      <c r="G4" s="466">
        <v>307886</v>
      </c>
      <c r="H4" s="466">
        <v>153370</v>
      </c>
      <c r="I4" s="466">
        <v>382883</v>
      </c>
      <c r="J4" s="467">
        <v>318468</v>
      </c>
      <c r="K4" s="466">
        <v>172070</v>
      </c>
      <c r="L4" s="466">
        <v>194195</v>
      </c>
      <c r="M4" s="468"/>
      <c r="N4" s="469"/>
    </row>
    <row r="5" spans="1:14" x14ac:dyDescent="0.2">
      <c r="A5" s="463" t="s">
        <v>1049</v>
      </c>
      <c r="B5" s="470">
        <v>120</v>
      </c>
      <c r="C5" s="465">
        <v>82137</v>
      </c>
      <c r="D5" s="466"/>
      <c r="E5" s="466"/>
      <c r="F5" s="466">
        <v>25403</v>
      </c>
      <c r="G5" s="466">
        <v>48226</v>
      </c>
      <c r="H5" s="466"/>
      <c r="I5" s="466">
        <v>89987</v>
      </c>
      <c r="J5" s="467"/>
      <c r="K5" s="471"/>
      <c r="L5" s="472">
        <v>146369</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1973786</v>
      </c>
      <c r="D13" s="1757">
        <f t="shared" ref="D13:L13" si="0">SUM(D4:D12)</f>
        <v>40833</v>
      </c>
      <c r="E13" s="1757">
        <f t="shared" si="0"/>
        <v>182495</v>
      </c>
      <c r="F13" s="1757">
        <f t="shared" si="0"/>
        <v>1432844</v>
      </c>
      <c r="G13" s="1757">
        <f t="shared" si="0"/>
        <v>356112</v>
      </c>
      <c r="H13" s="1757">
        <f t="shared" si="0"/>
        <v>153370</v>
      </c>
      <c r="I13" s="1757">
        <f t="shared" si="0"/>
        <v>472870</v>
      </c>
      <c r="J13" s="1757">
        <f t="shared" si="0"/>
        <v>318468</v>
      </c>
      <c r="K13" s="1757">
        <f t="shared" si="0"/>
        <v>172070</v>
      </c>
      <c r="L13" s="1757">
        <f t="shared" si="0"/>
        <v>340564</v>
      </c>
      <c r="M13" s="468"/>
      <c r="N13" s="469"/>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231158</v>
      </c>
      <c r="N16" s="484"/>
    </row>
    <row r="17" spans="1:14" s="485" customFormat="1" ht="12.75" customHeight="1" x14ac:dyDescent="0.2">
      <c r="A17" s="482" t="s">
        <v>1470</v>
      </c>
      <c r="B17" s="483">
        <v>230</v>
      </c>
      <c r="C17" s="477"/>
      <c r="D17" s="477"/>
      <c r="E17" s="477"/>
      <c r="F17" s="477"/>
      <c r="G17" s="477"/>
      <c r="H17" s="477"/>
      <c r="I17" s="477"/>
      <c r="J17" s="477"/>
      <c r="K17" s="477"/>
      <c r="L17" s="477"/>
      <c r="M17" s="467">
        <v>17435367</v>
      </c>
      <c r="N17" s="484"/>
    </row>
    <row r="18" spans="1:14" s="485" customFormat="1" ht="12.75" customHeight="1" x14ac:dyDescent="0.2">
      <c r="A18" s="482" t="s">
        <v>1471</v>
      </c>
      <c r="B18" s="483">
        <v>240</v>
      </c>
      <c r="C18" s="477"/>
      <c r="D18" s="477"/>
      <c r="E18" s="477"/>
      <c r="F18" s="477"/>
      <c r="G18" s="477"/>
      <c r="H18" s="477"/>
      <c r="I18" s="477"/>
      <c r="J18" s="477"/>
      <c r="K18" s="477"/>
      <c r="L18" s="477"/>
      <c r="M18" s="467">
        <v>3661717</v>
      </c>
      <c r="N18" s="484"/>
    </row>
    <row r="19" spans="1:14" s="485" customFormat="1" ht="12.75" customHeight="1" x14ac:dyDescent="0.2">
      <c r="A19" s="482" t="s">
        <v>1472</v>
      </c>
      <c r="B19" s="483">
        <v>250</v>
      </c>
      <c r="C19" s="477"/>
      <c r="D19" s="477"/>
      <c r="E19" s="477"/>
      <c r="F19" s="477"/>
      <c r="G19" s="477"/>
      <c r="H19" s="477"/>
      <c r="I19" s="477"/>
      <c r="J19" s="477"/>
      <c r="K19" s="477"/>
      <c r="L19" s="477"/>
      <c r="M19" s="467">
        <v>1832606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182495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4892505</v>
      </c>
    </row>
    <row r="23" spans="1:14" ht="13.5" customHeight="1" thickBot="1" x14ac:dyDescent="0.25">
      <c r="A23" s="1756" t="s">
        <v>664</v>
      </c>
      <c r="B23" s="1761"/>
      <c r="C23" s="468"/>
      <c r="D23" s="468"/>
      <c r="E23" s="468"/>
      <c r="F23" s="468"/>
      <c r="G23" s="468"/>
      <c r="H23" s="468"/>
      <c r="I23" s="468"/>
      <c r="J23" s="468"/>
      <c r="K23" s="468"/>
      <c r="L23" s="468"/>
      <c r="M23" s="1708">
        <f>SUM(M15:M22)</f>
        <v>23160848</v>
      </c>
      <c r="N23" s="1708">
        <f>SUM(N21:N22)</f>
        <v>5075000</v>
      </c>
    </row>
    <row r="24" spans="1:14" ht="18" customHeight="1" thickTop="1" x14ac:dyDescent="0.2">
      <c r="A24" s="2129" t="s">
        <v>619</v>
      </c>
      <c r="B24" s="213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177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340564</v>
      </c>
      <c r="M33" s="468"/>
      <c r="N33" s="469"/>
    </row>
    <row r="34" spans="1:14" ht="13.5" customHeight="1" thickBot="1" x14ac:dyDescent="0.25">
      <c r="A34" s="1758" t="s">
        <v>675</v>
      </c>
      <c r="B34" s="1759"/>
      <c r="C34" s="1760">
        <f>SUM(C25:C33)</f>
        <v>177</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340564</v>
      </c>
      <c r="M34" s="468"/>
      <c r="N34" s="480"/>
    </row>
    <row r="35" spans="1:14" ht="18" customHeight="1" thickTop="1" x14ac:dyDescent="0.2">
      <c r="A35" s="2131" t="s">
        <v>550</v>
      </c>
      <c r="B35" s="213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5075000</v>
      </c>
    </row>
    <row r="37" spans="1:14" ht="13.5" thickBot="1" x14ac:dyDescent="0.25">
      <c r="A37" s="1756" t="s">
        <v>674</v>
      </c>
      <c r="B37" s="1761"/>
      <c r="C37" s="477"/>
      <c r="D37" s="477"/>
      <c r="E37" s="477"/>
      <c r="F37" s="477"/>
      <c r="G37" s="477"/>
      <c r="H37" s="477"/>
      <c r="I37" s="477"/>
      <c r="J37" s="477"/>
      <c r="K37" s="477"/>
      <c r="L37" s="480"/>
      <c r="M37" s="468"/>
      <c r="N37" s="1708">
        <f>SUM(N36:N36)</f>
        <v>5075000</v>
      </c>
    </row>
    <row r="38" spans="1:14" s="329" customFormat="1" ht="13.5" customHeight="1" thickTop="1" x14ac:dyDescent="0.2">
      <c r="A38" s="496" t="s">
        <v>440</v>
      </c>
      <c r="B38" s="483">
        <v>714</v>
      </c>
      <c r="C38" s="466">
        <v>186670</v>
      </c>
      <c r="D38" s="466"/>
      <c r="E38" s="466"/>
      <c r="F38" s="466"/>
      <c r="G38" s="466"/>
      <c r="H38" s="466"/>
      <c r="I38" s="466"/>
      <c r="J38" s="467"/>
      <c r="K38" s="466"/>
      <c r="L38" s="481"/>
      <c r="M38" s="497"/>
      <c r="N38" s="497"/>
    </row>
    <row r="39" spans="1:14" s="329" customFormat="1" ht="13.5" customHeight="1" x14ac:dyDescent="0.2">
      <c r="A39" s="496" t="s">
        <v>360</v>
      </c>
      <c r="B39" s="483">
        <v>730</v>
      </c>
      <c r="C39" s="466">
        <v>1786939</v>
      </c>
      <c r="D39" s="466">
        <v>40833</v>
      </c>
      <c r="E39" s="466">
        <v>182495</v>
      </c>
      <c r="F39" s="466">
        <v>1432844</v>
      </c>
      <c r="G39" s="466">
        <v>356112</v>
      </c>
      <c r="H39" s="466">
        <v>153370</v>
      </c>
      <c r="I39" s="466">
        <v>472870</v>
      </c>
      <c r="J39" s="467">
        <v>318468</v>
      </c>
      <c r="K39" s="466">
        <v>172070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23160848</v>
      </c>
      <c r="N40" s="497"/>
    </row>
    <row r="41" spans="1:14" ht="13.5" customHeight="1" thickBot="1" x14ac:dyDescent="0.25">
      <c r="A41" s="1756" t="s">
        <v>676</v>
      </c>
      <c r="B41" s="1726"/>
      <c r="C41" s="1708">
        <f>(SUM(C34,C37,C38,C39))</f>
        <v>1973786</v>
      </c>
      <c r="D41" s="1708">
        <f t="shared" ref="D41:L41" si="2">SUM(D34,D37,D38:D39)</f>
        <v>40833</v>
      </c>
      <c r="E41" s="1708">
        <f t="shared" si="2"/>
        <v>182495</v>
      </c>
      <c r="F41" s="1708">
        <f t="shared" si="2"/>
        <v>1432844</v>
      </c>
      <c r="G41" s="1708">
        <f t="shared" si="2"/>
        <v>356112</v>
      </c>
      <c r="H41" s="1708">
        <f t="shared" si="2"/>
        <v>153370</v>
      </c>
      <c r="I41" s="1708">
        <f t="shared" si="2"/>
        <v>472870</v>
      </c>
      <c r="J41" s="1708">
        <f t="shared" si="2"/>
        <v>318468</v>
      </c>
      <c r="K41" s="1708">
        <f t="shared" si="2"/>
        <v>172070</v>
      </c>
      <c r="L41" s="1708">
        <f t="shared" si="2"/>
        <v>340564</v>
      </c>
      <c r="M41" s="1708">
        <f>SUM(M40)</f>
        <v>23160848</v>
      </c>
      <c r="N41" s="1708">
        <f>SUM(N37)</f>
        <v>5075000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73" activePane="bottomLeft" state="frozenSplit"/>
      <selection activeCell="A24" sqref="A24"/>
      <selection pane="bottomLeft" activeCell="A24" sqref="A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4"/>
      <c r="D3" s="1595"/>
      <c r="E3" s="1595"/>
      <c r="F3" s="1595"/>
      <c r="G3" s="1595"/>
      <c r="H3" s="1595"/>
      <c r="I3" s="1595"/>
      <c r="J3" s="1595"/>
      <c r="K3" s="1596"/>
      <c r="L3" s="506"/>
    </row>
    <row r="4" spans="1:13" ht="15.75" customHeight="1" x14ac:dyDescent="0.2">
      <c r="A4" s="1950" t="s">
        <v>1579</v>
      </c>
      <c r="B4" s="1951">
        <v>1000</v>
      </c>
      <c r="C4" s="1762">
        <f>'Revenues 9-14'!C109</f>
        <v>5469988</v>
      </c>
      <c r="D4" s="1762">
        <f>'Revenues 9-14'!D109</f>
        <v>868716</v>
      </c>
      <c r="E4" s="1762">
        <f>'Revenues 9-14'!E109</f>
        <v>674596</v>
      </c>
      <c r="F4" s="1762">
        <f>'Revenues 9-14'!F109</f>
        <v>421696</v>
      </c>
      <c r="G4" s="1762">
        <f>'Revenues 9-14'!G109</f>
        <v>289310</v>
      </c>
      <c r="H4" s="1762">
        <f>'Revenues 9-14'!H109</f>
        <v>105973</v>
      </c>
      <c r="I4" s="1762">
        <f>'Revenues 9-14'!I109</f>
        <v>76543</v>
      </c>
      <c r="J4" s="1762">
        <f>'Revenues 9-14'!J109</f>
        <v>301642</v>
      </c>
      <c r="K4" s="1762">
        <f>'Revenues 9-14'!K109</f>
        <v>76229</v>
      </c>
      <c r="L4" s="347"/>
    </row>
    <row r="5" spans="1:13" ht="15.75" customHeight="1" x14ac:dyDescent="0.2">
      <c r="A5" s="1597" t="s">
        <v>1580</v>
      </c>
      <c r="B5" s="1598">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7" t="s">
        <v>1581</v>
      </c>
      <c r="B6" s="1599">
        <v>3000</v>
      </c>
      <c r="C6" s="1763">
        <f>'Revenues 9-14'!C173</f>
        <v>2025164</v>
      </c>
      <c r="D6" s="1763">
        <f>'Revenues 9-14'!D173</f>
        <v>0</v>
      </c>
      <c r="E6" s="1763">
        <f>'Revenues 9-14'!E173</f>
        <v>0</v>
      </c>
      <c r="F6" s="1763">
        <f>'Revenues 9-14'!F173</f>
        <v>1292916</v>
      </c>
      <c r="G6" s="1763">
        <f>'Revenues 9-14'!G173</f>
        <v>0</v>
      </c>
      <c r="H6" s="1763">
        <f>'Revenues 9-14'!H173</f>
        <v>0</v>
      </c>
      <c r="I6" s="1763">
        <f>'Revenues 9-14'!I173</f>
        <v>0</v>
      </c>
      <c r="J6" s="1763">
        <f>'Revenues 9-14'!J173</f>
        <v>0</v>
      </c>
      <c r="K6" s="1763">
        <f>'Revenues 9-14'!K173</f>
        <v>0</v>
      </c>
      <c r="L6" s="347"/>
      <c r="M6" s="513"/>
    </row>
    <row r="7" spans="1:13" ht="15.75" customHeight="1" x14ac:dyDescent="0.2">
      <c r="A7" s="1597" t="s">
        <v>1582</v>
      </c>
      <c r="B7" s="1599">
        <v>4000</v>
      </c>
      <c r="C7" s="1763">
        <f>'Revenues 9-14'!C274</f>
        <v>418278</v>
      </c>
      <c r="D7" s="1763">
        <f>'Revenues 9-14'!D274</f>
        <v>0</v>
      </c>
      <c r="E7" s="1763">
        <f>'Revenues 9-14'!E274</f>
        <v>109027</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7913430</v>
      </c>
      <c r="D8" s="1708">
        <f t="shared" ref="D8:K8" si="0">SUM(D4:D7)</f>
        <v>868716</v>
      </c>
      <c r="E8" s="1708">
        <f t="shared" si="0"/>
        <v>783623</v>
      </c>
      <c r="F8" s="1708">
        <f t="shared" si="0"/>
        <v>1714612</v>
      </c>
      <c r="G8" s="1708">
        <f t="shared" si="0"/>
        <v>289310</v>
      </c>
      <c r="H8" s="1708">
        <f t="shared" si="0"/>
        <v>105973</v>
      </c>
      <c r="I8" s="1708">
        <f t="shared" si="0"/>
        <v>76543</v>
      </c>
      <c r="J8" s="1708">
        <f t="shared" si="0"/>
        <v>301642</v>
      </c>
      <c r="K8" s="1708">
        <f t="shared" si="0"/>
        <v>76229</v>
      </c>
      <c r="L8" s="347"/>
    </row>
    <row r="9" spans="1:13" ht="15.75" thickTop="1" x14ac:dyDescent="0.2">
      <c r="A9" s="514" t="s">
        <v>1752</v>
      </c>
      <c r="B9" s="515">
        <v>3998</v>
      </c>
      <c r="C9" s="481">
        <v>3291195</v>
      </c>
      <c r="D9" s="516"/>
      <c r="E9" s="481"/>
      <c r="F9" s="481"/>
      <c r="G9" s="517"/>
      <c r="H9" s="481"/>
      <c r="I9" s="509" t="s">
        <v>1231</v>
      </c>
      <c r="J9" s="478"/>
      <c r="K9" s="481"/>
      <c r="L9" s="347"/>
    </row>
    <row r="10" spans="1:13" s="519" customFormat="1" ht="13.5" thickBot="1" x14ac:dyDescent="0.25">
      <c r="A10" s="1756" t="s">
        <v>1235</v>
      </c>
      <c r="B10" s="1729"/>
      <c r="C10" s="1708">
        <f>SUM(C8:C9)</f>
        <v>11204625</v>
      </c>
      <c r="D10" s="1708">
        <f t="shared" ref="D10:K10" si="1">SUM(D8:D9)</f>
        <v>868716</v>
      </c>
      <c r="E10" s="1708">
        <f t="shared" si="1"/>
        <v>783623</v>
      </c>
      <c r="F10" s="1708">
        <f t="shared" si="1"/>
        <v>1714612</v>
      </c>
      <c r="G10" s="1708">
        <f t="shared" si="1"/>
        <v>289310</v>
      </c>
      <c r="H10" s="1708">
        <f t="shared" si="1"/>
        <v>105973</v>
      </c>
      <c r="I10" s="1708">
        <f t="shared" si="1"/>
        <v>76543</v>
      </c>
      <c r="J10" s="1708">
        <f t="shared" si="1"/>
        <v>301642</v>
      </c>
      <c r="K10" s="1708">
        <f t="shared" si="1"/>
        <v>76229</v>
      </c>
      <c r="L10" s="518"/>
    </row>
    <row r="11" spans="1:13" s="519" customFormat="1" ht="16.7" customHeight="1" thickTop="1" x14ac:dyDescent="0.2">
      <c r="A11" s="2127" t="s">
        <v>1238</v>
      </c>
      <c r="B11" s="2128"/>
      <c r="C11" s="1591"/>
      <c r="D11" s="1592"/>
      <c r="E11" s="1592"/>
      <c r="F11" s="1592"/>
      <c r="G11" s="1592"/>
      <c r="H11" s="1592"/>
      <c r="I11" s="1592"/>
      <c r="J11" s="1592"/>
      <c r="K11" s="1593"/>
      <c r="L11" s="518"/>
    </row>
    <row r="12" spans="1:13" ht="15.75" customHeight="1" x14ac:dyDescent="0.2">
      <c r="A12" s="1597" t="s">
        <v>476</v>
      </c>
      <c r="B12" s="1599">
        <v>1000</v>
      </c>
      <c r="C12" s="1762">
        <f>'Expenditures 15-22'!K33</f>
        <v>5054954</v>
      </c>
      <c r="D12" s="520" t="s">
        <v>1231</v>
      </c>
      <c r="E12" s="468" t="s">
        <v>1231</v>
      </c>
      <c r="F12" s="468" t="s">
        <v>1231</v>
      </c>
      <c r="G12" s="1762">
        <f>'Expenditures 15-22'!K229</f>
        <v>91515</v>
      </c>
      <c r="H12" s="521"/>
      <c r="I12" s="468" t="s">
        <v>1231</v>
      </c>
      <c r="J12" s="468" t="s">
        <v>1231</v>
      </c>
      <c r="K12" s="521" t="s">
        <v>1231</v>
      </c>
      <c r="L12" s="347"/>
    </row>
    <row r="13" spans="1:13" ht="15.75" customHeight="1" x14ac:dyDescent="0.2">
      <c r="A13" s="1597" t="s">
        <v>477</v>
      </c>
      <c r="B13" s="1599">
        <v>2000</v>
      </c>
      <c r="C13" s="1763">
        <f>'Expenditures 15-22'!K74</f>
        <v>2239053</v>
      </c>
      <c r="D13" s="1763">
        <f>'Expenditures 15-22'!K129</f>
        <v>899101</v>
      </c>
      <c r="E13" s="469" t="s">
        <v>1231</v>
      </c>
      <c r="F13" s="1763">
        <f>'Expenditures 15-22'!K184</f>
        <v>1104622</v>
      </c>
      <c r="G13" s="1763">
        <f>'Expenditures 15-22'!K279</f>
        <v>181399</v>
      </c>
      <c r="H13" s="1763">
        <f>'Expenditures 15-22'!K303</f>
        <v>90187</v>
      </c>
      <c r="I13" s="468" t="s">
        <v>1231</v>
      </c>
      <c r="J13" s="1763">
        <f>'Expenditures 15-22'!K330</f>
        <v>260526</v>
      </c>
      <c r="K13" s="1767">
        <f>'Expenditures 15-22'!K352</f>
        <v>7043</v>
      </c>
      <c r="L13" s="347"/>
    </row>
    <row r="14" spans="1:13" ht="15.75" customHeight="1" x14ac:dyDescent="0.2">
      <c r="A14" s="1597" t="s">
        <v>469</v>
      </c>
      <c r="B14" s="1599">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7" t="s">
        <v>109</v>
      </c>
      <c r="B15" s="1599">
        <v>4000</v>
      </c>
      <c r="C15" s="1763">
        <f>'Expenditures 15-22'!K102</f>
        <v>364614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7" t="s">
        <v>470</v>
      </c>
      <c r="B16" s="1599">
        <v>5000</v>
      </c>
      <c r="C16" s="1763">
        <f>'Expenditures 15-22'!K112</f>
        <v>0</v>
      </c>
      <c r="D16" s="1763">
        <f>'Expenditures 15-22'!K149</f>
        <v>0</v>
      </c>
      <c r="E16" s="1763">
        <f>'Expenditures 15-22'!K172</f>
        <v>845208</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7658621</v>
      </c>
      <c r="D17" s="1708">
        <f t="shared" si="2"/>
        <v>899101</v>
      </c>
      <c r="E17" s="1708">
        <f t="shared" si="2"/>
        <v>845208</v>
      </c>
      <c r="F17" s="1708">
        <f t="shared" si="2"/>
        <v>1104622</v>
      </c>
      <c r="G17" s="1708">
        <f t="shared" si="2"/>
        <v>272914</v>
      </c>
      <c r="H17" s="1708">
        <f t="shared" si="2"/>
        <v>90187</v>
      </c>
      <c r="I17" s="468"/>
      <c r="J17" s="1708">
        <f>SUM(J12:J16)</f>
        <v>260526</v>
      </c>
      <c r="K17" s="1708">
        <f>SUM(K12:K16)</f>
        <v>7043</v>
      </c>
      <c r="L17" s="347"/>
    </row>
    <row r="18" spans="1:12" ht="15" customHeight="1" thickTop="1" x14ac:dyDescent="0.2">
      <c r="A18" s="1764" t="s">
        <v>1753</v>
      </c>
      <c r="B18" s="1765">
        <v>4180</v>
      </c>
      <c r="C18" s="1762">
        <f t="shared" ref="C18:H18" si="3">C9</f>
        <v>3291195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10949816</v>
      </c>
      <c r="D19" s="1708">
        <f t="shared" si="4"/>
        <v>899101</v>
      </c>
      <c r="E19" s="1708">
        <f t="shared" si="4"/>
        <v>845208</v>
      </c>
      <c r="F19" s="1708">
        <f t="shared" si="4"/>
        <v>1104622</v>
      </c>
      <c r="G19" s="1708">
        <f t="shared" si="4"/>
        <v>272914</v>
      </c>
      <c r="H19" s="1708">
        <f t="shared" si="4"/>
        <v>90187</v>
      </c>
      <c r="I19" s="468"/>
      <c r="J19" s="1708">
        <f>SUM(J17:J18)</f>
        <v>260526</v>
      </c>
      <c r="K19" s="1708">
        <f>SUM(K17:K18)</f>
        <v>7043</v>
      </c>
      <c r="L19" s="347"/>
    </row>
    <row r="20" spans="1:12" ht="16.5" thickTop="1" thickBot="1" x14ac:dyDescent="0.25">
      <c r="A20" s="2143" t="s">
        <v>1754</v>
      </c>
      <c r="B20" s="2144"/>
      <c r="C20" s="1766">
        <f>C8-C17</f>
        <v>254809</v>
      </c>
      <c r="D20" s="1766">
        <f t="shared" ref="D20:K20" si="5">D8-D17</f>
        <v>-30385</v>
      </c>
      <c r="E20" s="1766">
        <f t="shared" si="5"/>
        <v>-61585</v>
      </c>
      <c r="F20" s="1766">
        <f t="shared" si="5"/>
        <v>609990</v>
      </c>
      <c r="G20" s="1766">
        <f t="shared" si="5"/>
        <v>16396</v>
      </c>
      <c r="H20" s="1766">
        <f t="shared" si="5"/>
        <v>15786</v>
      </c>
      <c r="I20" s="1766">
        <f t="shared" si="5"/>
        <v>76543</v>
      </c>
      <c r="J20" s="1766">
        <f t="shared" si="5"/>
        <v>41116</v>
      </c>
      <c r="K20" s="1766">
        <f t="shared" si="5"/>
        <v>69186</v>
      </c>
      <c r="L20" s="347"/>
    </row>
    <row r="21" spans="1:12" ht="16.7" customHeight="1" thickTop="1" x14ac:dyDescent="0.2">
      <c r="A21" s="2155" t="s">
        <v>616</v>
      </c>
      <c r="B21" s="2156"/>
      <c r="C21" s="1591"/>
      <c r="D21" s="1592"/>
      <c r="E21" s="1592"/>
      <c r="F21" s="1592"/>
      <c r="G21" s="1592"/>
      <c r="H21" s="1592"/>
      <c r="I21" s="1592"/>
      <c r="J21" s="1592"/>
      <c r="K21" s="1593"/>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v>276785</v>
      </c>
      <c r="G36" s="467"/>
      <c r="H36" s="467"/>
      <c r="I36" s="475"/>
      <c r="J36" s="467"/>
      <c r="K36" s="467"/>
      <c r="L36" s="524"/>
    </row>
    <row r="37" spans="1:12" s="485" customFormat="1" x14ac:dyDescent="0.2">
      <c r="A37" s="1510" t="s">
        <v>461</v>
      </c>
      <c r="B37" s="525">
        <v>7400</v>
      </c>
      <c r="C37" s="475"/>
      <c r="D37" s="475"/>
      <c r="E37" s="1763">
        <f>SUM(C54:D57,H54:H57)</f>
        <v>0</v>
      </c>
      <c r="F37" s="475"/>
      <c r="G37" s="475"/>
      <c r="H37" s="475"/>
      <c r="I37" s="477"/>
      <c r="J37" s="475"/>
      <c r="K37" s="475"/>
      <c r="L37" s="524"/>
    </row>
    <row r="38" spans="1:12" s="485" customFormat="1" x14ac:dyDescent="0.2">
      <c r="A38" s="1510" t="s">
        <v>462</v>
      </c>
      <c r="B38" s="525">
        <v>7500</v>
      </c>
      <c r="C38" s="477"/>
      <c r="D38" s="477"/>
      <c r="E38" s="1763">
        <f>SUM(C58:D61,H58:H61)</f>
        <v>0</v>
      </c>
      <c r="F38" s="477"/>
      <c r="G38" s="477"/>
      <c r="H38" s="477"/>
      <c r="I38" s="477"/>
      <c r="J38" s="477"/>
      <c r="K38" s="477"/>
      <c r="L38" s="524"/>
    </row>
    <row r="39" spans="1:12" s="485" customFormat="1" x14ac:dyDescent="0.2">
      <c r="A39" s="1510" t="s">
        <v>463</v>
      </c>
      <c r="B39" s="525">
        <v>7600</v>
      </c>
      <c r="C39" s="477"/>
      <c r="D39" s="477"/>
      <c r="E39" s="1763">
        <f>SUM(C62:D65)</f>
        <v>0</v>
      </c>
      <c r="F39" s="477"/>
      <c r="G39" s="477"/>
      <c r="H39" s="477"/>
      <c r="I39" s="477"/>
      <c r="J39" s="477"/>
      <c r="K39" s="477"/>
      <c r="L39" s="524"/>
    </row>
    <row r="40" spans="1:12" s="485" customFormat="1" ht="13.5" customHeight="1" x14ac:dyDescent="0.2">
      <c r="A40" s="1510" t="s">
        <v>663</v>
      </c>
      <c r="B40" s="483">
        <v>7700</v>
      </c>
      <c r="C40" s="477"/>
      <c r="D40" s="477"/>
      <c r="E40" s="1763">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3">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v>81628</v>
      </c>
      <c r="D43" s="467"/>
      <c r="E43" s="467"/>
      <c r="F43" s="467"/>
      <c r="G43" s="467"/>
      <c r="H43" s="467"/>
      <c r="I43" s="467"/>
      <c r="J43" s="467"/>
      <c r="K43" s="467"/>
      <c r="L43" s="524"/>
    </row>
    <row r="44" spans="1:12" s="485" customFormat="1" ht="13.5" customHeight="1" thickBot="1" x14ac:dyDescent="0.25">
      <c r="A44" s="2157" t="s">
        <v>392</v>
      </c>
      <c r="B44" s="2158"/>
      <c r="C44" s="1723">
        <f>SUM(C24:C43)</f>
        <v>81628</v>
      </c>
      <c r="D44" s="1723">
        <f t="shared" ref="D44:K44" si="6">SUM(D24:D43)</f>
        <v>0</v>
      </c>
      <c r="E44" s="1723">
        <f t="shared" si="6"/>
        <v>0</v>
      </c>
      <c r="F44" s="1723">
        <f t="shared" si="6"/>
        <v>276785</v>
      </c>
      <c r="G44" s="1723">
        <f t="shared" si="6"/>
        <v>0</v>
      </c>
      <c r="H44" s="1723">
        <f t="shared" si="6"/>
        <v>0</v>
      </c>
      <c r="I44" s="1723">
        <f t="shared" si="6"/>
        <v>0</v>
      </c>
      <c r="J44" s="1723">
        <f t="shared" si="6"/>
        <v>0</v>
      </c>
      <c r="K44" s="1723">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3">
        <f>SUM(C24,C25:H25,J25:K25)</f>
        <v>0</v>
      </c>
      <c r="J47" s="477"/>
      <c r="K47" s="477"/>
      <c r="L47" s="529"/>
    </row>
    <row r="48" spans="1:12" s="485" customFormat="1" ht="15" x14ac:dyDescent="0.2">
      <c r="A48" s="1511" t="s">
        <v>1759</v>
      </c>
      <c r="B48" s="483">
        <v>8120</v>
      </c>
      <c r="C48" s="480"/>
      <c r="D48" s="480"/>
      <c r="E48" s="477"/>
      <c r="F48" s="480"/>
      <c r="G48" s="477"/>
      <c r="H48" s="477"/>
      <c r="I48" s="1763">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3">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3">
        <f>D30</f>
        <v>0</v>
      </c>
      <c r="L52" s="524"/>
    </row>
    <row r="53" spans="1:12" s="485" customFormat="1" ht="26.25" x14ac:dyDescent="0.2">
      <c r="A53" s="1511" t="s">
        <v>1899</v>
      </c>
      <c r="B53" s="483">
        <v>8170</v>
      </c>
      <c r="C53" s="480"/>
      <c r="D53" s="480"/>
      <c r="E53" s="477"/>
      <c r="F53" s="477"/>
      <c r="G53" s="477"/>
      <c r="H53" s="480"/>
      <c r="I53" s="477"/>
      <c r="J53" s="477"/>
      <c r="K53" s="1763">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5" t="s">
        <v>1239</v>
      </c>
      <c r="B77" s="2136"/>
      <c r="C77" s="1723">
        <f t="shared" ref="C77:K77" si="8">C44-C76</f>
        <v>81628</v>
      </c>
      <c r="D77" s="1723">
        <f t="shared" si="8"/>
        <v>0</v>
      </c>
      <c r="E77" s="1723">
        <f t="shared" si="8"/>
        <v>0</v>
      </c>
      <c r="F77" s="1723">
        <f t="shared" si="8"/>
        <v>276785</v>
      </c>
      <c r="G77" s="1723">
        <f t="shared" si="8"/>
        <v>0</v>
      </c>
      <c r="H77" s="1723">
        <f t="shared" si="8"/>
        <v>0</v>
      </c>
      <c r="I77" s="1723">
        <f t="shared" si="8"/>
        <v>0</v>
      </c>
      <c r="J77" s="1723">
        <f t="shared" si="8"/>
        <v>0</v>
      </c>
      <c r="K77" s="1723">
        <f t="shared" si="8"/>
        <v>0</v>
      </c>
      <c r="L77" s="347"/>
    </row>
    <row r="78" spans="1:12" ht="21.75" customHeight="1" thickTop="1" thickBot="1" x14ac:dyDescent="0.25">
      <c r="A78" s="2139" t="s">
        <v>618</v>
      </c>
      <c r="B78" s="2140"/>
      <c r="C78" s="1722">
        <f t="shared" ref="C78:K78" si="9">C20+C77</f>
        <v>336437</v>
      </c>
      <c r="D78" s="1722">
        <f t="shared" si="9"/>
        <v>-30385</v>
      </c>
      <c r="E78" s="1722">
        <f t="shared" si="9"/>
        <v>-61585</v>
      </c>
      <c r="F78" s="1722">
        <f t="shared" si="9"/>
        <v>886775</v>
      </c>
      <c r="G78" s="1722">
        <f t="shared" si="9"/>
        <v>16396</v>
      </c>
      <c r="H78" s="1722">
        <f t="shared" si="9"/>
        <v>15786</v>
      </c>
      <c r="I78" s="1722">
        <f t="shared" si="9"/>
        <v>76543</v>
      </c>
      <c r="J78" s="1722">
        <f t="shared" si="9"/>
        <v>41116</v>
      </c>
      <c r="K78" s="1722">
        <f t="shared" si="9"/>
        <v>69186</v>
      </c>
      <c r="L78" s="533"/>
    </row>
    <row r="79" spans="1:12" ht="13.5" thickTop="1" x14ac:dyDescent="0.2">
      <c r="A79" s="1515" t="s">
        <v>2073</v>
      </c>
      <c r="B79" s="534"/>
      <c r="C79" s="478">
        <v>1637172</v>
      </c>
      <c r="D79" s="535">
        <v>71218</v>
      </c>
      <c r="E79" s="535">
        <v>244080</v>
      </c>
      <c r="F79" s="535">
        <v>546069</v>
      </c>
      <c r="G79" s="535">
        <v>339716</v>
      </c>
      <c r="H79" s="535">
        <v>137584</v>
      </c>
      <c r="I79" s="535">
        <v>396327</v>
      </c>
      <c r="J79" s="535">
        <v>277352</v>
      </c>
      <c r="K79" s="535">
        <v>102884</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8">
        <f>(SUM(C78:C80))</f>
        <v>1973609</v>
      </c>
      <c r="D81" s="1708">
        <f>SUM(D78:D80)</f>
        <v>40833</v>
      </c>
      <c r="E81" s="1708">
        <f t="shared" ref="E81:K81" si="10">SUM(E78:E80)</f>
        <v>182495</v>
      </c>
      <c r="F81" s="1708">
        <f t="shared" si="10"/>
        <v>1432844</v>
      </c>
      <c r="G81" s="1708">
        <f t="shared" si="10"/>
        <v>356112</v>
      </c>
      <c r="H81" s="1708">
        <f t="shared" si="10"/>
        <v>153370</v>
      </c>
      <c r="I81" s="1708">
        <f t="shared" si="10"/>
        <v>472870</v>
      </c>
      <c r="J81" s="1708">
        <f t="shared" si="10"/>
        <v>318468</v>
      </c>
      <c r="K81" s="1708">
        <f t="shared" si="10"/>
        <v>172070</v>
      </c>
      <c r="L81" s="347"/>
    </row>
    <row r="82" spans="1:12" ht="0.75" customHeight="1" thickTop="1" thickBot="1" x14ac:dyDescent="0.25">
      <c r="A82" s="536" t="s">
        <v>361</v>
      </c>
      <c r="B82" s="537"/>
      <c r="C82" s="538">
        <f>(C81-C79)</f>
        <v>336437</v>
      </c>
      <c r="D82" s="538">
        <f t="shared" ref="D82:K82" si="11">(D81-D79)</f>
        <v>-30385</v>
      </c>
      <c r="E82" s="538">
        <f t="shared" si="11"/>
        <v>-61585</v>
      </c>
      <c r="F82" s="538">
        <f t="shared" si="11"/>
        <v>886775</v>
      </c>
      <c r="G82" s="538">
        <f t="shared" si="11"/>
        <v>16396</v>
      </c>
      <c r="H82" s="538">
        <f t="shared" si="11"/>
        <v>15786</v>
      </c>
      <c r="I82" s="538">
        <f t="shared" si="11"/>
        <v>76543</v>
      </c>
      <c r="J82" s="538">
        <f t="shared" si="11"/>
        <v>41116</v>
      </c>
      <c r="K82" s="538">
        <f t="shared" si="11"/>
        <v>69186</v>
      </c>
    </row>
    <row r="83" spans="1:12" ht="14.25" hidden="1" thickTop="1" thickBot="1" x14ac:dyDescent="0.25">
      <c r="A83" s="539" t="s">
        <v>362</v>
      </c>
      <c r="B83" s="464"/>
      <c r="C83" s="540">
        <f>C82/C81</f>
        <v>0.17046790929713029</v>
      </c>
      <c r="D83" s="540">
        <f t="shared" ref="D83:K83" si="12">D82/D81</f>
        <v>-0.74412852349815095</v>
      </c>
      <c r="E83" s="540">
        <f t="shared" si="12"/>
        <v>-0.33746130030959753</v>
      </c>
      <c r="F83" s="540">
        <f t="shared" si="12"/>
        <v>0.61889151924424435</v>
      </c>
      <c r="G83" s="540">
        <f t="shared" si="12"/>
        <v>4.6041694747719818E-2</v>
      </c>
      <c r="H83" s="540">
        <f t="shared" si="12"/>
        <v>0.10292756080067809</v>
      </c>
      <c r="I83" s="540">
        <f t="shared" si="12"/>
        <v>0.16186901262503436</v>
      </c>
      <c r="J83" s="540">
        <f t="shared" si="12"/>
        <v>0.12910559302661492</v>
      </c>
      <c r="K83" s="540">
        <f t="shared" si="12"/>
        <v>0.40208054861393616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4" sqref="A24"/>
      <selection pane="bottomLeft" activeCell="C6" sqref="C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4602354</v>
      </c>
      <c r="D5" s="481">
        <v>765627</v>
      </c>
      <c r="E5" s="466">
        <v>454494</v>
      </c>
      <c r="F5" s="548">
        <v>314208</v>
      </c>
      <c r="G5" s="466">
        <v>88594</v>
      </c>
      <c r="H5" s="466"/>
      <c r="I5" s="466">
        <v>76229</v>
      </c>
      <c r="J5" s="467">
        <v>301043</v>
      </c>
      <c r="K5" s="466">
        <v>76229</v>
      </c>
    </row>
    <row r="6" spans="1:12" ht="15" x14ac:dyDescent="0.2">
      <c r="A6" s="463" t="s">
        <v>1761</v>
      </c>
      <c r="B6" s="470">
        <v>1130</v>
      </c>
      <c r="C6" s="466">
        <v>76229</v>
      </c>
      <c r="D6" s="466"/>
      <c r="E6" s="475"/>
      <c r="F6" s="475"/>
      <c r="G6" s="468"/>
      <c r="H6" s="468"/>
      <c r="I6" s="468"/>
      <c r="J6" s="468"/>
      <c r="K6" s="468"/>
    </row>
    <row r="7" spans="1:12" x14ac:dyDescent="0.2">
      <c r="A7" s="463" t="s">
        <v>112</v>
      </c>
      <c r="B7" s="549">
        <v>1140</v>
      </c>
      <c r="C7" s="466">
        <v>61117</v>
      </c>
      <c r="D7" s="466"/>
      <c r="E7" s="468"/>
      <c r="F7" s="467"/>
      <c r="G7" s="467"/>
      <c r="H7" s="467"/>
      <c r="I7" s="468"/>
      <c r="J7" s="468"/>
      <c r="K7" s="468"/>
    </row>
    <row r="8" spans="1:12" x14ac:dyDescent="0.2">
      <c r="A8" s="463" t="s">
        <v>433</v>
      </c>
      <c r="B8" s="470">
        <v>1150</v>
      </c>
      <c r="C8" s="475"/>
      <c r="D8" s="475"/>
      <c r="E8" s="477"/>
      <c r="F8" s="477"/>
      <c r="G8" s="481">
        <v>150528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4739700</v>
      </c>
      <c r="D12" s="1727">
        <f t="shared" si="0"/>
        <v>765627</v>
      </c>
      <c r="E12" s="1727">
        <f t="shared" si="0"/>
        <v>454494</v>
      </c>
      <c r="F12" s="1727">
        <f t="shared" si="0"/>
        <v>314208</v>
      </c>
      <c r="G12" s="1727">
        <f t="shared" si="0"/>
        <v>239122</v>
      </c>
      <c r="H12" s="1727">
        <f t="shared" si="0"/>
        <v>0</v>
      </c>
      <c r="I12" s="1727">
        <f t="shared" si="0"/>
        <v>76229</v>
      </c>
      <c r="J12" s="1727">
        <f t="shared" si="0"/>
        <v>301043</v>
      </c>
      <c r="K12" s="1708">
        <f t="shared" si="0"/>
        <v>76229</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299666</v>
      </c>
      <c r="D16" s="466">
        <v>46000</v>
      </c>
      <c r="E16" s="466"/>
      <c r="F16" s="466"/>
      <c r="G16" s="466">
        <v>50020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299666</v>
      </c>
      <c r="D18" s="1730">
        <f t="shared" ref="D18:K18" si="1">SUM(D14:D17)</f>
        <v>46000</v>
      </c>
      <c r="E18" s="1730">
        <f t="shared" si="1"/>
        <v>0</v>
      </c>
      <c r="F18" s="1730">
        <f t="shared" si="1"/>
        <v>0</v>
      </c>
      <c r="G18" s="1730">
        <f t="shared" si="1"/>
        <v>50020</v>
      </c>
      <c r="H18" s="1730">
        <f t="shared" si="1"/>
        <v>0</v>
      </c>
      <c r="I18" s="1730">
        <f t="shared" si="1"/>
        <v>0</v>
      </c>
      <c r="J18" s="1730">
        <f t="shared" si="1"/>
        <v>0</v>
      </c>
      <c r="K18" s="1731">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99019</v>
      </c>
      <c r="G43" s="468"/>
      <c r="H43" s="468"/>
      <c r="I43" s="468"/>
      <c r="J43" s="468"/>
      <c r="K43" s="468"/>
    </row>
    <row r="44" spans="1:11" ht="12.75" customHeight="1" x14ac:dyDescent="0.2">
      <c r="A44" s="463" t="s">
        <v>402</v>
      </c>
      <c r="B44" s="470">
        <v>1413</v>
      </c>
      <c r="C44" s="468"/>
      <c r="D44" s="468"/>
      <c r="E44" s="468"/>
      <c r="F44" s="466">
        <v>8180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107199</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14771</v>
      </c>
      <c r="D65" s="466"/>
      <c r="E65" s="466"/>
      <c r="F65" s="467">
        <v>89</v>
      </c>
      <c r="G65" s="466">
        <v>168</v>
      </c>
      <c r="H65" s="466"/>
      <c r="I65" s="466">
        <v>314</v>
      </c>
      <c r="J65" s="467">
        <v>599</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14771</v>
      </c>
      <c r="D67" s="1708">
        <f t="shared" ref="D67:K67" si="2">SUM(D65:D66)</f>
        <v>0</v>
      </c>
      <c r="E67" s="1708">
        <f t="shared" si="2"/>
        <v>0</v>
      </c>
      <c r="F67" s="1708">
        <f t="shared" si="2"/>
        <v>89</v>
      </c>
      <c r="G67" s="1708">
        <f t="shared" si="2"/>
        <v>168</v>
      </c>
      <c r="H67" s="1708">
        <f t="shared" si="2"/>
        <v>0</v>
      </c>
      <c r="I67" s="1708">
        <f t="shared" si="2"/>
        <v>314</v>
      </c>
      <c r="J67" s="1708">
        <f t="shared" si="2"/>
        <v>599</v>
      </c>
      <c r="K67" s="1708">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167590</v>
      </c>
      <c r="D69" s="468"/>
      <c r="E69" s="468"/>
      <c r="F69" s="468"/>
      <c r="G69" s="468"/>
      <c r="H69" s="468"/>
      <c r="I69" s="468"/>
      <c r="J69" s="468"/>
      <c r="K69" s="468"/>
    </row>
    <row r="70" spans="1:11" ht="12.75" customHeight="1" x14ac:dyDescent="0.2">
      <c r="A70" s="463" t="s">
        <v>1054</v>
      </c>
      <c r="B70" s="470">
        <v>1612</v>
      </c>
      <c r="C70" s="551">
        <v>19760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14746</v>
      </c>
      <c r="D72" s="468"/>
      <c r="E72" s="468"/>
      <c r="F72" s="468"/>
      <c r="G72" s="468"/>
      <c r="H72" s="468"/>
      <c r="I72" s="468"/>
      <c r="J72" s="468"/>
      <c r="K72" s="468"/>
    </row>
    <row r="73" spans="1:11" ht="12.75" customHeight="1" x14ac:dyDescent="0.2">
      <c r="A73" s="463" t="s">
        <v>1055</v>
      </c>
      <c r="B73" s="470">
        <v>1620</v>
      </c>
      <c r="C73" s="551">
        <v>9724</v>
      </c>
      <c r="D73" s="468"/>
      <c r="E73" s="468"/>
      <c r="F73" s="468"/>
      <c r="G73" s="468"/>
      <c r="H73" s="468"/>
      <c r="I73" s="468"/>
      <c r="J73" s="468"/>
      <c r="K73" s="468"/>
    </row>
    <row r="74" spans="1:11" ht="12.75" customHeight="1" x14ac:dyDescent="0.2">
      <c r="A74" s="463" t="s">
        <v>25</v>
      </c>
      <c r="B74" s="470">
        <v>1690</v>
      </c>
      <c r="C74" s="551">
        <v>3030</v>
      </c>
      <c r="D74" s="468"/>
      <c r="E74" s="468"/>
      <c r="F74" s="468"/>
      <c r="G74" s="468"/>
      <c r="H74" s="468"/>
      <c r="I74" s="468"/>
      <c r="J74" s="468"/>
      <c r="K74" s="468"/>
    </row>
    <row r="75" spans="1:11" ht="12.75" customHeight="1" thickBot="1" x14ac:dyDescent="0.25">
      <c r="A75" s="1728" t="s">
        <v>569</v>
      </c>
      <c r="B75" s="1729"/>
      <c r="C75" s="1708">
        <f>SUM(C69:C74)</f>
        <v>214850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21986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22200</v>
      </c>
      <c r="D79" s="466"/>
      <c r="E79" s="468"/>
      <c r="F79" s="468"/>
      <c r="G79" s="468"/>
      <c r="H79" s="468"/>
      <c r="I79" s="468"/>
      <c r="J79" s="468"/>
      <c r="K79" s="468"/>
    </row>
    <row r="80" spans="1:11" ht="12.75" customHeight="1" x14ac:dyDescent="0.2">
      <c r="A80" s="463" t="s">
        <v>572</v>
      </c>
      <c r="B80" s="470">
        <v>1730</v>
      </c>
      <c r="C80" s="551">
        <v>2925</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47111</v>
      </c>
      <c r="D82" s="1708">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44322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44322</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4045</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6768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3967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220102</v>
      </c>
      <c r="F103" s="468"/>
      <c r="G103" s="468"/>
      <c r="H103" s="489">
        <v>105973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94788</v>
      </c>
      <c r="D107" s="466">
        <v>57089</v>
      </c>
      <c r="E107" s="466"/>
      <c r="F107" s="466">
        <v>200</v>
      </c>
      <c r="G107" s="466"/>
      <c r="H107" s="466"/>
      <c r="I107" s="466"/>
      <c r="J107" s="467"/>
      <c r="K107" s="466"/>
    </row>
    <row r="108" spans="1:12" ht="12.75" customHeight="1" thickBot="1" x14ac:dyDescent="0.25">
      <c r="A108" s="1728" t="s">
        <v>508</v>
      </c>
      <c r="B108" s="1732"/>
      <c r="C108" s="1727">
        <f>SUM(C95:C107)</f>
        <v>109568</v>
      </c>
      <c r="D108" s="1727">
        <f t="shared" ref="D108:K108" si="3">SUM(D95:D107)</f>
        <v>57089</v>
      </c>
      <c r="E108" s="1727">
        <f t="shared" si="3"/>
        <v>220102</v>
      </c>
      <c r="F108" s="1727">
        <f t="shared" si="3"/>
        <v>200</v>
      </c>
      <c r="G108" s="1727">
        <f t="shared" si="3"/>
        <v>0</v>
      </c>
      <c r="H108" s="1727">
        <f t="shared" si="3"/>
        <v>105973</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5469988</v>
      </c>
      <c r="D109" s="1735">
        <f t="shared" si="4"/>
        <v>868716</v>
      </c>
      <c r="E109" s="1735">
        <f t="shared" si="4"/>
        <v>674596</v>
      </c>
      <c r="F109" s="1735">
        <f t="shared" si="4"/>
        <v>421696</v>
      </c>
      <c r="G109" s="1735">
        <f t="shared" si="4"/>
        <v>289310</v>
      </c>
      <c r="H109" s="1735">
        <f t="shared" si="4"/>
        <v>105973</v>
      </c>
      <c r="I109" s="1735">
        <f t="shared" si="4"/>
        <v>76543</v>
      </c>
      <c r="J109" s="1735">
        <f t="shared" si="4"/>
        <v>301642</v>
      </c>
      <c r="K109" s="1722">
        <f t="shared" si="4"/>
        <v>76229</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1394780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1394780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54355</v>
      </c>
      <c r="D124" s="561"/>
      <c r="E124" s="468"/>
      <c r="F124" s="548"/>
      <c r="G124" s="468"/>
      <c r="H124" s="468"/>
      <c r="I124" s="468"/>
      <c r="J124" s="468"/>
      <c r="K124" s="468"/>
    </row>
    <row r="125" spans="1:11" ht="12.75" customHeight="1" x14ac:dyDescent="0.2">
      <c r="A125" s="463" t="s">
        <v>1521</v>
      </c>
      <c r="B125" s="562">
        <v>3105</v>
      </c>
      <c r="C125" s="466">
        <v>62986</v>
      </c>
      <c r="D125" s="561"/>
      <c r="E125" s="468"/>
      <c r="F125" s="466"/>
      <c r="G125" s="468"/>
      <c r="H125" s="468"/>
      <c r="I125" s="468"/>
      <c r="J125" s="468"/>
      <c r="K125" s="468"/>
    </row>
    <row r="126" spans="1:11" ht="12.75" customHeight="1" x14ac:dyDescent="0.2">
      <c r="A126" s="463" t="s">
        <v>922</v>
      </c>
      <c r="B126" s="562">
        <v>3110</v>
      </c>
      <c r="C126" s="551">
        <v>44161</v>
      </c>
      <c r="D126" s="466"/>
      <c r="E126" s="468"/>
      <c r="F126" s="466"/>
      <c r="G126" s="468"/>
      <c r="H126" s="468"/>
      <c r="I126" s="468"/>
      <c r="J126" s="468"/>
      <c r="K126" s="468"/>
    </row>
    <row r="127" spans="1:11" ht="12.75" customHeight="1" x14ac:dyDescent="0.2">
      <c r="A127" s="463" t="s">
        <v>107</v>
      </c>
      <c r="B127" s="562">
        <v>3120</v>
      </c>
      <c r="C127" s="466">
        <v>9100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358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170960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5325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8276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13601</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9" t="s">
        <v>1116</v>
      </c>
      <c r="B145" s="568">
        <v>3360</v>
      </c>
      <c r="C145" s="569">
        <v>3746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13010</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1156978</v>
      </c>
      <c r="G151" s="467"/>
      <c r="H151" s="468"/>
      <c r="I151" s="468"/>
      <c r="J151" s="468"/>
      <c r="K151" s="468"/>
    </row>
    <row r="152" spans="1:11" ht="12.75" customHeight="1" x14ac:dyDescent="0.2">
      <c r="A152" s="463" t="s">
        <v>1117</v>
      </c>
      <c r="B152" s="562">
        <v>3510</v>
      </c>
      <c r="C152" s="551"/>
      <c r="D152" s="466"/>
      <c r="E152" s="561"/>
      <c r="F152" s="466">
        <v>135938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1292916</v>
      </c>
      <c r="G154" s="1727">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423417</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5650</v>
      </c>
      <c r="D171" s="580"/>
      <c r="E171" s="580"/>
      <c r="F171" s="580"/>
      <c r="G171" s="581"/>
      <c r="H171" s="582"/>
      <c r="I171" s="581"/>
      <c r="J171" s="581"/>
      <c r="K171" s="582"/>
    </row>
    <row r="172" spans="1:11" ht="12.75" customHeight="1" thickTop="1" thickBot="1" x14ac:dyDescent="0.25">
      <c r="A172" s="2161" t="s">
        <v>418</v>
      </c>
      <c r="B172" s="2162"/>
      <c r="C172" s="1742">
        <f t="shared" ref="C172:K172" si="6">SUM(C131,C140,C144,C145:C149,C154,C155:C170,C171)</f>
        <v>630384</v>
      </c>
      <c r="D172" s="1742">
        <f t="shared" si="6"/>
        <v>0</v>
      </c>
      <c r="E172" s="1742">
        <f t="shared" si="6"/>
        <v>0</v>
      </c>
      <c r="F172" s="1742">
        <f t="shared" si="6"/>
        <v>1292916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2025164</v>
      </c>
      <c r="D173" s="1735">
        <f>SUM(D121,D172)</f>
        <v>0</v>
      </c>
      <c r="E173" s="1735">
        <f>SUM(E121,E172)</f>
        <v>0</v>
      </c>
      <c r="F173" s="1735">
        <f t="shared" ref="F173:K173" si="7">SUM(F121,F172)</f>
        <v>1292916</v>
      </c>
      <c r="G173" s="1735">
        <f t="shared" si="7"/>
        <v>0</v>
      </c>
      <c r="H173" s="1735">
        <f t="shared" si="7"/>
        <v>0</v>
      </c>
      <c r="I173" s="1735">
        <f t="shared" si="7"/>
        <v>0</v>
      </c>
      <c r="J173" s="1735">
        <f t="shared" si="7"/>
        <v>0</v>
      </c>
      <c r="K173" s="1722">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201462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61143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262605</v>
      </c>
      <c r="D201" s="468"/>
      <c r="E201" s="468"/>
      <c r="F201" s="468"/>
      <c r="G201" s="1708">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80345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80345</v>
      </c>
      <c r="D211" s="1727">
        <f>SUM(D203:D210)</f>
        <v>0</v>
      </c>
      <c r="E211" s="468"/>
      <c r="F211" s="1727">
        <f>SUM(F203:F210)</f>
        <v>0</v>
      </c>
      <c r="G211" s="1727">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6524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6524</v>
      </c>
      <c r="D216" s="1727">
        <f>SUM(D213:D215)</f>
        <v>0</v>
      </c>
      <c r="E216" s="468" t="s">
        <v>1231</v>
      </c>
      <c r="F216" s="1727">
        <f>SUM(F213:F215)</f>
        <v>0</v>
      </c>
      <c r="G216" s="1727">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1035</v>
      </c>
      <c r="D227" s="466"/>
      <c r="E227" s="468"/>
      <c r="F227" s="468"/>
      <c r="G227" s="466"/>
      <c r="H227" s="468"/>
      <c r="I227" s="468"/>
      <c r="J227" s="468"/>
      <c r="K227" s="468"/>
    </row>
    <row r="228" spans="1:11" ht="12.75" customHeight="1" thickBot="1" x14ac:dyDescent="0.25">
      <c r="A228" s="1743" t="s">
        <v>1145</v>
      </c>
      <c r="B228" s="1744"/>
      <c r="C228" s="1727">
        <f>SUM(C226:C227)</f>
        <v>1035</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v>109027</v>
      </c>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109027</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54151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13618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418278</v>
      </c>
      <c r="D273" s="1735">
        <f t="shared" si="10"/>
        <v>0</v>
      </c>
      <c r="E273" s="1735">
        <f t="shared" si="10"/>
        <v>109027</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418278</v>
      </c>
      <c r="D274" s="1735">
        <f>SUM(D178,D184,D273)</f>
        <v>0</v>
      </c>
      <c r="E274" s="1735">
        <f>SUM(E178,E273)</f>
        <v>109027</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7913430</v>
      </c>
      <c r="D275" s="1735">
        <f t="shared" si="12"/>
        <v>868716</v>
      </c>
      <c r="E275" s="1735">
        <f t="shared" si="12"/>
        <v>783623</v>
      </c>
      <c r="F275" s="1735">
        <f t="shared" si="12"/>
        <v>1714612</v>
      </c>
      <c r="G275" s="1735">
        <f t="shared" si="12"/>
        <v>289310</v>
      </c>
      <c r="H275" s="1735">
        <f t="shared" si="12"/>
        <v>105973</v>
      </c>
      <c r="I275" s="1735">
        <f t="shared" si="12"/>
        <v>76543</v>
      </c>
      <c r="J275" s="1735">
        <f t="shared" si="12"/>
        <v>301642</v>
      </c>
      <c r="K275" s="1722">
        <f t="shared" si="12"/>
        <v>76229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49" activePane="bottomLeft" state="frozen"/>
      <selection activeCell="A24" sqref="A24"/>
      <selection pane="bottomLeft" activeCell="A24" sqref="A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2997770</v>
      </c>
      <c r="D5" s="466">
        <v>453420</v>
      </c>
      <c r="E5" s="466">
        <v>58785</v>
      </c>
      <c r="F5" s="466">
        <v>83344</v>
      </c>
      <c r="G5" s="466"/>
      <c r="H5" s="466">
        <v>770</v>
      </c>
      <c r="I5" s="467"/>
      <c r="J5" s="467"/>
      <c r="K5" s="1691">
        <f>SUM(C5:J5)</f>
        <v>3594089</v>
      </c>
      <c r="L5" s="466">
        <v>3826164</v>
      </c>
    </row>
    <row r="6" spans="1:14" x14ac:dyDescent="0.2">
      <c r="A6" s="1525" t="s">
        <v>1508</v>
      </c>
      <c r="B6" s="615" t="s">
        <v>1506</v>
      </c>
      <c r="C6" s="477"/>
      <c r="D6" s="477"/>
      <c r="E6" s="466"/>
      <c r="F6" s="477"/>
      <c r="G6" s="477"/>
      <c r="H6" s="477"/>
      <c r="I6" s="477"/>
      <c r="J6" s="477"/>
      <c r="K6" s="1691">
        <f>SUM(C6,E6)</f>
        <v>0</v>
      </c>
      <c r="L6" s="466"/>
    </row>
    <row r="7" spans="1:14" x14ac:dyDescent="0.2">
      <c r="A7" s="1525" t="s">
        <v>165</v>
      </c>
      <c r="B7" s="615" t="s">
        <v>1024</v>
      </c>
      <c r="C7" s="467">
        <v>213815</v>
      </c>
      <c r="D7" s="467">
        <v>49090</v>
      </c>
      <c r="E7" s="467">
        <v>1573</v>
      </c>
      <c r="F7" s="467">
        <v>18030</v>
      </c>
      <c r="G7" s="467"/>
      <c r="H7" s="467"/>
      <c r="I7" s="467"/>
      <c r="J7" s="467"/>
      <c r="K7" s="1691">
        <f t="shared" ref="K7:K32" si="0">SUM(C7:J7)</f>
        <v>282508</v>
      </c>
      <c r="L7" s="466">
        <v>256384</v>
      </c>
    </row>
    <row r="8" spans="1:14" x14ac:dyDescent="0.2">
      <c r="A8" s="1525" t="s">
        <v>166</v>
      </c>
      <c r="B8" s="615">
        <v>1200</v>
      </c>
      <c r="C8" s="466">
        <v>433526</v>
      </c>
      <c r="D8" s="466">
        <v>67197</v>
      </c>
      <c r="E8" s="466">
        <v>80</v>
      </c>
      <c r="F8" s="466">
        <v>2254</v>
      </c>
      <c r="G8" s="466"/>
      <c r="H8" s="466">
        <v>145</v>
      </c>
      <c r="I8" s="467"/>
      <c r="J8" s="467"/>
      <c r="K8" s="1691">
        <f t="shared" si="0"/>
        <v>503202</v>
      </c>
      <c r="L8" s="466">
        <v>455807</v>
      </c>
    </row>
    <row r="9" spans="1:14" x14ac:dyDescent="0.2">
      <c r="A9" s="1525" t="s">
        <v>745</v>
      </c>
      <c r="B9" s="615" t="s">
        <v>1025</v>
      </c>
      <c r="C9" s="467"/>
      <c r="D9" s="467"/>
      <c r="E9" s="467"/>
      <c r="F9" s="467"/>
      <c r="G9" s="467"/>
      <c r="H9" s="467"/>
      <c r="I9" s="467"/>
      <c r="J9" s="467"/>
      <c r="K9" s="1691">
        <f t="shared" si="0"/>
        <v>0</v>
      </c>
      <c r="L9" s="466"/>
    </row>
    <row r="10" spans="1:14" x14ac:dyDescent="0.2">
      <c r="A10" s="1525" t="s">
        <v>746</v>
      </c>
      <c r="B10" s="615">
        <v>1250</v>
      </c>
      <c r="C10" s="466">
        <v>3667</v>
      </c>
      <c r="D10" s="466">
        <v>38</v>
      </c>
      <c r="E10" s="466">
        <v>5120</v>
      </c>
      <c r="F10" s="466">
        <v>10604</v>
      </c>
      <c r="G10" s="466">
        <v>71321</v>
      </c>
      <c r="H10" s="466"/>
      <c r="I10" s="467"/>
      <c r="J10" s="467"/>
      <c r="K10" s="1691">
        <f t="shared" si="0"/>
        <v>90750</v>
      </c>
      <c r="L10" s="466">
        <v>93092</v>
      </c>
    </row>
    <row r="11" spans="1:14" x14ac:dyDescent="0.2">
      <c r="A11" s="1525" t="s">
        <v>1192</v>
      </c>
      <c r="B11" s="615" t="s">
        <v>163</v>
      </c>
      <c r="C11" s="467"/>
      <c r="D11" s="467"/>
      <c r="E11" s="467"/>
      <c r="F11" s="467"/>
      <c r="G11" s="467"/>
      <c r="H11" s="467"/>
      <c r="I11" s="467"/>
      <c r="J11" s="467"/>
      <c r="K11" s="1691">
        <f t="shared" si="0"/>
        <v>0</v>
      </c>
      <c r="L11" s="466"/>
    </row>
    <row r="12" spans="1:14" x14ac:dyDescent="0.2">
      <c r="A12" s="1525" t="s">
        <v>1019</v>
      </c>
      <c r="B12" s="615">
        <v>1300</v>
      </c>
      <c r="C12" s="466"/>
      <c r="D12" s="466"/>
      <c r="E12" s="466"/>
      <c r="F12" s="466"/>
      <c r="G12" s="466"/>
      <c r="H12" s="466"/>
      <c r="I12" s="467"/>
      <c r="J12" s="467"/>
      <c r="K12" s="1691">
        <f t="shared" si="0"/>
        <v>0</v>
      </c>
      <c r="L12" s="466"/>
    </row>
    <row r="13" spans="1:14" x14ac:dyDescent="0.2">
      <c r="A13" s="1525" t="s">
        <v>747</v>
      </c>
      <c r="B13" s="615">
        <v>1400</v>
      </c>
      <c r="C13" s="466">
        <v>188686</v>
      </c>
      <c r="D13" s="466">
        <v>23646</v>
      </c>
      <c r="E13" s="466">
        <v>1627</v>
      </c>
      <c r="F13" s="466">
        <v>9882</v>
      </c>
      <c r="G13" s="466">
        <v>4445</v>
      </c>
      <c r="H13" s="466"/>
      <c r="I13" s="467"/>
      <c r="J13" s="467"/>
      <c r="K13" s="1691">
        <f t="shared" si="0"/>
        <v>228286</v>
      </c>
      <c r="L13" s="466">
        <v>223874</v>
      </c>
    </row>
    <row r="14" spans="1:14" x14ac:dyDescent="0.2">
      <c r="A14" s="1525" t="s">
        <v>1020</v>
      </c>
      <c r="B14" s="615">
        <v>1500</v>
      </c>
      <c r="C14" s="466">
        <v>104959</v>
      </c>
      <c r="D14" s="466">
        <v>1139</v>
      </c>
      <c r="E14" s="466">
        <v>28228</v>
      </c>
      <c r="F14" s="466">
        <v>41652</v>
      </c>
      <c r="G14" s="466"/>
      <c r="H14" s="466">
        <v>21102</v>
      </c>
      <c r="I14" s="467"/>
      <c r="J14" s="467"/>
      <c r="K14" s="1691">
        <f t="shared" si="0"/>
        <v>197080</v>
      </c>
      <c r="L14" s="466">
        <v>199600</v>
      </c>
    </row>
    <row r="15" spans="1:14" x14ac:dyDescent="0.2">
      <c r="A15" s="1525" t="s">
        <v>1021</v>
      </c>
      <c r="B15" s="615">
        <v>1600</v>
      </c>
      <c r="C15" s="466"/>
      <c r="D15" s="466"/>
      <c r="E15" s="466"/>
      <c r="F15" s="466"/>
      <c r="G15" s="466"/>
      <c r="H15" s="466"/>
      <c r="I15" s="467"/>
      <c r="J15" s="467"/>
      <c r="K15" s="1691">
        <f t="shared" si="0"/>
        <v>0</v>
      </c>
      <c r="L15" s="466"/>
    </row>
    <row r="16" spans="1:14" x14ac:dyDescent="0.2">
      <c r="A16" s="1525" t="s">
        <v>1044</v>
      </c>
      <c r="B16" s="615" t="s">
        <v>444</v>
      </c>
      <c r="C16" s="466"/>
      <c r="D16" s="466"/>
      <c r="E16" s="466"/>
      <c r="F16" s="466"/>
      <c r="G16" s="466"/>
      <c r="H16" s="466"/>
      <c r="I16" s="467"/>
      <c r="J16" s="467"/>
      <c r="K16" s="1691">
        <f t="shared" si="0"/>
        <v>0</v>
      </c>
      <c r="L16" s="466"/>
    </row>
    <row r="17" spans="1:12" x14ac:dyDescent="0.2">
      <c r="A17" s="1525" t="s">
        <v>748</v>
      </c>
      <c r="B17" s="615" t="s">
        <v>164</v>
      </c>
      <c r="C17" s="467">
        <v>74819</v>
      </c>
      <c r="D17" s="467">
        <v>8090</v>
      </c>
      <c r="E17" s="467"/>
      <c r="F17" s="467"/>
      <c r="G17" s="467"/>
      <c r="H17" s="467"/>
      <c r="I17" s="467"/>
      <c r="J17" s="467"/>
      <c r="K17" s="1691">
        <f t="shared" si="0"/>
        <v>82909</v>
      </c>
      <c r="L17" s="466">
        <v>83690</v>
      </c>
    </row>
    <row r="18" spans="1:12" x14ac:dyDescent="0.2">
      <c r="A18" s="1525" t="s">
        <v>1148</v>
      </c>
      <c r="B18" s="615">
        <v>1800</v>
      </c>
      <c r="C18" s="466"/>
      <c r="D18" s="466"/>
      <c r="E18" s="466"/>
      <c r="F18" s="466"/>
      <c r="G18" s="466"/>
      <c r="H18" s="466"/>
      <c r="I18" s="467"/>
      <c r="J18" s="467"/>
      <c r="K18" s="1691">
        <f t="shared" si="0"/>
        <v>0</v>
      </c>
      <c r="L18" s="466"/>
    </row>
    <row r="19" spans="1:12" x14ac:dyDescent="0.2">
      <c r="A19" s="1525" t="s">
        <v>136</v>
      </c>
      <c r="B19" s="615">
        <v>1900</v>
      </c>
      <c r="C19" s="466"/>
      <c r="D19" s="466"/>
      <c r="E19" s="466"/>
      <c r="F19" s="466"/>
      <c r="G19" s="466"/>
      <c r="H19" s="466"/>
      <c r="I19" s="467"/>
      <c r="J19" s="467"/>
      <c r="K19" s="1691">
        <f t="shared" si="0"/>
        <v>0</v>
      </c>
      <c r="L19" s="466"/>
    </row>
    <row r="20" spans="1:12" x14ac:dyDescent="0.2">
      <c r="A20" s="1526" t="s">
        <v>762</v>
      </c>
      <c r="B20" s="603" t="s">
        <v>749</v>
      </c>
      <c r="C20" s="477"/>
      <c r="D20" s="477"/>
      <c r="E20" s="477"/>
      <c r="F20" s="477"/>
      <c r="G20" s="477"/>
      <c r="H20" s="474"/>
      <c r="I20" s="617"/>
      <c r="J20" s="475"/>
      <c r="K20" s="1691">
        <f t="shared" si="0"/>
        <v>0</v>
      </c>
      <c r="L20" s="471"/>
    </row>
    <row r="21" spans="1:12" x14ac:dyDescent="0.2">
      <c r="A21" s="1526" t="s">
        <v>763</v>
      </c>
      <c r="B21" s="603" t="s">
        <v>750</v>
      </c>
      <c r="C21" s="477"/>
      <c r="D21" s="477"/>
      <c r="E21" s="477"/>
      <c r="F21" s="477"/>
      <c r="G21" s="477"/>
      <c r="H21" s="474"/>
      <c r="I21" s="617"/>
      <c r="J21" s="477"/>
      <c r="K21" s="1691">
        <f t="shared" si="0"/>
        <v>0</v>
      </c>
      <c r="L21" s="471"/>
    </row>
    <row r="22" spans="1:12" x14ac:dyDescent="0.2">
      <c r="A22" s="1526" t="s">
        <v>764</v>
      </c>
      <c r="B22" s="603" t="s">
        <v>751</v>
      </c>
      <c r="C22" s="477"/>
      <c r="D22" s="477"/>
      <c r="E22" s="477"/>
      <c r="F22" s="477"/>
      <c r="G22" s="477"/>
      <c r="H22" s="474">
        <v>76130</v>
      </c>
      <c r="I22" s="617"/>
      <c r="J22" s="477"/>
      <c r="K22" s="1691">
        <f t="shared" si="0"/>
        <v>76130</v>
      </c>
      <c r="L22" s="471">
        <v>70000</v>
      </c>
    </row>
    <row r="23" spans="1:12" x14ac:dyDescent="0.2">
      <c r="A23" s="1526" t="s">
        <v>765</v>
      </c>
      <c r="B23" s="603" t="s">
        <v>752</v>
      </c>
      <c r="C23" s="477"/>
      <c r="D23" s="477"/>
      <c r="E23" s="477"/>
      <c r="F23" s="477"/>
      <c r="G23" s="477"/>
      <c r="H23" s="474"/>
      <c r="I23" s="617"/>
      <c r="J23" s="477"/>
      <c r="K23" s="1691">
        <f t="shared" si="0"/>
        <v>0</v>
      </c>
      <c r="L23" s="471"/>
    </row>
    <row r="24" spans="1:12" ht="12.75" customHeight="1" x14ac:dyDescent="0.2">
      <c r="A24" s="1526" t="s">
        <v>766</v>
      </c>
      <c r="B24" s="603" t="s">
        <v>753</v>
      </c>
      <c r="C24" s="477"/>
      <c r="D24" s="477"/>
      <c r="E24" s="477"/>
      <c r="F24" s="477"/>
      <c r="G24" s="477"/>
      <c r="H24" s="474"/>
      <c r="I24" s="617"/>
      <c r="J24" s="477"/>
      <c r="K24" s="1691">
        <f t="shared" si="0"/>
        <v>0</v>
      </c>
      <c r="L24" s="471"/>
    </row>
    <row r="25" spans="1:12" ht="12.75" customHeight="1" x14ac:dyDescent="0.2">
      <c r="A25" s="1526" t="s">
        <v>835</v>
      </c>
      <c r="B25" s="603" t="s">
        <v>754</v>
      </c>
      <c r="C25" s="477"/>
      <c r="D25" s="477"/>
      <c r="E25" s="477"/>
      <c r="F25" s="477"/>
      <c r="G25" s="477"/>
      <c r="H25" s="474"/>
      <c r="I25" s="617"/>
      <c r="J25" s="477"/>
      <c r="K25" s="1691">
        <f t="shared" si="0"/>
        <v>0</v>
      </c>
      <c r="L25" s="471"/>
    </row>
    <row r="26" spans="1:12" x14ac:dyDescent="0.2">
      <c r="A26" s="1526" t="s">
        <v>643</v>
      </c>
      <c r="B26" s="603" t="s">
        <v>755</v>
      </c>
      <c r="C26" s="477"/>
      <c r="D26" s="477"/>
      <c r="E26" s="477"/>
      <c r="F26" s="477"/>
      <c r="G26" s="477"/>
      <c r="H26" s="474"/>
      <c r="I26" s="617"/>
      <c r="J26" s="477"/>
      <c r="K26" s="1691">
        <f t="shared" si="0"/>
        <v>0</v>
      </c>
      <c r="L26" s="471"/>
    </row>
    <row r="27" spans="1:12" x14ac:dyDescent="0.2">
      <c r="A27" s="1526" t="s">
        <v>644</v>
      </c>
      <c r="B27" s="603" t="s">
        <v>756</v>
      </c>
      <c r="C27" s="477"/>
      <c r="D27" s="477"/>
      <c r="E27" s="477"/>
      <c r="F27" s="477"/>
      <c r="G27" s="477"/>
      <c r="H27" s="474"/>
      <c r="I27" s="617"/>
      <c r="J27" s="477"/>
      <c r="K27" s="1691">
        <f t="shared" si="0"/>
        <v>0</v>
      </c>
      <c r="L27" s="471"/>
    </row>
    <row r="28" spans="1:12" x14ac:dyDescent="0.2">
      <c r="A28" s="1526" t="s">
        <v>152</v>
      </c>
      <c r="B28" s="603" t="s">
        <v>757</v>
      </c>
      <c r="C28" s="477"/>
      <c r="D28" s="477"/>
      <c r="E28" s="477"/>
      <c r="F28" s="477"/>
      <c r="G28" s="477"/>
      <c r="H28" s="474"/>
      <c r="I28" s="617"/>
      <c r="J28" s="477"/>
      <c r="K28" s="1691">
        <f t="shared" si="0"/>
        <v>0</v>
      </c>
      <c r="L28" s="471"/>
    </row>
    <row r="29" spans="1:12" x14ac:dyDescent="0.2">
      <c r="A29" s="1526" t="s">
        <v>153</v>
      </c>
      <c r="B29" s="603" t="s">
        <v>758</v>
      </c>
      <c r="C29" s="477"/>
      <c r="D29" s="477"/>
      <c r="E29" s="477"/>
      <c r="F29" s="477"/>
      <c r="G29" s="477"/>
      <c r="H29" s="474"/>
      <c r="I29" s="617"/>
      <c r="J29" s="477"/>
      <c r="K29" s="1691">
        <f t="shared" si="0"/>
        <v>0</v>
      </c>
      <c r="L29" s="471"/>
    </row>
    <row r="30" spans="1:12" x14ac:dyDescent="0.2">
      <c r="A30" s="1526" t="s">
        <v>154</v>
      </c>
      <c r="B30" s="603" t="s">
        <v>759</v>
      </c>
      <c r="C30" s="477"/>
      <c r="D30" s="477"/>
      <c r="E30" s="477"/>
      <c r="F30" s="477"/>
      <c r="G30" s="477"/>
      <c r="H30" s="474"/>
      <c r="I30" s="617"/>
      <c r="J30" s="477"/>
      <c r="K30" s="1691">
        <f t="shared" si="0"/>
        <v>0</v>
      </c>
      <c r="L30" s="471"/>
    </row>
    <row r="31" spans="1:12" x14ac:dyDescent="0.2">
      <c r="A31" s="1526" t="s">
        <v>155</v>
      </c>
      <c r="B31" s="603" t="s">
        <v>760</v>
      </c>
      <c r="C31" s="477"/>
      <c r="D31" s="477"/>
      <c r="E31" s="477"/>
      <c r="F31" s="477"/>
      <c r="G31" s="477"/>
      <c r="H31" s="474"/>
      <c r="I31" s="617"/>
      <c r="J31" s="477"/>
      <c r="K31" s="1691">
        <f t="shared" si="0"/>
        <v>0</v>
      </c>
      <c r="L31" s="471"/>
    </row>
    <row r="32" spans="1:12" x14ac:dyDescent="0.2">
      <c r="A32" s="1527"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4017242</v>
      </c>
      <c r="D33" s="1690">
        <f t="shared" ref="D33:L33" si="1">SUM(D5:D32)</f>
        <v>602620</v>
      </c>
      <c r="E33" s="1690">
        <f t="shared" si="1"/>
        <v>95413</v>
      </c>
      <c r="F33" s="1690">
        <f t="shared" si="1"/>
        <v>165766</v>
      </c>
      <c r="G33" s="1690">
        <f t="shared" si="1"/>
        <v>75766</v>
      </c>
      <c r="H33" s="1690">
        <f t="shared" si="1"/>
        <v>98147</v>
      </c>
      <c r="I33" s="1690">
        <f t="shared" si="1"/>
        <v>0</v>
      </c>
      <c r="J33" s="1690">
        <f t="shared" si="1"/>
        <v>0</v>
      </c>
      <c r="K33" s="1690">
        <f t="shared" si="1"/>
        <v>5054954</v>
      </c>
      <c r="L33" s="1690">
        <f t="shared" si="1"/>
        <v>5208611</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1">
        <f t="shared" ref="K36:K41" si="2">SUM(C36:J36)</f>
        <v>0</v>
      </c>
      <c r="L36" s="466"/>
    </row>
    <row r="37" spans="1:14" x14ac:dyDescent="0.2">
      <c r="A37" s="1525" t="s">
        <v>1151</v>
      </c>
      <c r="B37" s="615">
        <v>2120</v>
      </c>
      <c r="C37" s="466">
        <v>232639</v>
      </c>
      <c r="D37" s="466">
        <v>24425</v>
      </c>
      <c r="E37" s="466"/>
      <c r="F37" s="466">
        <v>2594</v>
      </c>
      <c r="G37" s="466"/>
      <c r="H37" s="466"/>
      <c r="I37" s="467"/>
      <c r="J37" s="467"/>
      <c r="K37" s="1691">
        <f t="shared" si="2"/>
        <v>259658</v>
      </c>
      <c r="L37" s="466">
        <v>270264</v>
      </c>
    </row>
    <row r="38" spans="1:14" x14ac:dyDescent="0.2">
      <c r="A38" s="1525" t="s">
        <v>207</v>
      </c>
      <c r="B38" s="615">
        <v>2130</v>
      </c>
      <c r="C38" s="466">
        <v>21436</v>
      </c>
      <c r="D38" s="466">
        <v>1826</v>
      </c>
      <c r="E38" s="466">
        <v>186</v>
      </c>
      <c r="F38" s="466">
        <v>657</v>
      </c>
      <c r="G38" s="466"/>
      <c r="H38" s="466"/>
      <c r="I38" s="467"/>
      <c r="J38" s="467"/>
      <c r="K38" s="1691">
        <f t="shared" si="2"/>
        <v>24105</v>
      </c>
      <c r="L38" s="466">
        <v>23620</v>
      </c>
    </row>
    <row r="39" spans="1:14" x14ac:dyDescent="0.2">
      <c r="A39" s="1525" t="s">
        <v>208</v>
      </c>
      <c r="B39" s="615">
        <v>2140</v>
      </c>
      <c r="C39" s="466"/>
      <c r="D39" s="466"/>
      <c r="E39" s="466"/>
      <c r="F39" s="466"/>
      <c r="G39" s="466"/>
      <c r="H39" s="466"/>
      <c r="I39" s="467"/>
      <c r="J39" s="467"/>
      <c r="K39" s="1691">
        <f t="shared" si="2"/>
        <v>0</v>
      </c>
      <c r="L39" s="466"/>
    </row>
    <row r="40" spans="1:14" x14ac:dyDescent="0.2">
      <c r="A40" s="1525" t="s">
        <v>209</v>
      </c>
      <c r="B40" s="615">
        <v>2150</v>
      </c>
      <c r="C40" s="466"/>
      <c r="D40" s="466"/>
      <c r="E40" s="466"/>
      <c r="F40" s="466"/>
      <c r="G40" s="466"/>
      <c r="H40" s="466"/>
      <c r="I40" s="467"/>
      <c r="J40" s="467"/>
      <c r="K40" s="1691">
        <f t="shared" si="2"/>
        <v>0</v>
      </c>
      <c r="L40" s="466"/>
    </row>
    <row r="41" spans="1:14" x14ac:dyDescent="0.2">
      <c r="A41" s="1525"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254075</v>
      </c>
      <c r="D42" s="1690">
        <f t="shared" ref="D42:L42" si="3">SUM(D36:D41)</f>
        <v>26251</v>
      </c>
      <c r="E42" s="1690">
        <f t="shared" si="3"/>
        <v>186</v>
      </c>
      <c r="F42" s="1690">
        <f t="shared" si="3"/>
        <v>3251</v>
      </c>
      <c r="G42" s="1690">
        <f t="shared" si="3"/>
        <v>0</v>
      </c>
      <c r="H42" s="1690">
        <f t="shared" si="3"/>
        <v>0</v>
      </c>
      <c r="I42" s="1690">
        <f t="shared" si="3"/>
        <v>0</v>
      </c>
      <c r="J42" s="1690">
        <f t="shared" si="3"/>
        <v>0</v>
      </c>
      <c r="K42" s="1690">
        <f t="shared" si="3"/>
        <v>283763</v>
      </c>
      <c r="L42" s="1690">
        <f t="shared" si="3"/>
        <v>293884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43463</v>
      </c>
      <c r="D44" s="481">
        <v>6987</v>
      </c>
      <c r="E44" s="481">
        <v>5983</v>
      </c>
      <c r="F44" s="481">
        <v>143389</v>
      </c>
      <c r="G44" s="481">
        <v>180332</v>
      </c>
      <c r="H44" s="481">
        <v>3120</v>
      </c>
      <c r="I44" s="467"/>
      <c r="J44" s="467"/>
      <c r="K44" s="1692">
        <f>SUM(C44:J44)</f>
        <v>383274</v>
      </c>
      <c r="L44" s="481">
        <v>448890</v>
      </c>
    </row>
    <row r="45" spans="1:14" x14ac:dyDescent="0.2">
      <c r="A45" s="1525" t="s">
        <v>869</v>
      </c>
      <c r="B45" s="615">
        <v>2220</v>
      </c>
      <c r="C45" s="466">
        <v>196147</v>
      </c>
      <c r="D45" s="466">
        <v>28608</v>
      </c>
      <c r="E45" s="466">
        <v>9986</v>
      </c>
      <c r="F45" s="466">
        <v>1321</v>
      </c>
      <c r="G45" s="466"/>
      <c r="H45" s="466">
        <v>344</v>
      </c>
      <c r="I45" s="467"/>
      <c r="J45" s="467"/>
      <c r="K45" s="1692">
        <f>SUM(C45:J45)</f>
        <v>236406</v>
      </c>
      <c r="L45" s="466">
        <v>264650</v>
      </c>
    </row>
    <row r="46" spans="1:14" x14ac:dyDescent="0.2">
      <c r="A46" s="1525" t="s">
        <v>870</v>
      </c>
      <c r="B46" s="615">
        <v>2230</v>
      </c>
      <c r="C46" s="466"/>
      <c r="D46" s="466"/>
      <c r="E46" s="466">
        <v>1046</v>
      </c>
      <c r="F46" s="466"/>
      <c r="G46" s="466"/>
      <c r="H46" s="466"/>
      <c r="I46" s="467"/>
      <c r="J46" s="467"/>
      <c r="K46" s="1692">
        <f>SUM(C46:J46)</f>
        <v>1046</v>
      </c>
      <c r="L46" s="466"/>
    </row>
    <row r="47" spans="1:14" ht="12.75" customHeight="1" thickBot="1" x14ac:dyDescent="0.25">
      <c r="A47" s="1688" t="s">
        <v>582</v>
      </c>
      <c r="B47" s="1689" t="s">
        <v>32</v>
      </c>
      <c r="C47" s="1690">
        <f>SUM(C44:C46)</f>
        <v>239610</v>
      </c>
      <c r="D47" s="1690">
        <f t="shared" ref="D47:K47" si="4">SUM(D44:D46)</f>
        <v>35595</v>
      </c>
      <c r="E47" s="1690">
        <f t="shared" si="4"/>
        <v>17015</v>
      </c>
      <c r="F47" s="1690">
        <f t="shared" si="4"/>
        <v>144710</v>
      </c>
      <c r="G47" s="1690">
        <f t="shared" si="4"/>
        <v>180332</v>
      </c>
      <c r="H47" s="1690">
        <f t="shared" si="4"/>
        <v>3464</v>
      </c>
      <c r="I47" s="1690">
        <f t="shared" si="4"/>
        <v>0</v>
      </c>
      <c r="J47" s="1690">
        <f t="shared" si="4"/>
        <v>0</v>
      </c>
      <c r="K47" s="1690">
        <f t="shared" si="4"/>
        <v>620726</v>
      </c>
      <c r="L47" s="1690">
        <f>SUM(L44:L46)</f>
        <v>713540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2000</v>
      </c>
      <c r="D49" s="481"/>
      <c r="E49" s="481">
        <v>37283</v>
      </c>
      <c r="F49" s="481">
        <v>1950</v>
      </c>
      <c r="G49" s="481"/>
      <c r="H49" s="481">
        <v>16871</v>
      </c>
      <c r="I49" s="467"/>
      <c r="J49" s="467"/>
      <c r="K49" s="1692">
        <f>SUM(C49:J49)</f>
        <v>58104</v>
      </c>
      <c r="L49" s="481">
        <v>53500</v>
      </c>
    </row>
    <row r="50" spans="1:14" x14ac:dyDescent="0.2">
      <c r="A50" s="1525" t="s">
        <v>872</v>
      </c>
      <c r="B50" s="615">
        <v>2320</v>
      </c>
      <c r="C50" s="466">
        <v>156736</v>
      </c>
      <c r="D50" s="466">
        <v>47364</v>
      </c>
      <c r="E50" s="466">
        <v>2789</v>
      </c>
      <c r="F50" s="466">
        <v>540</v>
      </c>
      <c r="G50" s="466"/>
      <c r="H50" s="466">
        <v>955</v>
      </c>
      <c r="I50" s="467"/>
      <c r="J50" s="467"/>
      <c r="K50" s="1692">
        <f>SUM(C50:J50)</f>
        <v>208384</v>
      </c>
      <c r="L50" s="466">
        <v>202139</v>
      </c>
    </row>
    <row r="51" spans="1:14" x14ac:dyDescent="0.2">
      <c r="A51" s="1525" t="s">
        <v>44</v>
      </c>
      <c r="B51" s="615">
        <v>2330</v>
      </c>
      <c r="C51" s="466"/>
      <c r="D51" s="466"/>
      <c r="E51" s="466"/>
      <c r="F51" s="466"/>
      <c r="G51" s="466"/>
      <c r="H51" s="466"/>
      <c r="I51" s="467"/>
      <c r="J51" s="467"/>
      <c r="K51" s="1692">
        <f>SUM(C51:J51)</f>
        <v>0</v>
      </c>
      <c r="L51" s="466"/>
    </row>
    <row r="52" spans="1:14" ht="22.5" x14ac:dyDescent="0.2">
      <c r="A52" s="1526" t="s">
        <v>316</v>
      </c>
      <c r="B52" s="628" t="s">
        <v>384</v>
      </c>
      <c r="C52" s="474"/>
      <c r="D52" s="474"/>
      <c r="E52" s="474">
        <v>4100</v>
      </c>
      <c r="F52" s="474"/>
      <c r="G52" s="474"/>
      <c r="H52" s="474"/>
      <c r="I52" s="474"/>
      <c r="J52" s="474"/>
      <c r="K52" s="1692">
        <f>SUM(C52:J52)</f>
        <v>4100</v>
      </c>
      <c r="L52" s="474"/>
    </row>
    <row r="53" spans="1:14" ht="12.75" customHeight="1" thickBot="1" x14ac:dyDescent="0.25">
      <c r="A53" s="1688" t="s">
        <v>741</v>
      </c>
      <c r="B53" s="1689" t="s">
        <v>33</v>
      </c>
      <c r="C53" s="1690">
        <f>SUM(C49:C52)</f>
        <v>158736</v>
      </c>
      <c r="D53" s="1690">
        <f t="shared" ref="D53:L53" si="5">SUM(D49:D52)</f>
        <v>47364</v>
      </c>
      <c r="E53" s="1690">
        <f t="shared" si="5"/>
        <v>44172</v>
      </c>
      <c r="F53" s="1690">
        <f t="shared" si="5"/>
        <v>2490</v>
      </c>
      <c r="G53" s="1690">
        <f t="shared" si="5"/>
        <v>0</v>
      </c>
      <c r="H53" s="1690">
        <f t="shared" si="5"/>
        <v>17826</v>
      </c>
      <c r="I53" s="1690">
        <f t="shared" si="5"/>
        <v>0</v>
      </c>
      <c r="J53" s="1690">
        <f t="shared" si="5"/>
        <v>0</v>
      </c>
      <c r="K53" s="1690">
        <f t="shared" si="5"/>
        <v>270588</v>
      </c>
      <c r="L53" s="1690">
        <f t="shared" si="5"/>
        <v>255639</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424355</v>
      </c>
      <c r="D55" s="481">
        <v>137456</v>
      </c>
      <c r="E55" s="481">
        <v>1922</v>
      </c>
      <c r="F55" s="481">
        <v>140</v>
      </c>
      <c r="G55" s="481"/>
      <c r="H55" s="481">
        <v>1001</v>
      </c>
      <c r="I55" s="467"/>
      <c r="J55" s="467"/>
      <c r="K55" s="1692">
        <f>SUM(C55:J55)</f>
        <v>564874</v>
      </c>
      <c r="L55" s="481">
        <v>547156</v>
      </c>
    </row>
    <row r="56" spans="1:14" ht="12.75" customHeight="1" x14ac:dyDescent="0.2">
      <c r="A56" s="1529"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424355</v>
      </c>
      <c r="D57" s="1694">
        <f t="shared" ref="D57:K57" si="6">SUM(D55:D56)</f>
        <v>137456</v>
      </c>
      <c r="E57" s="1694">
        <f t="shared" si="6"/>
        <v>1922</v>
      </c>
      <c r="F57" s="1694">
        <f t="shared" si="6"/>
        <v>140</v>
      </c>
      <c r="G57" s="1694">
        <f t="shared" si="6"/>
        <v>0</v>
      </c>
      <c r="H57" s="1694">
        <f t="shared" si="6"/>
        <v>1001</v>
      </c>
      <c r="I57" s="1694">
        <f t="shared" si="6"/>
        <v>0</v>
      </c>
      <c r="J57" s="1694">
        <f t="shared" si="6"/>
        <v>0</v>
      </c>
      <c r="K57" s="1694">
        <f t="shared" si="6"/>
        <v>564874</v>
      </c>
      <c r="L57" s="1690">
        <f>SUM(L55:L56)</f>
        <v>547156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5" t="s">
        <v>483</v>
      </c>
      <c r="B60" s="615">
        <v>2520</v>
      </c>
      <c r="C60" s="466"/>
      <c r="D60" s="466"/>
      <c r="E60" s="466">
        <v>22853</v>
      </c>
      <c r="F60" s="466">
        <v>1391</v>
      </c>
      <c r="G60" s="466"/>
      <c r="H60" s="466">
        <v>619</v>
      </c>
      <c r="I60" s="467"/>
      <c r="J60" s="467"/>
      <c r="K60" s="1692">
        <f t="shared" si="7"/>
        <v>24863</v>
      </c>
      <c r="L60" s="466">
        <v>11926</v>
      </c>
      <c r="M60" s="610"/>
      <c r="N60" s="610"/>
    </row>
    <row r="61" spans="1:14" s="343" customFormat="1" x14ac:dyDescent="0.2">
      <c r="A61" s="1525" t="s">
        <v>206</v>
      </c>
      <c r="B61" s="615">
        <v>2540</v>
      </c>
      <c r="C61" s="466"/>
      <c r="D61" s="466"/>
      <c r="E61" s="466"/>
      <c r="F61" s="466"/>
      <c r="G61" s="466"/>
      <c r="H61" s="466"/>
      <c r="I61" s="467"/>
      <c r="J61" s="467"/>
      <c r="K61" s="1692">
        <f t="shared" si="7"/>
        <v>0</v>
      </c>
      <c r="L61" s="466"/>
      <c r="M61" s="610"/>
      <c r="N61" s="610"/>
    </row>
    <row r="62" spans="1:14" s="343" customFormat="1" x14ac:dyDescent="0.2">
      <c r="A62" s="1525" t="s">
        <v>1010</v>
      </c>
      <c r="B62" s="615">
        <v>2550</v>
      </c>
      <c r="C62" s="466"/>
      <c r="D62" s="466"/>
      <c r="E62" s="466"/>
      <c r="F62" s="466"/>
      <c r="G62" s="466"/>
      <c r="H62" s="466"/>
      <c r="I62" s="467"/>
      <c r="J62" s="467"/>
      <c r="K62" s="1692">
        <f t="shared" si="7"/>
        <v>0</v>
      </c>
      <c r="L62" s="466"/>
      <c r="M62" s="610"/>
      <c r="N62" s="610"/>
    </row>
    <row r="63" spans="1:14" s="610" customFormat="1" x14ac:dyDescent="0.2">
      <c r="A63" s="1525" t="s">
        <v>102</v>
      </c>
      <c r="B63" s="615">
        <v>2560</v>
      </c>
      <c r="C63" s="466">
        <v>174909</v>
      </c>
      <c r="D63" s="466">
        <v>48753</v>
      </c>
      <c r="E63" s="466">
        <v>2097</v>
      </c>
      <c r="F63" s="466">
        <v>242117</v>
      </c>
      <c r="G63" s="466">
        <v>5288</v>
      </c>
      <c r="H63" s="466">
        <v>1075</v>
      </c>
      <c r="I63" s="467"/>
      <c r="J63" s="467"/>
      <c r="K63" s="1692">
        <f t="shared" si="7"/>
        <v>474239</v>
      </c>
      <c r="L63" s="466">
        <v>535254</v>
      </c>
    </row>
    <row r="64" spans="1:14" s="610" customFormat="1" x14ac:dyDescent="0.2">
      <c r="A64" s="1530"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174909</v>
      </c>
      <c r="D65" s="1690">
        <f t="shared" ref="D65:L65" si="8">SUM(D59:D64)</f>
        <v>48753</v>
      </c>
      <c r="E65" s="1690">
        <f t="shared" si="8"/>
        <v>24950</v>
      </c>
      <c r="F65" s="1690">
        <f t="shared" si="8"/>
        <v>243508</v>
      </c>
      <c r="G65" s="1690">
        <f t="shared" si="8"/>
        <v>5288</v>
      </c>
      <c r="H65" s="1690">
        <f t="shared" si="8"/>
        <v>1694</v>
      </c>
      <c r="I65" s="1690">
        <f t="shared" si="8"/>
        <v>0</v>
      </c>
      <c r="J65" s="1690">
        <f t="shared" si="8"/>
        <v>0</v>
      </c>
      <c r="K65" s="1690">
        <f t="shared" si="8"/>
        <v>499102</v>
      </c>
      <c r="L65" s="1690">
        <f t="shared" si="8"/>
        <v>547180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2">
        <f>SUM(C67:J67)</f>
        <v>0</v>
      </c>
      <c r="L67" s="481"/>
      <c r="M67" s="610"/>
      <c r="N67" s="610"/>
    </row>
    <row r="68" spans="1:14" s="343" customFormat="1" x14ac:dyDescent="0.2">
      <c r="A68" s="1525" t="s">
        <v>628</v>
      </c>
      <c r="B68" s="615">
        <v>2620</v>
      </c>
      <c r="C68" s="466"/>
      <c r="D68" s="466"/>
      <c r="E68" s="466"/>
      <c r="F68" s="466"/>
      <c r="G68" s="466"/>
      <c r="H68" s="466"/>
      <c r="I68" s="467"/>
      <c r="J68" s="467"/>
      <c r="K68" s="1692">
        <f>SUM(C68:J68)</f>
        <v>0</v>
      </c>
      <c r="L68" s="466"/>
      <c r="M68" s="610"/>
      <c r="N68" s="610"/>
    </row>
    <row r="69" spans="1:14" s="343" customFormat="1" x14ac:dyDescent="0.2">
      <c r="A69" s="1525" t="s">
        <v>1121</v>
      </c>
      <c r="B69" s="615">
        <v>2630</v>
      </c>
      <c r="C69" s="466"/>
      <c r="D69" s="466"/>
      <c r="E69" s="466"/>
      <c r="F69" s="466"/>
      <c r="G69" s="466"/>
      <c r="H69" s="466"/>
      <c r="I69" s="467"/>
      <c r="J69" s="467"/>
      <c r="K69" s="1692">
        <f>SUM(C69:J69)</f>
        <v>0</v>
      </c>
      <c r="L69" s="466"/>
      <c r="M69" s="610"/>
      <c r="N69" s="610"/>
    </row>
    <row r="70" spans="1:14" s="343" customFormat="1" x14ac:dyDescent="0.2">
      <c r="A70" s="1525" t="s">
        <v>423</v>
      </c>
      <c r="B70" s="615">
        <v>2640</v>
      </c>
      <c r="C70" s="466"/>
      <c r="D70" s="466"/>
      <c r="E70" s="466"/>
      <c r="F70" s="466"/>
      <c r="G70" s="466"/>
      <c r="H70" s="466"/>
      <c r="I70" s="467"/>
      <c r="J70" s="467"/>
      <c r="K70" s="1692">
        <f>SUM(C70:J70)</f>
        <v>0</v>
      </c>
      <c r="L70" s="466"/>
      <c r="M70" s="610"/>
      <c r="N70" s="610"/>
    </row>
    <row r="71" spans="1:14" s="343" customFormat="1" x14ac:dyDescent="0.2">
      <c r="A71" s="1525"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1251685</v>
      </c>
      <c r="D74" s="1697">
        <f t="shared" ref="D74:K74" si="10">SUM(D42,D47,D53,D57,D65,D72,D73)</f>
        <v>295419</v>
      </c>
      <c r="E74" s="1697">
        <f t="shared" si="10"/>
        <v>88245</v>
      </c>
      <c r="F74" s="1697">
        <f t="shared" si="10"/>
        <v>394099</v>
      </c>
      <c r="G74" s="1697">
        <f t="shared" si="10"/>
        <v>185620</v>
      </c>
      <c r="H74" s="1697">
        <f t="shared" si="10"/>
        <v>23985</v>
      </c>
      <c r="I74" s="1697">
        <f t="shared" si="10"/>
        <v>0</v>
      </c>
      <c r="J74" s="1697">
        <f t="shared" si="10"/>
        <v>0</v>
      </c>
      <c r="K74" s="1697">
        <f t="shared" si="10"/>
        <v>2239053</v>
      </c>
      <c r="L74" s="1697">
        <f>SUM(L42,L47,L53,L57,L65,L72,L73)</f>
        <v>2357399</v>
      </c>
    </row>
    <row r="75" spans="1:14" s="259" customFormat="1" ht="15.75" customHeight="1" thickTop="1" thickBot="1" x14ac:dyDescent="0.25">
      <c r="A75" s="1631" t="s">
        <v>49</v>
      </c>
      <c r="B75" s="1632" t="s">
        <v>596</v>
      </c>
      <c r="C75" s="573"/>
      <c r="D75" s="573"/>
      <c r="E75" s="573"/>
      <c r="F75" s="573"/>
      <c r="G75" s="573"/>
      <c r="H75" s="573"/>
      <c r="I75" s="531"/>
      <c r="J75" s="531"/>
      <c r="K75" s="1690">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v>210</v>
      </c>
      <c r="I78" s="477"/>
      <c r="J78" s="477"/>
      <c r="K78" s="1691">
        <f t="shared" ref="K78:K83" si="11">SUM(C78:J78)</f>
        <v>210</v>
      </c>
      <c r="L78" s="481"/>
    </row>
    <row r="79" spans="1:14" x14ac:dyDescent="0.2">
      <c r="A79" s="1525" t="s">
        <v>322</v>
      </c>
      <c r="B79" s="615">
        <v>4120</v>
      </c>
      <c r="C79" s="617"/>
      <c r="D79" s="617"/>
      <c r="E79" s="466">
        <v>346704</v>
      </c>
      <c r="F79" s="617"/>
      <c r="G79" s="617"/>
      <c r="H79" s="466"/>
      <c r="I79" s="477"/>
      <c r="J79" s="477"/>
      <c r="K79" s="1691">
        <f t="shared" si="11"/>
        <v>346704</v>
      </c>
      <c r="L79" s="466">
        <v>402500</v>
      </c>
    </row>
    <row r="80" spans="1:14" x14ac:dyDescent="0.2">
      <c r="A80" s="1525" t="s">
        <v>323</v>
      </c>
      <c r="B80" s="615">
        <v>4130</v>
      </c>
      <c r="C80" s="617"/>
      <c r="D80" s="617"/>
      <c r="E80" s="466"/>
      <c r="F80" s="617"/>
      <c r="G80" s="617"/>
      <c r="H80" s="466"/>
      <c r="I80" s="477"/>
      <c r="J80" s="477"/>
      <c r="K80" s="1691">
        <f t="shared" si="11"/>
        <v>0</v>
      </c>
      <c r="L80" s="466"/>
    </row>
    <row r="81" spans="1:12" x14ac:dyDescent="0.2">
      <c r="A81" s="1525" t="s">
        <v>721</v>
      </c>
      <c r="B81" s="615">
        <v>4140</v>
      </c>
      <c r="C81" s="617"/>
      <c r="D81" s="617"/>
      <c r="E81" s="466"/>
      <c r="F81" s="617"/>
      <c r="G81" s="617"/>
      <c r="H81" s="466"/>
      <c r="I81" s="477"/>
      <c r="J81" s="477"/>
      <c r="K81" s="1691">
        <f t="shared" si="11"/>
        <v>0</v>
      </c>
      <c r="L81" s="466">
        <v>650</v>
      </c>
    </row>
    <row r="82" spans="1:12" x14ac:dyDescent="0.2">
      <c r="A82" s="1525" t="s">
        <v>88</v>
      </c>
      <c r="B82" s="615">
        <v>4170</v>
      </c>
      <c r="C82" s="617"/>
      <c r="D82" s="617"/>
      <c r="E82" s="466"/>
      <c r="F82" s="617"/>
      <c r="G82" s="617"/>
      <c r="H82" s="466"/>
      <c r="I82" s="477"/>
      <c r="J82" s="477"/>
      <c r="K82" s="1691">
        <f t="shared" si="11"/>
        <v>0</v>
      </c>
      <c r="L82" s="466"/>
    </row>
    <row r="83" spans="1:12" x14ac:dyDescent="0.2">
      <c r="A83" s="1529"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346704</v>
      </c>
      <c r="F84" s="617"/>
      <c r="G84" s="617"/>
      <c r="H84" s="1690">
        <f>SUM(H78:H83)</f>
        <v>210</v>
      </c>
      <c r="I84" s="477"/>
      <c r="J84" s="477"/>
      <c r="K84" s="1690">
        <f>SUM(K78:K83)</f>
        <v>346914</v>
      </c>
      <c r="L84" s="1690">
        <f>SUM(L78:L83)</f>
        <v>403150</v>
      </c>
    </row>
    <row r="85" spans="1:12" ht="12.75" customHeight="1" thickTop="1" thickBot="1" x14ac:dyDescent="0.25">
      <c r="A85" s="1532" t="s">
        <v>273</v>
      </c>
      <c r="B85" s="636">
        <v>4210</v>
      </c>
      <c r="C85" s="617"/>
      <c r="D85" s="617"/>
      <c r="E85" s="637"/>
      <c r="F85" s="617"/>
      <c r="G85" s="617"/>
      <c r="H85" s="535"/>
      <c r="I85" s="477"/>
      <c r="J85" s="477"/>
      <c r="K85" s="1697">
        <f>H85</f>
        <v>0</v>
      </c>
      <c r="L85" s="530"/>
    </row>
    <row r="86" spans="1:12" ht="12.75" customHeight="1" thickTop="1" thickBot="1" x14ac:dyDescent="0.25">
      <c r="A86" s="1533" t="s">
        <v>723</v>
      </c>
      <c r="B86" s="638">
        <v>4220</v>
      </c>
      <c r="C86" s="617"/>
      <c r="D86" s="617"/>
      <c r="E86" s="639"/>
      <c r="F86" s="617"/>
      <c r="G86" s="617"/>
      <c r="H86" s="467"/>
      <c r="I86" s="477"/>
      <c r="J86" s="477"/>
      <c r="K86" s="1697">
        <f t="shared" ref="K86:K98" si="12">H86</f>
        <v>0</v>
      </c>
      <c r="L86" s="530"/>
    </row>
    <row r="87" spans="1:12" ht="14.25" thickTop="1" thickBot="1" x14ac:dyDescent="0.25">
      <c r="A87" s="1534" t="s">
        <v>724</v>
      </c>
      <c r="B87" s="640">
        <v>4230</v>
      </c>
      <c r="C87" s="617"/>
      <c r="D87" s="617"/>
      <c r="E87" s="639"/>
      <c r="F87" s="617"/>
      <c r="G87" s="617"/>
      <c r="H87" s="467"/>
      <c r="I87" s="477"/>
      <c r="J87" s="477"/>
      <c r="K87" s="1697">
        <f t="shared" si="12"/>
        <v>0</v>
      </c>
      <c r="L87" s="530"/>
    </row>
    <row r="88" spans="1:12" ht="12.75" customHeight="1" thickTop="1" thickBot="1" x14ac:dyDescent="0.25">
      <c r="A88" s="1534" t="s">
        <v>789</v>
      </c>
      <c r="B88" s="640">
        <v>4240</v>
      </c>
      <c r="C88" s="617"/>
      <c r="D88" s="617"/>
      <c r="E88" s="639"/>
      <c r="F88" s="617"/>
      <c r="G88" s="617"/>
      <c r="H88" s="467">
        <v>17700</v>
      </c>
      <c r="I88" s="477"/>
      <c r="J88" s="477"/>
      <c r="K88" s="1697">
        <f t="shared" si="12"/>
        <v>17700</v>
      </c>
      <c r="L88" s="530">
        <v>26000</v>
      </c>
    </row>
    <row r="89" spans="1:12" ht="12.75" customHeight="1" thickTop="1" thickBot="1" x14ac:dyDescent="0.25">
      <c r="A89" s="1534" t="s">
        <v>725</v>
      </c>
      <c r="B89" s="640">
        <v>4270</v>
      </c>
      <c r="C89" s="617"/>
      <c r="D89" s="617"/>
      <c r="E89" s="639"/>
      <c r="F89" s="617"/>
      <c r="G89" s="617"/>
      <c r="H89" s="467"/>
      <c r="I89" s="477"/>
      <c r="J89" s="477"/>
      <c r="K89" s="1697">
        <f t="shared" si="12"/>
        <v>0</v>
      </c>
      <c r="L89" s="530"/>
    </row>
    <row r="90" spans="1:12" ht="12.75" customHeight="1" thickTop="1" thickBot="1" x14ac:dyDescent="0.25">
      <c r="A90" s="1534" t="s">
        <v>710</v>
      </c>
      <c r="B90" s="640">
        <v>4280</v>
      </c>
      <c r="C90" s="617"/>
      <c r="D90" s="617"/>
      <c r="E90" s="639"/>
      <c r="F90" s="617"/>
      <c r="G90" s="617"/>
      <c r="H90" s="467"/>
      <c r="I90" s="477"/>
      <c r="J90" s="477"/>
      <c r="K90" s="1697">
        <f t="shared" si="12"/>
        <v>0</v>
      </c>
      <c r="L90" s="530"/>
    </row>
    <row r="91" spans="1:12" ht="12.75" customHeight="1" thickTop="1" thickBot="1" x14ac:dyDescent="0.25">
      <c r="A91" s="1534"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17700</v>
      </c>
      <c r="I92" s="477"/>
      <c r="J92" s="477"/>
      <c r="K92" s="1697">
        <f t="shared" si="12"/>
        <v>17700</v>
      </c>
      <c r="L92" s="1690">
        <f>SUM(L85:L91)</f>
        <v>26000</v>
      </c>
    </row>
    <row r="93" spans="1:12" ht="14.25" thickTop="1" thickBot="1" x14ac:dyDescent="0.25">
      <c r="A93" s="1533" t="s">
        <v>712</v>
      </c>
      <c r="B93" s="641">
        <v>4310</v>
      </c>
      <c r="C93" s="617"/>
      <c r="D93" s="617"/>
      <c r="E93" s="639"/>
      <c r="F93" s="617"/>
      <c r="G93" s="617"/>
      <c r="H93" s="642"/>
      <c r="I93" s="477"/>
      <c r="J93" s="477"/>
      <c r="K93" s="1697">
        <f t="shared" si="12"/>
        <v>0</v>
      </c>
      <c r="L93" s="532"/>
    </row>
    <row r="94" spans="1:12" ht="12.75" customHeight="1" thickTop="1" thickBot="1" x14ac:dyDescent="0.25">
      <c r="A94" s="1534" t="s">
        <v>713</v>
      </c>
      <c r="B94" s="640">
        <v>4320</v>
      </c>
      <c r="C94" s="617"/>
      <c r="D94" s="617"/>
      <c r="E94" s="639"/>
      <c r="F94" s="617"/>
      <c r="G94" s="617"/>
      <c r="H94" s="467"/>
      <c r="I94" s="477"/>
      <c r="J94" s="477"/>
      <c r="K94" s="1697">
        <f t="shared" si="12"/>
        <v>0</v>
      </c>
      <c r="L94" s="530"/>
    </row>
    <row r="95" spans="1:12" ht="15" customHeight="1" thickTop="1" thickBot="1" x14ac:dyDescent="0.25">
      <c r="A95" s="1534" t="s">
        <v>1568</v>
      </c>
      <c r="B95" s="640">
        <v>4330</v>
      </c>
      <c r="C95" s="617"/>
      <c r="D95" s="617"/>
      <c r="E95" s="639"/>
      <c r="F95" s="617"/>
      <c r="G95" s="617"/>
      <c r="H95" s="467"/>
      <c r="I95" s="477"/>
      <c r="J95" s="477"/>
      <c r="K95" s="1697">
        <f t="shared" si="12"/>
        <v>0</v>
      </c>
      <c r="L95" s="530"/>
    </row>
    <row r="96" spans="1:12" ht="14.25" thickTop="1" thickBot="1" x14ac:dyDescent="0.25">
      <c r="A96" s="1534" t="s">
        <v>714</v>
      </c>
      <c r="B96" s="640">
        <v>4340</v>
      </c>
      <c r="C96" s="617"/>
      <c r="D96" s="617"/>
      <c r="E96" s="639"/>
      <c r="F96" s="617"/>
      <c r="G96" s="617"/>
      <c r="H96" s="467"/>
      <c r="I96" s="477"/>
      <c r="J96" s="477"/>
      <c r="K96" s="1697">
        <f t="shared" si="12"/>
        <v>0</v>
      </c>
      <c r="L96" s="530"/>
    </row>
    <row r="97" spans="1:14" ht="12.75" customHeight="1" thickTop="1" thickBot="1" x14ac:dyDescent="0.25">
      <c r="A97" s="1534" t="s">
        <v>787</v>
      </c>
      <c r="B97" s="640">
        <v>4370</v>
      </c>
      <c r="C97" s="617"/>
      <c r="D97" s="617"/>
      <c r="E97" s="639"/>
      <c r="F97" s="617"/>
      <c r="G97" s="617"/>
      <c r="H97" s="467"/>
      <c r="I97" s="477"/>
      <c r="J97" s="477"/>
      <c r="K97" s="1697">
        <f t="shared" si="12"/>
        <v>0</v>
      </c>
      <c r="L97" s="530"/>
    </row>
    <row r="98" spans="1:14" ht="14.25" thickTop="1" thickBot="1" x14ac:dyDescent="0.25">
      <c r="A98" s="1534" t="s">
        <v>788</v>
      </c>
      <c r="B98" s="640">
        <v>4380</v>
      </c>
      <c r="C98" s="617"/>
      <c r="D98" s="617"/>
      <c r="E98" s="643"/>
      <c r="F98" s="617"/>
      <c r="G98" s="617"/>
      <c r="H98" s="467"/>
      <c r="I98" s="477"/>
      <c r="J98" s="477"/>
      <c r="K98" s="1697">
        <f t="shared" si="12"/>
        <v>0</v>
      </c>
      <c r="L98" s="530"/>
    </row>
    <row r="99" spans="1:14" ht="14.25" thickTop="1" thickBot="1" x14ac:dyDescent="0.25">
      <c r="A99" s="1534"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1"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346704</v>
      </c>
      <c r="F102" s="617"/>
      <c r="G102" s="617"/>
      <c r="H102" s="1697">
        <f>SUM(H84,H92,H100,H101)</f>
        <v>17910</v>
      </c>
      <c r="I102" s="477"/>
      <c r="J102" s="477"/>
      <c r="K102" s="1697">
        <f>SUM(K84,K92,K100,K101)</f>
        <v>364614</v>
      </c>
      <c r="L102" s="1697">
        <f>SUM(L84,L92,L100,L101)</f>
        <v>429150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1">
        <f>H105</f>
        <v>0</v>
      </c>
      <c r="L105" s="481"/>
      <c r="M105" s="210"/>
      <c r="N105" s="210"/>
    </row>
    <row r="106" spans="1:14" s="598" customFormat="1" x14ac:dyDescent="0.2">
      <c r="A106" s="1525"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1">
        <f>H107</f>
        <v>0</v>
      </c>
      <c r="L107" s="466"/>
      <c r="M107" s="210"/>
      <c r="N107" s="210"/>
    </row>
    <row r="108" spans="1:14" s="598" customFormat="1" x14ac:dyDescent="0.2">
      <c r="A108" s="1525" t="s">
        <v>91</v>
      </c>
      <c r="B108" s="615" t="s">
        <v>610</v>
      </c>
      <c r="C108" s="617"/>
      <c r="D108" s="617"/>
      <c r="E108" s="617"/>
      <c r="F108" s="617"/>
      <c r="G108" s="617"/>
      <c r="H108" s="466"/>
      <c r="I108" s="468"/>
      <c r="J108" s="468"/>
      <c r="K108" s="1691">
        <f>H108</f>
        <v>0</v>
      </c>
      <c r="L108" s="466"/>
      <c r="M108" s="210"/>
      <c r="N108" s="210"/>
    </row>
    <row r="109" spans="1:14" s="598" customFormat="1" x14ac:dyDescent="0.2">
      <c r="A109" s="1525"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5268927</v>
      </c>
      <c r="D114" s="1690">
        <f t="shared" ref="D114:K114" si="13">SUM(D33,D74,D75,D102,D112,D113)</f>
        <v>898039</v>
      </c>
      <c r="E114" s="1690">
        <f t="shared" si="13"/>
        <v>530362</v>
      </c>
      <c r="F114" s="1690">
        <f t="shared" si="13"/>
        <v>559865</v>
      </c>
      <c r="G114" s="1690">
        <f t="shared" si="13"/>
        <v>261386</v>
      </c>
      <c r="H114" s="1690">
        <f>SUM(H33,H74,H75,H102,H112,H113)</f>
        <v>140042</v>
      </c>
      <c r="I114" s="1690">
        <f t="shared" si="13"/>
        <v>0</v>
      </c>
      <c r="J114" s="1690">
        <f t="shared" si="13"/>
        <v>0</v>
      </c>
      <c r="K114" s="1690">
        <f t="shared" si="13"/>
        <v>7658621</v>
      </c>
      <c r="L114" s="1690">
        <f>SUM(L33,L74,L75,L102,L112,L113)</f>
        <v>7995160</v>
      </c>
    </row>
    <row r="115" spans="1:14" ht="13.5" thickTop="1" x14ac:dyDescent="0.2">
      <c r="A115" s="2173" t="s">
        <v>1053</v>
      </c>
      <c r="B115" s="2174"/>
      <c r="C115" s="619"/>
      <c r="D115" s="619"/>
      <c r="E115" s="619"/>
      <c r="F115" s="619"/>
      <c r="G115" s="619"/>
      <c r="H115" s="619"/>
      <c r="I115" s="619"/>
      <c r="J115" s="619"/>
      <c r="K115" s="1704">
        <f>'Revenues 9-14'!C275-'Expenditures 15-22'!K114</f>
        <v>254809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0">
        <f>SUM(C122:J122)</f>
        <v>0</v>
      </c>
      <c r="L122" s="466"/>
    </row>
    <row r="123" spans="1:14" ht="14.25" thickTop="1" thickBot="1" x14ac:dyDescent="0.25">
      <c r="A123" s="1525" t="s">
        <v>4</v>
      </c>
      <c r="B123" s="615">
        <v>2530</v>
      </c>
      <c r="C123" s="466"/>
      <c r="D123" s="466"/>
      <c r="E123" s="466"/>
      <c r="F123" s="466"/>
      <c r="G123" s="466"/>
      <c r="H123" s="466"/>
      <c r="I123" s="467"/>
      <c r="J123" s="467"/>
      <c r="K123" s="1690">
        <f>SUM(C123:J123)</f>
        <v>0</v>
      </c>
      <c r="L123" s="466"/>
    </row>
    <row r="124" spans="1:14" ht="14.25" thickTop="1" thickBot="1" x14ac:dyDescent="0.25">
      <c r="A124" s="1525" t="s">
        <v>206</v>
      </c>
      <c r="B124" s="615">
        <v>2540</v>
      </c>
      <c r="C124" s="466">
        <v>281645</v>
      </c>
      <c r="D124" s="466">
        <v>70492</v>
      </c>
      <c r="E124" s="466">
        <v>230926</v>
      </c>
      <c r="F124" s="466">
        <v>299729</v>
      </c>
      <c r="G124" s="466">
        <v>16309</v>
      </c>
      <c r="H124" s="466"/>
      <c r="I124" s="467"/>
      <c r="J124" s="467"/>
      <c r="K124" s="1690">
        <f>SUM(C124:J124)</f>
        <v>899101</v>
      </c>
      <c r="L124" s="466">
        <v>926990</v>
      </c>
    </row>
    <row r="125" spans="1:14" ht="14.25" thickTop="1" thickBot="1" x14ac:dyDescent="0.25">
      <c r="A125" s="1525" t="s">
        <v>1010</v>
      </c>
      <c r="B125" s="615">
        <v>2550</v>
      </c>
      <c r="C125" s="466"/>
      <c r="D125" s="466"/>
      <c r="E125" s="466"/>
      <c r="F125" s="466"/>
      <c r="G125" s="466"/>
      <c r="H125" s="466"/>
      <c r="I125" s="467"/>
      <c r="J125" s="467"/>
      <c r="K125" s="1690">
        <f>SUM(C125:J125)</f>
        <v>0</v>
      </c>
      <c r="L125" s="466"/>
    </row>
    <row r="126" spans="1:14" ht="14.25" thickTop="1" thickBot="1" x14ac:dyDescent="0.25">
      <c r="A126" s="1525"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281645</v>
      </c>
      <c r="D127" s="1690">
        <f t="shared" ref="D127:L127" si="14">SUM(D122:D126)</f>
        <v>70492</v>
      </c>
      <c r="E127" s="1690">
        <f t="shared" si="14"/>
        <v>230926</v>
      </c>
      <c r="F127" s="1690">
        <f t="shared" si="14"/>
        <v>299729</v>
      </c>
      <c r="G127" s="1690">
        <f t="shared" si="14"/>
        <v>16309</v>
      </c>
      <c r="H127" s="1690">
        <f t="shared" si="14"/>
        <v>0</v>
      </c>
      <c r="I127" s="1690">
        <f t="shared" si="14"/>
        <v>0</v>
      </c>
      <c r="J127" s="1690">
        <f t="shared" si="14"/>
        <v>0</v>
      </c>
      <c r="K127" s="1690">
        <f t="shared" si="14"/>
        <v>899101</v>
      </c>
      <c r="L127" s="1690">
        <f t="shared" si="14"/>
        <v>926990</v>
      </c>
    </row>
    <row r="128" spans="1:14" ht="12.75" customHeight="1" thickTop="1" x14ac:dyDescent="0.2">
      <c r="A128" s="1532"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281645</v>
      </c>
      <c r="D129" s="1697">
        <f t="shared" ref="D129:L129" si="15">SUM(D120,D127,D128)</f>
        <v>70492</v>
      </c>
      <c r="E129" s="1697">
        <f t="shared" si="15"/>
        <v>230926</v>
      </c>
      <c r="F129" s="1697">
        <f t="shared" si="15"/>
        <v>299729</v>
      </c>
      <c r="G129" s="1697">
        <f t="shared" si="15"/>
        <v>16309</v>
      </c>
      <c r="H129" s="1697">
        <f t="shared" si="15"/>
        <v>0</v>
      </c>
      <c r="I129" s="1697">
        <f t="shared" si="15"/>
        <v>0</v>
      </c>
      <c r="J129" s="1697">
        <f t="shared" si="15"/>
        <v>0</v>
      </c>
      <c r="K129" s="1697">
        <f t="shared" si="15"/>
        <v>899101</v>
      </c>
      <c r="L129" s="1697">
        <f t="shared" si="15"/>
        <v>926990</v>
      </c>
    </row>
    <row r="130" spans="1:14" ht="15.75" customHeight="1" thickTop="1" thickBot="1" x14ac:dyDescent="0.25">
      <c r="A130" s="1631" t="s">
        <v>1096</v>
      </c>
      <c r="B130" s="1632" t="s">
        <v>596</v>
      </c>
      <c r="C130" s="576"/>
      <c r="D130" s="576"/>
      <c r="E130" s="576"/>
      <c r="F130" s="576"/>
      <c r="G130" s="576"/>
      <c r="H130" s="576"/>
      <c r="I130" s="531"/>
      <c r="J130" s="531"/>
      <c r="K130" s="1690">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1" t="s">
        <v>1957</v>
      </c>
      <c r="C133" s="468"/>
      <c r="D133" s="468"/>
      <c r="E133" s="642"/>
      <c r="F133" s="468"/>
      <c r="G133" s="468"/>
      <c r="H133" s="642"/>
      <c r="I133" s="468"/>
      <c r="J133" s="468"/>
      <c r="K133" s="1842">
        <f>SUM(E133,H133)</f>
        <v>0</v>
      </c>
      <c r="L133" s="642"/>
      <c r="M133" s="206"/>
      <c r="N133" s="206"/>
    </row>
    <row r="134" spans="1:14" x14ac:dyDescent="0.2">
      <c r="A134" s="1525" t="s">
        <v>322</v>
      </c>
      <c r="B134" s="615">
        <v>4120</v>
      </c>
      <c r="C134" s="617"/>
      <c r="D134" s="617"/>
      <c r="E134" s="478"/>
      <c r="F134" s="617"/>
      <c r="G134" s="617"/>
      <c r="H134" s="481"/>
      <c r="I134" s="477"/>
      <c r="J134" s="617"/>
      <c r="K134" s="1692">
        <f>SUM(E134,H134)</f>
        <v>0</v>
      </c>
      <c r="L134" s="481"/>
    </row>
    <row r="135" spans="1:14" x14ac:dyDescent="0.2">
      <c r="A135" s="1525" t="s">
        <v>721</v>
      </c>
      <c r="B135" s="615">
        <v>4140</v>
      </c>
      <c r="C135" s="617"/>
      <c r="D135" s="617"/>
      <c r="E135" s="467"/>
      <c r="F135" s="617"/>
      <c r="G135" s="617"/>
      <c r="H135" s="466"/>
      <c r="I135" s="477"/>
      <c r="J135" s="617"/>
      <c r="K135" s="1692">
        <f>SUM(E135,H135)</f>
        <v>0</v>
      </c>
      <c r="L135" s="466"/>
    </row>
    <row r="136" spans="1:14" x14ac:dyDescent="0.2">
      <c r="A136" s="1529"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1"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2">
        <f>SUM(H142)</f>
        <v>0</v>
      </c>
      <c r="L142" s="481"/>
    </row>
    <row r="143" spans="1:14" x14ac:dyDescent="0.2">
      <c r="A143" s="1525" t="s">
        <v>90</v>
      </c>
      <c r="B143" s="615">
        <v>5120</v>
      </c>
      <c r="C143" s="617"/>
      <c r="D143" s="617"/>
      <c r="E143" s="617"/>
      <c r="F143" s="617"/>
      <c r="G143" s="617"/>
      <c r="H143" s="466"/>
      <c r="I143" s="468"/>
      <c r="J143" s="617"/>
      <c r="K143" s="1692">
        <f>SUM(H143)</f>
        <v>0</v>
      </c>
      <c r="L143" s="466"/>
    </row>
    <row r="144" spans="1:14" ht="12.75" customHeight="1" x14ac:dyDescent="0.2">
      <c r="A144" s="1525" t="s">
        <v>1232</v>
      </c>
      <c r="B144" s="629" t="s">
        <v>638</v>
      </c>
      <c r="C144" s="617"/>
      <c r="D144" s="617"/>
      <c r="E144" s="617"/>
      <c r="F144" s="617"/>
      <c r="G144" s="617"/>
      <c r="H144" s="466"/>
      <c r="I144" s="468"/>
      <c r="J144" s="617"/>
      <c r="K144" s="1692">
        <f>SUM(H144)</f>
        <v>0</v>
      </c>
      <c r="L144" s="466"/>
    </row>
    <row r="145" spans="1:14" x14ac:dyDescent="0.2">
      <c r="A145" s="1525" t="s">
        <v>91</v>
      </c>
      <c r="B145" s="615" t="s">
        <v>610</v>
      </c>
      <c r="C145" s="617"/>
      <c r="D145" s="617"/>
      <c r="E145" s="617"/>
      <c r="F145" s="617"/>
      <c r="G145" s="617"/>
      <c r="H145" s="466"/>
      <c r="I145" s="468"/>
      <c r="J145" s="617"/>
      <c r="K145" s="1692">
        <f>SUM(H145)</f>
        <v>0</v>
      </c>
      <c r="L145" s="466"/>
    </row>
    <row r="146" spans="1:14" ht="12.75" customHeight="1" x14ac:dyDescent="0.2">
      <c r="A146" s="1525" t="s">
        <v>640</v>
      </c>
      <c r="B146" s="615" t="s">
        <v>639</v>
      </c>
      <c r="C146" s="617"/>
      <c r="D146" s="617"/>
      <c r="E146" s="617"/>
      <c r="F146" s="617"/>
      <c r="G146" s="617"/>
      <c r="H146" s="466"/>
      <c r="I146" s="468"/>
      <c r="J146" s="617"/>
      <c r="K146" s="1692">
        <f>SUM(H146)</f>
        <v>0</v>
      </c>
      <c r="L146" s="466"/>
    </row>
    <row r="147" spans="1:14" ht="12.75" customHeight="1" thickBot="1" x14ac:dyDescent="0.25">
      <c r="A147" s="1536"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8"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0" t="s">
        <v>641</v>
      </c>
      <c r="B151" s="2170"/>
      <c r="C151" s="1690">
        <f>SUM(C129,C130,C139,C149,C150)</f>
        <v>281645</v>
      </c>
      <c r="D151" s="1690">
        <f t="shared" ref="D151:K151" si="16">SUM(D129,D130,D139,D149,D150)</f>
        <v>70492</v>
      </c>
      <c r="E151" s="1690">
        <f t="shared" si="16"/>
        <v>230926</v>
      </c>
      <c r="F151" s="1690">
        <f t="shared" si="16"/>
        <v>299729</v>
      </c>
      <c r="G151" s="1690">
        <f t="shared" si="16"/>
        <v>16309</v>
      </c>
      <c r="H151" s="1690">
        <f t="shared" si="16"/>
        <v>0</v>
      </c>
      <c r="I151" s="1690">
        <f t="shared" si="16"/>
        <v>0</v>
      </c>
      <c r="J151" s="1690">
        <f t="shared" si="16"/>
        <v>0</v>
      </c>
      <c r="K151" s="1690">
        <f t="shared" si="16"/>
        <v>899101</v>
      </c>
      <c r="L151" s="1690">
        <f>SUM(L129,L130,L139,L149,L150)</f>
        <v>926990</v>
      </c>
    </row>
    <row r="152" spans="1:14" ht="12.75" customHeight="1" thickTop="1" x14ac:dyDescent="0.2">
      <c r="A152" s="2193" t="s">
        <v>1240</v>
      </c>
      <c r="B152" s="2194"/>
      <c r="C152" s="619"/>
      <c r="D152" s="619"/>
      <c r="E152" s="619"/>
      <c r="F152" s="619"/>
      <c r="G152" s="619"/>
      <c r="H152" s="619"/>
      <c r="I152" s="619"/>
      <c r="J152" s="617"/>
      <c r="K152" s="1704">
        <f>'Revenues 9-14'!D275-'Expenditures 15-22'!K151</f>
        <v>-30385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1">
        <f>SUM(C163:J163)</f>
        <v>0</v>
      </c>
      <c r="L163" s="466"/>
    </row>
    <row r="164" spans="1:14" x14ac:dyDescent="0.2">
      <c r="A164" s="1525" t="s">
        <v>90</v>
      </c>
      <c r="B164" s="615">
        <v>5120</v>
      </c>
      <c r="C164" s="617"/>
      <c r="D164" s="617"/>
      <c r="E164" s="617"/>
      <c r="F164" s="617"/>
      <c r="G164" s="617"/>
      <c r="H164" s="466"/>
      <c r="I164" s="617"/>
      <c r="J164" s="617"/>
      <c r="K164" s="1691">
        <f>SUM(C164:J164)</f>
        <v>0</v>
      </c>
      <c r="L164" s="466"/>
    </row>
    <row r="165" spans="1:14" ht="12.75" customHeight="1" x14ac:dyDescent="0.2">
      <c r="A165" s="1525" t="s">
        <v>1232</v>
      </c>
      <c r="B165" s="615" t="s">
        <v>638</v>
      </c>
      <c r="C165" s="617"/>
      <c r="D165" s="617"/>
      <c r="E165" s="617"/>
      <c r="F165" s="617"/>
      <c r="G165" s="617"/>
      <c r="H165" s="466"/>
      <c r="I165" s="617"/>
      <c r="J165" s="617"/>
      <c r="K165" s="1691">
        <f>SUM(C165:J165)</f>
        <v>0</v>
      </c>
      <c r="L165" s="466"/>
    </row>
    <row r="166" spans="1:14" x14ac:dyDescent="0.2">
      <c r="A166" s="1525" t="s">
        <v>91</v>
      </c>
      <c r="B166" s="629" t="s">
        <v>610</v>
      </c>
      <c r="C166" s="617"/>
      <c r="D166" s="617"/>
      <c r="E166" s="617"/>
      <c r="F166" s="617"/>
      <c r="G166" s="617"/>
      <c r="H166" s="466"/>
      <c r="I166" s="617"/>
      <c r="J166" s="617"/>
      <c r="K166" s="1691">
        <f>SUM(C166:J166)</f>
        <v>0</v>
      </c>
      <c r="L166" s="466"/>
    </row>
    <row r="167" spans="1:14" ht="12.75" customHeight="1" x14ac:dyDescent="0.2">
      <c r="A167" s="1525"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339218</v>
      </c>
      <c r="I169" s="617"/>
      <c r="J169" s="617"/>
      <c r="K169" s="1691">
        <f>SUM(C169:H169)</f>
        <v>339218</v>
      </c>
      <c r="L169" s="657">
        <v>344918</v>
      </c>
    </row>
    <row r="170" spans="1:14" ht="33.75" customHeight="1" x14ac:dyDescent="0.2">
      <c r="A170" s="670" t="s">
        <v>1769</v>
      </c>
      <c r="B170" s="672" t="s">
        <v>31</v>
      </c>
      <c r="C170" s="617"/>
      <c r="D170" s="617"/>
      <c r="E170" s="617"/>
      <c r="F170" s="617"/>
      <c r="G170" s="617"/>
      <c r="H170" s="569">
        <v>505000</v>
      </c>
      <c r="I170" s="617"/>
      <c r="J170" s="617"/>
      <c r="K170" s="1691">
        <f>SUM(C170:J170)</f>
        <v>505000</v>
      </c>
      <c r="L170" s="569">
        <v>505000</v>
      </c>
    </row>
    <row r="171" spans="1:14" ht="15.75" customHeight="1" x14ac:dyDescent="0.2">
      <c r="A171" s="622" t="s">
        <v>790</v>
      </c>
      <c r="B171" s="673" t="s">
        <v>86</v>
      </c>
      <c r="C171" s="617"/>
      <c r="D171" s="617"/>
      <c r="E171" s="466"/>
      <c r="F171" s="617"/>
      <c r="G171" s="617"/>
      <c r="H171" s="569">
        <v>990</v>
      </c>
      <c r="I171" s="477"/>
      <c r="J171" s="617"/>
      <c r="K171" s="1691">
        <f>SUM(C171:J171)</f>
        <v>990</v>
      </c>
      <c r="L171" s="569">
        <v>1450</v>
      </c>
    </row>
    <row r="172" spans="1:14" ht="12.75" customHeight="1" thickBot="1" x14ac:dyDescent="0.25">
      <c r="A172" s="1688" t="s">
        <v>659</v>
      </c>
      <c r="B172" s="1689" t="s">
        <v>513</v>
      </c>
      <c r="C172" s="617"/>
      <c r="D172" s="617"/>
      <c r="E172" s="1697">
        <f>SUM(E168,E169,E170,E171)</f>
        <v>0</v>
      </c>
      <c r="F172" s="617"/>
      <c r="G172" s="617"/>
      <c r="H172" s="1697">
        <f>SUM(H168,H169,H170,H171)</f>
        <v>845208</v>
      </c>
      <c r="I172" s="639"/>
      <c r="J172" s="617"/>
      <c r="K172" s="1697">
        <f>SUM(K168,K169,K170,K171)</f>
        <v>845208</v>
      </c>
      <c r="L172" s="1697">
        <f>SUM(L168,L169,L170,L171)</f>
        <v>851368</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845208</v>
      </c>
      <c r="I174" s="639"/>
      <c r="J174" s="617"/>
      <c r="K174" s="1697">
        <f>SUM(K160,K172,K173)</f>
        <v>845208</v>
      </c>
      <c r="L174" s="1697">
        <f>SUM(L160,L172,L173)</f>
        <v>851368</v>
      </c>
    </row>
    <row r="175" spans="1:14" ht="13.5" thickTop="1" x14ac:dyDescent="0.2">
      <c r="A175" s="2173" t="s">
        <v>1053</v>
      </c>
      <c r="B175" s="2174"/>
      <c r="C175" s="617"/>
      <c r="D175" s="617"/>
      <c r="E175" s="617"/>
      <c r="F175" s="617"/>
      <c r="G175" s="617"/>
      <c r="H175" s="619"/>
      <c r="I175" s="617"/>
      <c r="J175" s="617"/>
      <c r="K175" s="1704">
        <f>'Revenues 9-14'!E275-'Expenditures 15-22'!K174</f>
        <v>-61585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537016</v>
      </c>
      <c r="D182" s="466">
        <v>6986</v>
      </c>
      <c r="E182" s="466">
        <v>403091</v>
      </c>
      <c r="F182" s="466">
        <v>156379</v>
      </c>
      <c r="G182" s="466">
        <v>1150</v>
      </c>
      <c r="H182" s="466"/>
      <c r="I182" s="467"/>
      <c r="J182" s="467"/>
      <c r="K182" s="1691">
        <f>SUM(C182:J182)</f>
        <v>1104622</v>
      </c>
      <c r="L182" s="466">
        <v>1163172</v>
      </c>
    </row>
    <row r="183" spans="1:14" ht="12.75" customHeight="1" thickBot="1" x14ac:dyDescent="0.25">
      <c r="A183" s="1530"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537016</v>
      </c>
      <c r="D184" s="1697">
        <f t="shared" ref="D184:J184" si="17">SUM(D180,D182,D183)</f>
        <v>6986</v>
      </c>
      <c r="E184" s="1697">
        <f t="shared" si="17"/>
        <v>403091</v>
      </c>
      <c r="F184" s="1697">
        <f t="shared" si="17"/>
        <v>156379</v>
      </c>
      <c r="G184" s="1697">
        <f t="shared" si="17"/>
        <v>1150</v>
      </c>
      <c r="H184" s="1697">
        <f t="shared" si="17"/>
        <v>0</v>
      </c>
      <c r="I184" s="1697">
        <f t="shared" si="17"/>
        <v>0</v>
      </c>
      <c r="J184" s="1697">
        <f t="shared" si="17"/>
        <v>0</v>
      </c>
      <c r="K184" s="1697">
        <f>SUM(K180,K182,K183)</f>
        <v>1104622</v>
      </c>
      <c r="L184" s="1697">
        <f>SUM(L180, L182:L183)</f>
        <v>1163172</v>
      </c>
    </row>
    <row r="185" spans="1:14" ht="15.75" customHeight="1" thickTop="1" thickBot="1" x14ac:dyDescent="0.25">
      <c r="A185" s="1643" t="s">
        <v>996</v>
      </c>
      <c r="B185" s="1632">
        <v>3000</v>
      </c>
      <c r="C185" s="576"/>
      <c r="D185" s="576"/>
      <c r="E185" s="576"/>
      <c r="F185" s="576"/>
      <c r="G185" s="576"/>
      <c r="H185" s="576"/>
      <c r="I185" s="531"/>
      <c r="J185" s="531"/>
      <c r="K185" s="1690">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1">
        <f t="shared" ref="K188:K193" si="18">SUM(E188,H188)</f>
        <v>0</v>
      </c>
      <c r="L188" s="466"/>
    </row>
    <row r="189" spans="1:14" x14ac:dyDescent="0.2">
      <c r="A189" s="1525" t="s">
        <v>322</v>
      </c>
      <c r="B189" s="615">
        <v>4120</v>
      </c>
      <c r="C189" s="617"/>
      <c r="D189" s="617"/>
      <c r="E189" s="466"/>
      <c r="F189" s="617"/>
      <c r="G189" s="617"/>
      <c r="H189" s="466"/>
      <c r="I189" s="477"/>
      <c r="J189" s="617"/>
      <c r="K189" s="1691">
        <f t="shared" si="18"/>
        <v>0</v>
      </c>
      <c r="L189" s="466"/>
    </row>
    <row r="190" spans="1:14" x14ac:dyDescent="0.2">
      <c r="A190" s="1525" t="s">
        <v>323</v>
      </c>
      <c r="B190" s="629">
        <v>4130</v>
      </c>
      <c r="C190" s="617"/>
      <c r="D190" s="617"/>
      <c r="E190" s="466"/>
      <c r="F190" s="617"/>
      <c r="G190" s="617"/>
      <c r="H190" s="466"/>
      <c r="I190" s="477"/>
      <c r="J190" s="617"/>
      <c r="K190" s="1691">
        <f t="shared" si="18"/>
        <v>0</v>
      </c>
      <c r="L190" s="466"/>
    </row>
    <row r="191" spans="1:14" x14ac:dyDescent="0.2">
      <c r="A191" s="1525" t="s">
        <v>721</v>
      </c>
      <c r="B191" s="615">
        <v>4140</v>
      </c>
      <c r="C191" s="617"/>
      <c r="D191" s="617"/>
      <c r="E191" s="466"/>
      <c r="F191" s="617"/>
      <c r="G191" s="617"/>
      <c r="H191" s="466"/>
      <c r="I191" s="477"/>
      <c r="J191" s="617"/>
      <c r="K191" s="1691">
        <f t="shared" si="18"/>
        <v>0</v>
      </c>
      <c r="L191" s="466"/>
    </row>
    <row r="192" spans="1:14" x14ac:dyDescent="0.2">
      <c r="A192" s="1525" t="s">
        <v>88</v>
      </c>
      <c r="B192" s="615">
        <v>4170</v>
      </c>
      <c r="C192" s="617"/>
      <c r="D192" s="617"/>
      <c r="E192" s="466"/>
      <c r="F192" s="617"/>
      <c r="G192" s="617"/>
      <c r="H192" s="466"/>
      <c r="I192" s="477"/>
      <c r="J192" s="617"/>
      <c r="K192" s="1691">
        <f t="shared" si="18"/>
        <v>0</v>
      </c>
      <c r="L192" s="466"/>
    </row>
    <row r="193" spans="1:14" x14ac:dyDescent="0.2">
      <c r="A193" s="1529"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1">
        <f>SUM(H199)</f>
        <v>0</v>
      </c>
      <c r="L199" s="466"/>
    </row>
    <row r="200" spans="1:14" x14ac:dyDescent="0.2">
      <c r="A200" s="1525" t="s">
        <v>90</v>
      </c>
      <c r="B200" s="615">
        <v>5120</v>
      </c>
      <c r="C200" s="617"/>
      <c r="D200" s="617"/>
      <c r="E200" s="617"/>
      <c r="F200" s="617"/>
      <c r="G200" s="617"/>
      <c r="H200" s="466"/>
      <c r="I200" s="617"/>
      <c r="J200" s="617"/>
      <c r="K200" s="1691">
        <f>SUM(H200)</f>
        <v>0</v>
      </c>
      <c r="L200" s="466"/>
    </row>
    <row r="201" spans="1:14" ht="12.75" customHeight="1" x14ac:dyDescent="0.2">
      <c r="A201" s="1525" t="s">
        <v>1232</v>
      </c>
      <c r="B201" s="629" t="s">
        <v>638</v>
      </c>
      <c r="C201" s="617"/>
      <c r="D201" s="617"/>
      <c r="E201" s="617"/>
      <c r="F201" s="617"/>
      <c r="G201" s="617"/>
      <c r="H201" s="466"/>
      <c r="I201" s="617"/>
      <c r="J201" s="617"/>
      <c r="K201" s="1691">
        <f>SUM(H201)</f>
        <v>0</v>
      </c>
      <c r="L201" s="466"/>
    </row>
    <row r="202" spans="1:14" x14ac:dyDescent="0.2">
      <c r="A202" s="1525" t="s">
        <v>91</v>
      </c>
      <c r="B202" s="615" t="s">
        <v>610</v>
      </c>
      <c r="C202" s="617"/>
      <c r="D202" s="617"/>
      <c r="E202" s="617"/>
      <c r="F202" s="617"/>
      <c r="G202" s="617"/>
      <c r="H202" s="466"/>
      <c r="I202" s="617"/>
      <c r="J202" s="617"/>
      <c r="K202" s="1691">
        <f>SUM(H202)</f>
        <v>0</v>
      </c>
      <c r="L202" s="466"/>
    </row>
    <row r="203" spans="1:14" x14ac:dyDescent="0.2">
      <c r="A203" s="1537"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537016</v>
      </c>
      <c r="D210" s="1690">
        <f>SUM(D184,D185)</f>
        <v>6986</v>
      </c>
      <c r="E210" s="1690">
        <f>SUM(E184,E185,E196)</f>
        <v>403091</v>
      </c>
      <c r="F210" s="1690">
        <f>SUM(F184,F185)</f>
        <v>156379</v>
      </c>
      <c r="G210" s="1690">
        <f>SUM(G184,G185)</f>
        <v>1150</v>
      </c>
      <c r="H210" s="1690">
        <f>SUM(H184,H185,H196,H208,H209)</f>
        <v>0</v>
      </c>
      <c r="I210" s="1690">
        <f>SUM(I184,I185)</f>
        <v>0</v>
      </c>
      <c r="J210" s="1690">
        <f>SUM(J184,J185)</f>
        <v>0</v>
      </c>
      <c r="K210" s="1691">
        <f>SUM(K184,K185,K196,K208,K209)</f>
        <v>1104622</v>
      </c>
      <c r="L210" s="1690">
        <f>SUM(L184,L185,L196,L208,L209)</f>
        <v>1163172</v>
      </c>
    </row>
    <row r="211" spans="1:14" ht="13.5" thickTop="1" x14ac:dyDescent="0.2">
      <c r="A211" s="2173" t="s">
        <v>1053</v>
      </c>
      <c r="B211" s="2174"/>
      <c r="C211" s="619"/>
      <c r="D211" s="619"/>
      <c r="E211" s="619"/>
      <c r="F211" s="619"/>
      <c r="G211" s="619"/>
      <c r="H211" s="619"/>
      <c r="I211" s="617"/>
      <c r="J211" s="617"/>
      <c r="K211" s="1704">
        <f>'Revenues 9-14'!F275-'Expenditures 15-22'!K210</f>
        <v>609990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65870</v>
      </c>
      <c r="E215" s="617"/>
      <c r="F215" s="617"/>
      <c r="G215" s="617"/>
      <c r="H215" s="617"/>
      <c r="I215" s="617"/>
      <c r="J215" s="617"/>
      <c r="K215" s="1691">
        <f>D215</f>
        <v>65870</v>
      </c>
      <c r="L215" s="466">
        <v>67125</v>
      </c>
    </row>
    <row r="216" spans="1:14" x14ac:dyDescent="0.2">
      <c r="A216" s="1525" t="s">
        <v>165</v>
      </c>
      <c r="B216" s="615" t="s">
        <v>1024</v>
      </c>
      <c r="C216" s="617"/>
      <c r="D216" s="467">
        <v>10164</v>
      </c>
      <c r="E216" s="617"/>
      <c r="F216" s="617"/>
      <c r="G216" s="617"/>
      <c r="H216" s="617"/>
      <c r="I216" s="617"/>
      <c r="J216" s="617"/>
      <c r="K216" s="1691">
        <f t="shared" ref="K216:K228" si="19">D216</f>
        <v>10164</v>
      </c>
      <c r="L216" s="466">
        <v>8700</v>
      </c>
    </row>
    <row r="217" spans="1:14" x14ac:dyDescent="0.2">
      <c r="A217" s="1525" t="s">
        <v>166</v>
      </c>
      <c r="B217" s="615">
        <v>1200</v>
      </c>
      <c r="C217" s="617"/>
      <c r="D217" s="466">
        <v>8114</v>
      </c>
      <c r="E217" s="617"/>
      <c r="F217" s="617"/>
      <c r="G217" s="617"/>
      <c r="H217" s="617"/>
      <c r="I217" s="617"/>
      <c r="J217" s="617"/>
      <c r="K217" s="1691">
        <f t="shared" si="19"/>
        <v>8114</v>
      </c>
      <c r="L217" s="466">
        <v>10000</v>
      </c>
    </row>
    <row r="218" spans="1:14" x14ac:dyDescent="0.2">
      <c r="A218" s="1525" t="s">
        <v>296</v>
      </c>
      <c r="B218" s="615" t="s">
        <v>1025</v>
      </c>
      <c r="C218" s="617"/>
      <c r="D218" s="467"/>
      <c r="E218" s="617"/>
      <c r="F218" s="617"/>
      <c r="G218" s="617"/>
      <c r="H218" s="617"/>
      <c r="I218" s="617"/>
      <c r="J218" s="617"/>
      <c r="K218" s="1691">
        <f t="shared" si="19"/>
        <v>0</v>
      </c>
      <c r="L218" s="466"/>
    </row>
    <row r="219" spans="1:14" x14ac:dyDescent="0.2">
      <c r="A219" s="1525" t="s">
        <v>297</v>
      </c>
      <c r="B219" s="615">
        <v>1250</v>
      </c>
      <c r="C219" s="617"/>
      <c r="D219" s="466">
        <v>570</v>
      </c>
      <c r="E219" s="617"/>
      <c r="F219" s="617"/>
      <c r="G219" s="617"/>
      <c r="H219" s="617"/>
      <c r="I219" s="617"/>
      <c r="J219" s="617"/>
      <c r="K219" s="1691">
        <f t="shared" si="19"/>
        <v>570</v>
      </c>
      <c r="L219" s="466">
        <v>300</v>
      </c>
    </row>
    <row r="220" spans="1:14" x14ac:dyDescent="0.2">
      <c r="A220" s="1525" t="s">
        <v>298</v>
      </c>
      <c r="B220" s="615" t="s">
        <v>163</v>
      </c>
      <c r="C220" s="617"/>
      <c r="D220" s="467"/>
      <c r="E220" s="617"/>
      <c r="F220" s="617"/>
      <c r="G220" s="617"/>
      <c r="H220" s="617"/>
      <c r="I220" s="617"/>
      <c r="J220" s="617"/>
      <c r="K220" s="1691">
        <f t="shared" si="19"/>
        <v>0</v>
      </c>
      <c r="L220" s="466"/>
    </row>
    <row r="221" spans="1:14" x14ac:dyDescent="0.2">
      <c r="A221" s="1525" t="s">
        <v>1019</v>
      </c>
      <c r="B221" s="615">
        <v>1300</v>
      </c>
      <c r="C221" s="617"/>
      <c r="D221" s="466"/>
      <c r="E221" s="617"/>
      <c r="F221" s="617"/>
      <c r="G221" s="617"/>
      <c r="H221" s="617"/>
      <c r="I221" s="617"/>
      <c r="J221" s="617"/>
      <c r="K221" s="1691">
        <f t="shared" si="19"/>
        <v>0</v>
      </c>
      <c r="L221" s="466"/>
    </row>
    <row r="222" spans="1:14" x14ac:dyDescent="0.2">
      <c r="A222" s="1525" t="s">
        <v>747</v>
      </c>
      <c r="B222" s="615">
        <v>1400</v>
      </c>
      <c r="C222" s="617"/>
      <c r="D222" s="466">
        <v>2736</v>
      </c>
      <c r="E222" s="617"/>
      <c r="F222" s="617"/>
      <c r="G222" s="617"/>
      <c r="H222" s="617"/>
      <c r="I222" s="617"/>
      <c r="J222" s="617"/>
      <c r="K222" s="1691">
        <f t="shared" si="19"/>
        <v>2736</v>
      </c>
      <c r="L222" s="466">
        <v>2750</v>
      </c>
    </row>
    <row r="223" spans="1:14" x14ac:dyDescent="0.2">
      <c r="A223" s="1525" t="s">
        <v>1020</v>
      </c>
      <c r="B223" s="615">
        <v>1500</v>
      </c>
      <c r="C223" s="617"/>
      <c r="D223" s="466">
        <v>2976</v>
      </c>
      <c r="E223" s="617"/>
      <c r="F223" s="617"/>
      <c r="G223" s="617"/>
      <c r="H223" s="617"/>
      <c r="I223" s="617"/>
      <c r="J223" s="617"/>
      <c r="K223" s="1691">
        <f t="shared" si="19"/>
        <v>2976</v>
      </c>
      <c r="L223" s="466">
        <v>3250</v>
      </c>
    </row>
    <row r="224" spans="1:14" x14ac:dyDescent="0.2">
      <c r="A224" s="1525" t="s">
        <v>1021</v>
      </c>
      <c r="B224" s="615">
        <v>1600</v>
      </c>
      <c r="C224" s="617"/>
      <c r="D224" s="466"/>
      <c r="E224" s="617"/>
      <c r="F224" s="617"/>
      <c r="G224" s="617"/>
      <c r="H224" s="617"/>
      <c r="I224" s="617"/>
      <c r="J224" s="617"/>
      <c r="K224" s="1691">
        <f t="shared" si="19"/>
        <v>0</v>
      </c>
      <c r="L224" s="466"/>
    </row>
    <row r="225" spans="1:12" x14ac:dyDescent="0.2">
      <c r="A225" s="1525" t="s">
        <v>1044</v>
      </c>
      <c r="B225" s="615">
        <v>1650</v>
      </c>
      <c r="C225" s="617"/>
      <c r="D225" s="466"/>
      <c r="E225" s="617"/>
      <c r="F225" s="617"/>
      <c r="G225" s="617"/>
      <c r="H225" s="617"/>
      <c r="I225" s="617"/>
      <c r="J225" s="617"/>
      <c r="K225" s="1691">
        <f t="shared" si="19"/>
        <v>0</v>
      </c>
      <c r="L225" s="466"/>
    </row>
    <row r="226" spans="1:12" x14ac:dyDescent="0.2">
      <c r="A226" s="1525" t="s">
        <v>748</v>
      </c>
      <c r="B226" s="615" t="s">
        <v>164</v>
      </c>
      <c r="C226" s="617"/>
      <c r="D226" s="467">
        <v>1085</v>
      </c>
      <c r="E226" s="617"/>
      <c r="F226" s="617"/>
      <c r="G226" s="617"/>
      <c r="H226" s="617"/>
      <c r="I226" s="617"/>
      <c r="J226" s="617"/>
      <c r="K226" s="1691">
        <f t="shared" si="19"/>
        <v>1085</v>
      </c>
      <c r="L226" s="466">
        <v>1100</v>
      </c>
    </row>
    <row r="227" spans="1:12" x14ac:dyDescent="0.2">
      <c r="A227" s="1525" t="s">
        <v>1148</v>
      </c>
      <c r="B227" s="615">
        <v>1800</v>
      </c>
      <c r="C227" s="617"/>
      <c r="D227" s="466"/>
      <c r="E227" s="617"/>
      <c r="F227" s="617"/>
      <c r="G227" s="617"/>
      <c r="H227" s="617"/>
      <c r="I227" s="617"/>
      <c r="J227" s="617"/>
      <c r="K227" s="1691">
        <f t="shared" si="19"/>
        <v>0</v>
      </c>
      <c r="L227" s="466"/>
    </row>
    <row r="228" spans="1:12" x14ac:dyDescent="0.2">
      <c r="A228" s="1525"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91515</v>
      </c>
      <c r="E229" s="617"/>
      <c r="F229" s="617"/>
      <c r="G229" s="617"/>
      <c r="H229" s="617"/>
      <c r="I229" s="617"/>
      <c r="J229" s="617"/>
      <c r="K229" s="1690">
        <f>SUM(K215:K228)</f>
        <v>91515</v>
      </c>
      <c r="L229" s="1690">
        <f>SUM(L215:L228)</f>
        <v>93225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1">
        <f t="shared" ref="K232:K237" si="20">D232</f>
        <v>0</v>
      </c>
      <c r="L232" s="466"/>
    </row>
    <row r="233" spans="1:12" x14ac:dyDescent="0.2">
      <c r="A233" s="1525" t="s">
        <v>1151</v>
      </c>
      <c r="B233" s="615">
        <v>2120</v>
      </c>
      <c r="C233" s="617"/>
      <c r="D233" s="466">
        <v>3373</v>
      </c>
      <c r="E233" s="617"/>
      <c r="F233" s="617"/>
      <c r="G233" s="617"/>
      <c r="H233" s="617"/>
      <c r="I233" s="617"/>
      <c r="J233" s="617"/>
      <c r="K233" s="1691">
        <f t="shared" si="20"/>
        <v>3373</v>
      </c>
      <c r="L233" s="466">
        <v>3000</v>
      </c>
    </row>
    <row r="234" spans="1:12" x14ac:dyDescent="0.2">
      <c r="A234" s="1525" t="s">
        <v>207</v>
      </c>
      <c r="B234" s="615">
        <v>2130</v>
      </c>
      <c r="C234" s="617"/>
      <c r="D234" s="466">
        <v>3378</v>
      </c>
      <c r="E234" s="617"/>
      <c r="F234" s="617"/>
      <c r="G234" s="617"/>
      <c r="H234" s="617"/>
      <c r="I234" s="617"/>
      <c r="J234" s="617"/>
      <c r="K234" s="1691">
        <f t="shared" si="20"/>
        <v>3378</v>
      </c>
      <c r="L234" s="466">
        <v>3620</v>
      </c>
    </row>
    <row r="235" spans="1:12" x14ac:dyDescent="0.2">
      <c r="A235" s="1525" t="s">
        <v>208</v>
      </c>
      <c r="B235" s="615">
        <v>2140</v>
      </c>
      <c r="C235" s="617"/>
      <c r="D235" s="466"/>
      <c r="E235" s="617"/>
      <c r="F235" s="617"/>
      <c r="G235" s="617"/>
      <c r="H235" s="617"/>
      <c r="I235" s="617"/>
      <c r="J235" s="617"/>
      <c r="K235" s="1691">
        <f t="shared" si="20"/>
        <v>0</v>
      </c>
      <c r="L235" s="466"/>
    </row>
    <row r="236" spans="1:12" x14ac:dyDescent="0.2">
      <c r="A236" s="1525" t="s">
        <v>209</v>
      </c>
      <c r="B236" s="615">
        <v>2150</v>
      </c>
      <c r="C236" s="617"/>
      <c r="D236" s="466"/>
      <c r="E236" s="617"/>
      <c r="F236" s="617"/>
      <c r="G236" s="617"/>
      <c r="H236" s="617"/>
      <c r="I236" s="617"/>
      <c r="J236" s="617"/>
      <c r="K236" s="1691">
        <f t="shared" si="20"/>
        <v>0</v>
      </c>
      <c r="L236" s="466"/>
    </row>
    <row r="237" spans="1:12" x14ac:dyDescent="0.2">
      <c r="A237" s="1525"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6751</v>
      </c>
      <c r="E238" s="617"/>
      <c r="F238" s="617"/>
      <c r="G238" s="617"/>
      <c r="H238" s="617"/>
      <c r="I238" s="617"/>
      <c r="J238" s="617"/>
      <c r="K238" s="1690">
        <f>SUM(K232:K237)</f>
        <v>6751</v>
      </c>
      <c r="L238" s="1690">
        <f>SUM(L232:L237)</f>
        <v>6620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6849</v>
      </c>
      <c r="E240" s="617"/>
      <c r="F240" s="617"/>
      <c r="G240" s="617"/>
      <c r="H240" s="617"/>
      <c r="I240" s="617"/>
      <c r="J240" s="617"/>
      <c r="K240" s="1692">
        <f>D240</f>
        <v>6849</v>
      </c>
      <c r="L240" s="481">
        <v>8050</v>
      </c>
    </row>
    <row r="241" spans="1:12" x14ac:dyDescent="0.2">
      <c r="A241" s="1525" t="s">
        <v>869</v>
      </c>
      <c r="B241" s="615">
        <v>2220</v>
      </c>
      <c r="C241" s="617"/>
      <c r="D241" s="466">
        <v>2844</v>
      </c>
      <c r="E241" s="617"/>
      <c r="F241" s="617"/>
      <c r="G241" s="617"/>
      <c r="H241" s="617"/>
      <c r="I241" s="617"/>
      <c r="J241" s="617"/>
      <c r="K241" s="1692">
        <f>D241</f>
        <v>2844</v>
      </c>
      <c r="L241" s="466">
        <v>3550</v>
      </c>
    </row>
    <row r="242" spans="1:12" x14ac:dyDescent="0.2">
      <c r="A242" s="1525"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9693</v>
      </c>
      <c r="E243" s="617"/>
      <c r="F243" s="617"/>
      <c r="G243" s="617"/>
      <c r="H243" s="617"/>
      <c r="I243" s="617"/>
      <c r="J243" s="617"/>
      <c r="K243" s="1690">
        <f>SUM(K240:K242)</f>
        <v>9693</v>
      </c>
      <c r="L243" s="1690">
        <f>SUM(L240:L242)</f>
        <v>11600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153</v>
      </c>
      <c r="E245" s="617"/>
      <c r="F245" s="617"/>
      <c r="G245" s="617"/>
      <c r="H245" s="617"/>
      <c r="I245" s="617"/>
      <c r="J245" s="617"/>
      <c r="K245" s="1692">
        <f>D245</f>
        <v>153</v>
      </c>
      <c r="L245" s="481">
        <v>200</v>
      </c>
    </row>
    <row r="246" spans="1:12" x14ac:dyDescent="0.2">
      <c r="A246" s="1525" t="s">
        <v>872</v>
      </c>
      <c r="B246" s="615">
        <v>2320</v>
      </c>
      <c r="C246" s="617"/>
      <c r="D246" s="466">
        <v>9031</v>
      </c>
      <c r="E246" s="617"/>
      <c r="F246" s="617"/>
      <c r="G246" s="617"/>
      <c r="H246" s="617"/>
      <c r="I246" s="617"/>
      <c r="J246" s="617"/>
      <c r="K246" s="1692">
        <f t="shared" ref="K246:K256" si="21">D246</f>
        <v>9031</v>
      </c>
      <c r="L246" s="466">
        <v>9876</v>
      </c>
    </row>
    <row r="247" spans="1:12" x14ac:dyDescent="0.2">
      <c r="A247" s="1525" t="s">
        <v>873</v>
      </c>
      <c r="B247" s="615">
        <v>2330</v>
      </c>
      <c r="C247" s="617"/>
      <c r="D247" s="466"/>
      <c r="E247" s="617"/>
      <c r="F247" s="617"/>
      <c r="G247" s="617"/>
      <c r="H247" s="617"/>
      <c r="I247" s="617"/>
      <c r="J247" s="617"/>
      <c r="K247" s="1692">
        <f t="shared" si="21"/>
        <v>0</v>
      </c>
      <c r="L247" s="466"/>
    </row>
    <row r="248" spans="1:12" x14ac:dyDescent="0.2">
      <c r="A248" s="1526" t="s">
        <v>317</v>
      </c>
      <c r="B248" s="603" t="s">
        <v>299</v>
      </c>
      <c r="C248" s="617"/>
      <c r="D248" s="474"/>
      <c r="E248" s="617"/>
      <c r="F248" s="617"/>
      <c r="G248" s="617"/>
      <c r="H248" s="617"/>
      <c r="I248" s="617"/>
      <c r="J248" s="617"/>
      <c r="K248" s="1692">
        <f t="shared" si="21"/>
        <v>0</v>
      </c>
      <c r="L248" s="466"/>
    </row>
    <row r="249" spans="1:12" x14ac:dyDescent="0.2">
      <c r="A249" s="1527" t="s">
        <v>1908</v>
      </c>
      <c r="B249" s="684" t="s">
        <v>300</v>
      </c>
      <c r="C249" s="617"/>
      <c r="D249" s="474"/>
      <c r="E249" s="617"/>
      <c r="F249" s="617"/>
      <c r="G249" s="617"/>
      <c r="H249" s="617"/>
      <c r="I249" s="617"/>
      <c r="J249" s="617"/>
      <c r="K249" s="1692">
        <f t="shared" si="21"/>
        <v>0</v>
      </c>
      <c r="L249" s="466"/>
    </row>
    <row r="250" spans="1:12" x14ac:dyDescent="0.2">
      <c r="A250" s="1526" t="s">
        <v>1909</v>
      </c>
      <c r="B250" s="603" t="s">
        <v>301</v>
      </c>
      <c r="C250" s="617"/>
      <c r="D250" s="474"/>
      <c r="E250" s="617"/>
      <c r="F250" s="617"/>
      <c r="G250" s="617"/>
      <c r="H250" s="617"/>
      <c r="I250" s="617"/>
      <c r="J250" s="617"/>
      <c r="K250" s="1692">
        <f t="shared" si="21"/>
        <v>0</v>
      </c>
      <c r="L250" s="466"/>
    </row>
    <row r="251" spans="1:12" x14ac:dyDescent="0.2">
      <c r="A251" s="1526" t="s">
        <v>256</v>
      </c>
      <c r="B251" s="603" t="s">
        <v>302</v>
      </c>
      <c r="C251" s="617"/>
      <c r="D251" s="474"/>
      <c r="E251" s="617"/>
      <c r="F251" s="617"/>
      <c r="G251" s="617"/>
      <c r="H251" s="617"/>
      <c r="I251" s="617"/>
      <c r="J251" s="617"/>
      <c r="K251" s="1692">
        <f t="shared" si="21"/>
        <v>0</v>
      </c>
      <c r="L251" s="466">
        <v>1750</v>
      </c>
    </row>
    <row r="252" spans="1:12" x14ac:dyDescent="0.2">
      <c r="A252" s="1526" t="s">
        <v>726</v>
      </c>
      <c r="B252" s="603" t="s">
        <v>303</v>
      </c>
      <c r="C252" s="617"/>
      <c r="D252" s="474"/>
      <c r="E252" s="617"/>
      <c r="F252" s="617"/>
      <c r="G252" s="617"/>
      <c r="H252" s="617"/>
      <c r="I252" s="617"/>
      <c r="J252" s="617"/>
      <c r="K252" s="1692">
        <f t="shared" si="21"/>
        <v>0</v>
      </c>
      <c r="L252" s="466"/>
    </row>
    <row r="253" spans="1:12" x14ac:dyDescent="0.2">
      <c r="A253" s="1526" t="s">
        <v>257</v>
      </c>
      <c r="B253" s="603" t="s">
        <v>304</v>
      </c>
      <c r="C253" s="617"/>
      <c r="D253" s="474"/>
      <c r="E253" s="617"/>
      <c r="F253" s="617"/>
      <c r="G253" s="617"/>
      <c r="H253" s="617"/>
      <c r="I253" s="617"/>
      <c r="J253" s="617"/>
      <c r="K253" s="1692">
        <f t="shared" si="21"/>
        <v>0</v>
      </c>
      <c r="L253" s="466"/>
    </row>
    <row r="254" spans="1:12" ht="22.5" x14ac:dyDescent="0.2">
      <c r="A254" s="1526" t="s">
        <v>1087</v>
      </c>
      <c r="B254" s="684" t="s">
        <v>305</v>
      </c>
      <c r="C254" s="617"/>
      <c r="D254" s="474">
        <v>1555</v>
      </c>
      <c r="E254" s="617"/>
      <c r="F254" s="617"/>
      <c r="G254" s="617"/>
      <c r="H254" s="617"/>
      <c r="I254" s="617"/>
      <c r="J254" s="617"/>
      <c r="K254" s="1692">
        <f t="shared" si="21"/>
        <v>1555</v>
      </c>
      <c r="L254" s="466"/>
    </row>
    <row r="255" spans="1:12" x14ac:dyDescent="0.2">
      <c r="A255" s="1526" t="s">
        <v>1088</v>
      </c>
      <c r="B255" s="603" t="s">
        <v>306</v>
      </c>
      <c r="C255" s="617"/>
      <c r="D255" s="474"/>
      <c r="E255" s="617"/>
      <c r="F255" s="617"/>
      <c r="G255" s="617"/>
      <c r="H255" s="617"/>
      <c r="I255" s="617"/>
      <c r="J255" s="617"/>
      <c r="K255" s="1692">
        <f t="shared" si="21"/>
        <v>0</v>
      </c>
      <c r="L255" s="466"/>
    </row>
    <row r="256" spans="1:12" x14ac:dyDescent="0.2">
      <c r="A256" s="1526"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10739</v>
      </c>
      <c r="E257" s="617"/>
      <c r="F257" s="617"/>
      <c r="G257" s="617"/>
      <c r="H257" s="617"/>
      <c r="I257" s="617"/>
      <c r="J257" s="617"/>
      <c r="K257" s="1690">
        <f>SUM(K245:K256)</f>
        <v>10739</v>
      </c>
      <c r="L257" s="1690">
        <f>SUM(L245:L256)</f>
        <v>11826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26804</v>
      </c>
      <c r="E259" s="617"/>
      <c r="F259" s="617"/>
      <c r="G259" s="617"/>
      <c r="H259" s="617"/>
      <c r="I259" s="617"/>
      <c r="J259" s="617"/>
      <c r="K259" s="1692">
        <f>D259</f>
        <v>26804</v>
      </c>
      <c r="L259" s="481">
        <v>29600</v>
      </c>
    </row>
    <row r="260" spans="1:14" s="598" customFormat="1" x14ac:dyDescent="0.2">
      <c r="A260" s="1543" t="s">
        <v>1907</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26804</v>
      </c>
      <c r="E261" s="617"/>
      <c r="F261" s="617"/>
      <c r="G261" s="617"/>
      <c r="H261" s="617"/>
      <c r="I261" s="617"/>
      <c r="J261" s="617"/>
      <c r="K261" s="1690">
        <f>SUM(K259:K260)</f>
        <v>26804</v>
      </c>
      <c r="L261" s="1690">
        <f>SUM(L259:L260)</f>
        <v>29600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2">
        <f>D263</f>
        <v>0</v>
      </c>
      <c r="L263" s="481"/>
    </row>
    <row r="264" spans="1:14" x14ac:dyDescent="0.2">
      <c r="A264" s="1525" t="s">
        <v>483</v>
      </c>
      <c r="B264" s="686">
        <v>2520</v>
      </c>
      <c r="C264" s="617"/>
      <c r="D264" s="466"/>
      <c r="E264" s="617"/>
      <c r="F264" s="617"/>
      <c r="G264" s="617"/>
      <c r="H264" s="617"/>
      <c r="I264" s="617"/>
      <c r="J264" s="617"/>
      <c r="K264" s="1692">
        <f t="shared" ref="K264:K269" si="22">D264</f>
        <v>0</v>
      </c>
      <c r="L264" s="466"/>
    </row>
    <row r="265" spans="1:14" x14ac:dyDescent="0.2">
      <c r="A265" s="1525" t="s">
        <v>4</v>
      </c>
      <c r="B265" s="615">
        <v>2530</v>
      </c>
      <c r="C265" s="617"/>
      <c r="D265" s="466"/>
      <c r="E265" s="617"/>
      <c r="F265" s="617"/>
      <c r="G265" s="617"/>
      <c r="H265" s="617"/>
      <c r="I265" s="617"/>
      <c r="J265" s="617"/>
      <c r="K265" s="1692">
        <f t="shared" si="22"/>
        <v>0</v>
      </c>
      <c r="L265" s="466"/>
    </row>
    <row r="266" spans="1:14" x14ac:dyDescent="0.2">
      <c r="A266" s="1525" t="s">
        <v>206</v>
      </c>
      <c r="B266" s="615">
        <v>2540</v>
      </c>
      <c r="C266" s="617"/>
      <c r="D266" s="466">
        <v>43806</v>
      </c>
      <c r="E266" s="617"/>
      <c r="F266" s="617"/>
      <c r="G266" s="617"/>
      <c r="H266" s="617"/>
      <c r="I266" s="617"/>
      <c r="J266" s="617"/>
      <c r="K266" s="1692">
        <f t="shared" si="22"/>
        <v>43806</v>
      </c>
      <c r="L266" s="466">
        <v>47879</v>
      </c>
    </row>
    <row r="267" spans="1:14" x14ac:dyDescent="0.2">
      <c r="A267" s="1525" t="s">
        <v>1010</v>
      </c>
      <c r="B267" s="615">
        <v>2550</v>
      </c>
      <c r="C267" s="617"/>
      <c r="D267" s="466">
        <v>57096</v>
      </c>
      <c r="E267" s="617"/>
      <c r="F267" s="617"/>
      <c r="G267" s="617"/>
      <c r="H267" s="617"/>
      <c r="I267" s="617"/>
      <c r="J267" s="617"/>
      <c r="K267" s="1692">
        <f t="shared" si="22"/>
        <v>57096</v>
      </c>
      <c r="L267" s="466">
        <v>58950</v>
      </c>
    </row>
    <row r="268" spans="1:14" x14ac:dyDescent="0.2">
      <c r="A268" s="1525" t="s">
        <v>102</v>
      </c>
      <c r="B268" s="615">
        <v>2560</v>
      </c>
      <c r="C268" s="617"/>
      <c r="D268" s="466">
        <v>26510</v>
      </c>
      <c r="E268" s="617"/>
      <c r="F268" s="617"/>
      <c r="G268" s="617"/>
      <c r="H268" s="617"/>
      <c r="I268" s="617"/>
      <c r="J268" s="617"/>
      <c r="K268" s="1692">
        <f t="shared" si="22"/>
        <v>26510</v>
      </c>
      <c r="L268" s="466">
        <v>28000</v>
      </c>
    </row>
    <row r="269" spans="1:14" x14ac:dyDescent="0.2">
      <c r="A269" s="1525"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127412</v>
      </c>
      <c r="E270" s="617"/>
      <c r="F270" s="617"/>
      <c r="G270" s="617"/>
      <c r="H270" s="617"/>
      <c r="I270" s="617"/>
      <c r="J270" s="617"/>
      <c r="K270" s="1690">
        <f>SUM(K263:K269)</f>
        <v>127412</v>
      </c>
      <c r="L270" s="1690">
        <f>SUM(L263:L269)</f>
        <v>134829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2">
        <f>D272</f>
        <v>0</v>
      </c>
      <c r="L272" s="481"/>
    </row>
    <row r="273" spans="1:12" x14ac:dyDescent="0.2">
      <c r="A273" s="1525" t="s">
        <v>628</v>
      </c>
      <c r="B273" s="629">
        <v>2620</v>
      </c>
      <c r="C273" s="617"/>
      <c r="D273" s="466"/>
      <c r="E273" s="617"/>
      <c r="F273" s="617"/>
      <c r="G273" s="617"/>
      <c r="H273" s="617"/>
      <c r="I273" s="617"/>
      <c r="J273" s="617"/>
      <c r="K273" s="1692">
        <f>D273</f>
        <v>0</v>
      </c>
      <c r="L273" s="466"/>
    </row>
    <row r="274" spans="1:12" ht="12" customHeight="1" x14ac:dyDescent="0.2">
      <c r="A274" s="1525" t="s">
        <v>1121</v>
      </c>
      <c r="B274" s="615">
        <v>2630</v>
      </c>
      <c r="C274" s="617"/>
      <c r="D274" s="466"/>
      <c r="E274" s="617"/>
      <c r="F274" s="617"/>
      <c r="G274" s="617"/>
      <c r="H274" s="617"/>
      <c r="I274" s="617"/>
      <c r="J274" s="617"/>
      <c r="K274" s="1692">
        <f>D274</f>
        <v>0</v>
      </c>
      <c r="L274" s="466"/>
    </row>
    <row r="275" spans="1:12" x14ac:dyDescent="0.2">
      <c r="A275" s="1525" t="s">
        <v>423</v>
      </c>
      <c r="B275" s="615">
        <v>2640</v>
      </c>
      <c r="C275" s="617"/>
      <c r="D275" s="466"/>
      <c r="E275" s="617"/>
      <c r="F275" s="617"/>
      <c r="G275" s="617"/>
      <c r="H275" s="617"/>
      <c r="I275" s="617"/>
      <c r="J275" s="617"/>
      <c r="K275" s="1692">
        <f>D275</f>
        <v>0</v>
      </c>
      <c r="L275" s="466"/>
    </row>
    <row r="276" spans="1:12" x14ac:dyDescent="0.2">
      <c r="A276" s="1525"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1"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181399</v>
      </c>
      <c r="E279" s="617"/>
      <c r="F279" s="617"/>
      <c r="G279" s="617"/>
      <c r="H279" s="617"/>
      <c r="I279" s="617"/>
      <c r="J279" s="617"/>
      <c r="K279" s="1697">
        <f>SUM(K238,K243,K257,K261,K270,K277,K278)</f>
        <v>181399</v>
      </c>
      <c r="L279" s="1697">
        <f>SUM(L238,L243,L257,L261,L270,L277,L278)</f>
        <v>194475</v>
      </c>
    </row>
    <row r="280" spans="1:12" ht="15.75" customHeight="1" thickTop="1" thickBot="1" x14ac:dyDescent="0.25">
      <c r="A280" s="1645" t="s">
        <v>930</v>
      </c>
      <c r="B280" s="1634">
        <v>3000</v>
      </c>
      <c r="C280" s="617"/>
      <c r="D280" s="576"/>
      <c r="E280" s="617"/>
      <c r="F280" s="617"/>
      <c r="G280" s="617"/>
      <c r="H280" s="617"/>
      <c r="I280" s="617"/>
      <c r="J280" s="617"/>
      <c r="K280" s="1699">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row>
    <row r="283" spans="1:12" x14ac:dyDescent="0.2">
      <c r="A283" s="1525" t="s">
        <v>322</v>
      </c>
      <c r="B283" s="615">
        <v>4120</v>
      </c>
      <c r="C283" s="617"/>
      <c r="D283" s="466"/>
      <c r="E283" s="617"/>
      <c r="F283" s="617"/>
      <c r="G283" s="617"/>
      <c r="H283" s="617"/>
      <c r="I283" s="617"/>
      <c r="J283" s="617"/>
      <c r="K283" s="1691">
        <f>D283</f>
        <v>0</v>
      </c>
      <c r="L283" s="466"/>
    </row>
    <row r="284" spans="1:12" x14ac:dyDescent="0.2">
      <c r="A284" s="1525"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1">
        <f>H288</f>
        <v>0</v>
      </c>
      <c r="L288" s="466"/>
    </row>
    <row r="289" spans="1:14" x14ac:dyDescent="0.2">
      <c r="A289" s="1525" t="s">
        <v>90</v>
      </c>
      <c r="B289" s="615">
        <v>5120</v>
      </c>
      <c r="C289" s="617"/>
      <c r="D289" s="617"/>
      <c r="E289" s="617"/>
      <c r="F289" s="617"/>
      <c r="G289" s="617"/>
      <c r="H289" s="466"/>
      <c r="I289" s="617"/>
      <c r="J289" s="617"/>
      <c r="K289" s="1691">
        <f>H289</f>
        <v>0</v>
      </c>
      <c r="L289" s="466"/>
    </row>
    <row r="290" spans="1:14" ht="12.75" customHeight="1" x14ac:dyDescent="0.2">
      <c r="A290" s="1525" t="s">
        <v>1232</v>
      </c>
      <c r="B290" s="629" t="s">
        <v>638</v>
      </c>
      <c r="C290" s="617"/>
      <c r="D290" s="617"/>
      <c r="E290" s="617"/>
      <c r="F290" s="617"/>
      <c r="G290" s="617"/>
      <c r="H290" s="466"/>
      <c r="I290" s="617"/>
      <c r="J290" s="617"/>
      <c r="K290" s="1691">
        <f>H290</f>
        <v>0</v>
      </c>
      <c r="L290" s="466"/>
    </row>
    <row r="291" spans="1:14" x14ac:dyDescent="0.2">
      <c r="A291" s="1525" t="s">
        <v>91</v>
      </c>
      <c r="B291" s="615" t="s">
        <v>610</v>
      </c>
      <c r="C291" s="617"/>
      <c r="D291" s="617"/>
      <c r="E291" s="617"/>
      <c r="F291" s="617"/>
      <c r="G291" s="617"/>
      <c r="H291" s="466"/>
      <c r="I291" s="617"/>
      <c r="J291" s="617"/>
      <c r="K291" s="1691">
        <f>H291</f>
        <v>0</v>
      </c>
      <c r="L291" s="466"/>
    </row>
    <row r="292" spans="1:14" x14ac:dyDescent="0.2">
      <c r="A292" s="1525"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0">
        <f>SUM(D229,D279,D280,D285)</f>
        <v>272914</v>
      </c>
      <c r="E295" s="617"/>
      <c r="F295" s="617"/>
      <c r="G295" s="617"/>
      <c r="H295" s="1690">
        <f>H293</f>
        <v>0</v>
      </c>
      <c r="I295" s="617"/>
      <c r="J295" s="617"/>
      <c r="K295" s="1690">
        <f>SUM(K229,K279,K280,K285,K293,K294)</f>
        <v>272914</v>
      </c>
      <c r="L295" s="1690">
        <f>SUM(L229,L279,L280,L285,L293,L294)</f>
        <v>287700</v>
      </c>
    </row>
    <row r="296" spans="1:14" ht="13.5" thickTop="1" x14ac:dyDescent="0.2">
      <c r="A296" s="2173" t="s">
        <v>1053</v>
      </c>
      <c r="B296" s="2174"/>
      <c r="C296" s="617"/>
      <c r="D296" s="619"/>
      <c r="E296" s="617"/>
      <c r="F296" s="617"/>
      <c r="G296" s="617"/>
      <c r="H296" s="688"/>
      <c r="I296" s="617"/>
      <c r="J296" s="617"/>
      <c r="K296" s="1704">
        <f>'Revenues 9-14'!G275-'Expenditures 15-22'!K295</f>
        <v>16396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90187</v>
      </c>
      <c r="H301" s="466"/>
      <c r="I301" s="467"/>
      <c r="J301" s="467"/>
      <c r="K301" s="1691">
        <f>SUM(C301:J301)</f>
        <v>90187</v>
      </c>
      <c r="L301" s="467">
        <v>94000</v>
      </c>
    </row>
    <row r="302" spans="1:14" ht="13.5" customHeight="1" x14ac:dyDescent="0.2">
      <c r="A302" s="1538"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90187</v>
      </c>
      <c r="H303" s="1697">
        <f t="shared" si="23"/>
        <v>0</v>
      </c>
      <c r="I303" s="1697">
        <f t="shared" si="23"/>
        <v>0</v>
      </c>
      <c r="J303" s="1697">
        <f t="shared" si="23"/>
        <v>0</v>
      </c>
      <c r="K303" s="1697">
        <f t="shared" si="23"/>
        <v>90187</v>
      </c>
      <c r="L303" s="1697">
        <f t="shared" si="23"/>
        <v>94000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1">
        <f>SUM(E306,H306)</f>
        <v>0</v>
      </c>
      <c r="L306" s="467"/>
    </row>
    <row r="307" spans="1:14" x14ac:dyDescent="0.2">
      <c r="A307" s="1525" t="s">
        <v>322</v>
      </c>
      <c r="B307" s="615">
        <v>4120</v>
      </c>
      <c r="C307" s="617"/>
      <c r="D307" s="617"/>
      <c r="E307" s="467"/>
      <c r="F307" s="617"/>
      <c r="G307" s="617"/>
      <c r="H307" s="467"/>
      <c r="I307" s="477"/>
      <c r="J307" s="617"/>
      <c r="K307" s="1691">
        <f>SUM(E307,H307)</f>
        <v>0</v>
      </c>
      <c r="L307" s="466"/>
    </row>
    <row r="308" spans="1:14" x14ac:dyDescent="0.2">
      <c r="A308" s="1525" t="s">
        <v>721</v>
      </c>
      <c r="B308" s="615">
        <v>4140</v>
      </c>
      <c r="C308" s="617"/>
      <c r="D308" s="617"/>
      <c r="E308" s="467"/>
      <c r="F308" s="617"/>
      <c r="G308" s="617"/>
      <c r="H308" s="467"/>
      <c r="I308" s="477"/>
      <c r="J308" s="617"/>
      <c r="K308" s="1691">
        <f>SUM(E308,H308)</f>
        <v>0</v>
      </c>
      <c r="L308" s="466"/>
    </row>
    <row r="309" spans="1:14" ht="12.75" customHeight="1" x14ac:dyDescent="0.2">
      <c r="A309" s="1529"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0">
        <f>SUM(C303)</f>
        <v>0</v>
      </c>
      <c r="D312" s="1690">
        <f>SUM(D303)</f>
        <v>0</v>
      </c>
      <c r="E312" s="1690">
        <f>SUM(E303,E310)</f>
        <v>0</v>
      </c>
      <c r="F312" s="1690">
        <f>SUM(F303)</f>
        <v>0</v>
      </c>
      <c r="G312" s="1690">
        <f>SUM(G303)</f>
        <v>90187</v>
      </c>
      <c r="H312" s="1690">
        <f>SUM(H303,H310)</f>
        <v>0</v>
      </c>
      <c r="I312" s="1690">
        <f>SUM(I303)</f>
        <v>0</v>
      </c>
      <c r="J312" s="1690">
        <f>SUM(J303)</f>
        <v>0</v>
      </c>
      <c r="K312" s="1690">
        <f>SUM(K303,K310,K311)</f>
        <v>90187</v>
      </c>
      <c r="L312" s="1690">
        <f>SUM(L303,L310,L311)</f>
        <v>94000</v>
      </c>
      <c r="M312" s="666"/>
      <c r="N312" s="666"/>
    </row>
    <row r="313" spans="1:14" ht="13.5" thickTop="1" x14ac:dyDescent="0.2">
      <c r="A313" s="2184" t="s">
        <v>1053</v>
      </c>
      <c r="B313" s="2185"/>
      <c r="C313" s="627"/>
      <c r="D313" s="627"/>
      <c r="E313" s="627"/>
      <c r="F313" s="627"/>
      <c r="G313" s="627"/>
      <c r="H313" s="627"/>
      <c r="I313" s="627"/>
      <c r="J313" s="627"/>
      <c r="K313" s="1705">
        <f>'Revenues 9-14'!H275-'Expenditures 15-22'!K312</f>
        <v>15786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4" t="s">
        <v>1908</v>
      </c>
      <c r="B320" s="699" t="s">
        <v>300</v>
      </c>
      <c r="C320" s="467"/>
      <c r="D320" s="467"/>
      <c r="E320" s="467">
        <v>57242</v>
      </c>
      <c r="F320" s="467"/>
      <c r="G320" s="467"/>
      <c r="H320" s="467"/>
      <c r="I320" s="467"/>
      <c r="J320" s="467"/>
      <c r="K320" s="1691">
        <f t="shared" ref="K320:K327" si="24">SUM(C320:J320)</f>
        <v>57242</v>
      </c>
      <c r="L320" s="467"/>
      <c r="M320" s="666"/>
      <c r="N320" s="666"/>
    </row>
    <row r="321" spans="1:14" s="675" customFormat="1" x14ac:dyDescent="0.2">
      <c r="A321" s="1540"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40" t="s">
        <v>256</v>
      </c>
      <c r="B322" s="698" t="s">
        <v>302</v>
      </c>
      <c r="C322" s="467"/>
      <c r="D322" s="467"/>
      <c r="E322" s="467">
        <v>143152</v>
      </c>
      <c r="F322" s="467"/>
      <c r="G322" s="467"/>
      <c r="H322" s="467"/>
      <c r="I322" s="467"/>
      <c r="J322" s="467"/>
      <c r="K322" s="1691">
        <f t="shared" si="24"/>
        <v>143152</v>
      </c>
      <c r="L322" s="467">
        <v>220000</v>
      </c>
      <c r="M322" s="666"/>
      <c r="N322" s="666"/>
    </row>
    <row r="323" spans="1:14" s="675" customFormat="1" x14ac:dyDescent="0.2">
      <c r="A323" s="1540"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0" t="s">
        <v>1087</v>
      </c>
      <c r="B325" s="699" t="s">
        <v>305</v>
      </c>
      <c r="C325" s="467">
        <v>33762</v>
      </c>
      <c r="D325" s="467">
        <v>9387</v>
      </c>
      <c r="E325" s="467"/>
      <c r="F325" s="467"/>
      <c r="G325" s="467"/>
      <c r="H325" s="467"/>
      <c r="I325" s="467"/>
      <c r="J325" s="467"/>
      <c r="K325" s="1691">
        <f t="shared" si="24"/>
        <v>43149</v>
      </c>
      <c r="L325" s="467">
        <v>94725</v>
      </c>
      <c r="M325" s="666"/>
      <c r="N325" s="666"/>
    </row>
    <row r="326" spans="1:14" s="675" customFormat="1" x14ac:dyDescent="0.2">
      <c r="A326" s="1540"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0" t="s">
        <v>1028</v>
      </c>
      <c r="B327" s="698" t="s">
        <v>307</v>
      </c>
      <c r="C327" s="467"/>
      <c r="D327" s="467"/>
      <c r="E327" s="467">
        <v>16983</v>
      </c>
      <c r="F327" s="467"/>
      <c r="G327" s="467"/>
      <c r="H327" s="467"/>
      <c r="I327" s="467"/>
      <c r="J327" s="467"/>
      <c r="K327" s="1691">
        <f t="shared" si="24"/>
        <v>16983</v>
      </c>
      <c r="L327" s="467">
        <v>15000</v>
      </c>
      <c r="M327" s="666"/>
      <c r="N327" s="666"/>
    </row>
    <row r="328" spans="1:14" s="675" customFormat="1" x14ac:dyDescent="0.2">
      <c r="A328" s="1541"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33762</v>
      </c>
      <c r="D330" s="1690">
        <f t="shared" ref="D330:J330" si="25">SUM(D319:D329)</f>
        <v>9387</v>
      </c>
      <c r="E330" s="1690">
        <f t="shared" si="25"/>
        <v>217377</v>
      </c>
      <c r="F330" s="1690">
        <f t="shared" si="25"/>
        <v>0</v>
      </c>
      <c r="G330" s="1690">
        <f t="shared" si="25"/>
        <v>0</v>
      </c>
      <c r="H330" s="1690">
        <f t="shared" si="25"/>
        <v>0</v>
      </c>
      <c r="I330" s="1690">
        <f t="shared" si="25"/>
        <v>0</v>
      </c>
      <c r="J330" s="1690">
        <f t="shared" si="25"/>
        <v>0</v>
      </c>
      <c r="K330" s="1690">
        <f>SUM(K319:K329)</f>
        <v>260526</v>
      </c>
      <c r="L330" s="1690">
        <f>SUM(L319:L329)</f>
        <v>329725</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1">
        <f>H337</f>
        <v>0</v>
      </c>
      <c r="L337" s="478"/>
    </row>
    <row r="338" spans="1:14" ht="12.75" customHeight="1" x14ac:dyDescent="0.2">
      <c r="A338" s="1539" t="s">
        <v>1232</v>
      </c>
      <c r="B338" s="691" t="s">
        <v>638</v>
      </c>
      <c r="C338" s="639"/>
      <c r="D338" s="639"/>
      <c r="E338" s="639"/>
      <c r="F338" s="639"/>
      <c r="G338" s="639"/>
      <c r="H338" s="478"/>
      <c r="I338" s="639"/>
      <c r="J338" s="639"/>
      <c r="K338" s="1691">
        <f>H338</f>
        <v>0</v>
      </c>
      <c r="L338" s="478"/>
    </row>
    <row r="339" spans="1:14" x14ac:dyDescent="0.2">
      <c r="A339" s="1525"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33762</v>
      </c>
      <c r="D342" s="1690">
        <f>SUM(D330)</f>
        <v>9387</v>
      </c>
      <c r="E342" s="1690">
        <f>SUM(E330)</f>
        <v>217377</v>
      </c>
      <c r="F342" s="1690">
        <f>SUM(F330)</f>
        <v>0</v>
      </c>
      <c r="G342" s="1690">
        <f>SUM(G330)</f>
        <v>0</v>
      </c>
      <c r="H342" s="1690">
        <f>SUM(H330,H334,H340)</f>
        <v>0</v>
      </c>
      <c r="I342" s="1690">
        <f>SUM(I330)</f>
        <v>0</v>
      </c>
      <c r="J342" s="1690">
        <f>SUM(J330)</f>
        <v>0</v>
      </c>
      <c r="K342" s="1690">
        <f>SUM(K330,K334,K340)</f>
        <v>260526</v>
      </c>
      <c r="L342" s="1697">
        <f>SUM(L330,L340,L341)</f>
        <v>329725</v>
      </c>
    </row>
    <row r="343" spans="1:14" ht="12.75" customHeight="1" thickTop="1" x14ac:dyDescent="0.2">
      <c r="A343" s="2186" t="s">
        <v>1053</v>
      </c>
      <c r="B343" s="2187"/>
      <c r="C343" s="617"/>
      <c r="D343" s="617"/>
      <c r="E343" s="617"/>
      <c r="F343" s="617"/>
      <c r="G343" s="617"/>
      <c r="H343" s="617"/>
      <c r="I343" s="617"/>
      <c r="J343" s="617"/>
      <c r="K343" s="1704">
        <f>'Revenues 9-14'!J275-'Expenditures 15-22'!K342</f>
        <v>41116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1">
        <f>SUM(C348:J348)</f>
        <v>0</v>
      </c>
      <c r="L348" s="466"/>
    </row>
    <row r="349" spans="1:14" x14ac:dyDescent="0.2">
      <c r="A349" s="1525" t="s">
        <v>206</v>
      </c>
      <c r="B349" s="615">
        <v>2540</v>
      </c>
      <c r="C349" s="466"/>
      <c r="D349" s="466"/>
      <c r="E349" s="466">
        <v>7043</v>
      </c>
      <c r="F349" s="466"/>
      <c r="G349" s="466"/>
      <c r="H349" s="466"/>
      <c r="I349" s="467"/>
      <c r="J349" s="467"/>
      <c r="K349" s="1691">
        <f>SUM(C349:J349)</f>
        <v>7043</v>
      </c>
      <c r="L349" s="466">
        <v>60000</v>
      </c>
    </row>
    <row r="350" spans="1:14" ht="12.75" customHeight="1" thickBot="1" x14ac:dyDescent="0.25">
      <c r="A350" s="1688" t="s">
        <v>743</v>
      </c>
      <c r="B350" s="1689" t="s">
        <v>35</v>
      </c>
      <c r="C350" s="1690">
        <f>SUM(C348:C349)</f>
        <v>0</v>
      </c>
      <c r="D350" s="1690">
        <f t="shared" ref="D350:L350" si="26">SUM(D348:D349)</f>
        <v>0</v>
      </c>
      <c r="E350" s="1690">
        <f t="shared" si="26"/>
        <v>7043</v>
      </c>
      <c r="F350" s="1690">
        <f t="shared" si="26"/>
        <v>0</v>
      </c>
      <c r="G350" s="1690">
        <f t="shared" si="26"/>
        <v>0</v>
      </c>
      <c r="H350" s="1690">
        <f t="shared" si="26"/>
        <v>0</v>
      </c>
      <c r="I350" s="1690">
        <f t="shared" si="26"/>
        <v>0</v>
      </c>
      <c r="J350" s="1690">
        <f t="shared" si="26"/>
        <v>0</v>
      </c>
      <c r="K350" s="1690">
        <f t="shared" si="26"/>
        <v>7043</v>
      </c>
      <c r="L350" s="1690">
        <f t="shared" si="26"/>
        <v>60000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7043</v>
      </c>
      <c r="F352" s="1690">
        <f t="shared" si="27"/>
        <v>0</v>
      </c>
      <c r="G352" s="1690">
        <f t="shared" si="27"/>
        <v>0</v>
      </c>
      <c r="H352" s="1690">
        <f t="shared" si="27"/>
        <v>0</v>
      </c>
      <c r="I352" s="1690">
        <f t="shared" si="27"/>
        <v>0</v>
      </c>
      <c r="J352" s="1690">
        <f t="shared" si="27"/>
        <v>0</v>
      </c>
      <c r="K352" s="1690">
        <f t="shared" si="27"/>
        <v>7043</v>
      </c>
      <c r="L352" s="1690">
        <f t="shared" si="27"/>
        <v>60000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row>
    <row r="355" spans="1:14" ht="12.75" customHeight="1" x14ac:dyDescent="0.2">
      <c r="A355" s="1534" t="s">
        <v>1966</v>
      </c>
      <c r="B355" s="691" t="s">
        <v>1959</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1">
        <f>SUM(C360:J360)</f>
        <v>0</v>
      </c>
      <c r="L360" s="466"/>
    </row>
    <row r="361" spans="1:14" ht="12.75" customHeight="1" x14ac:dyDescent="0.2">
      <c r="A361" s="1526"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2"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7043</v>
      </c>
      <c r="F367" s="1690">
        <f t="shared" si="28"/>
        <v>0</v>
      </c>
      <c r="G367" s="1690">
        <f t="shared" si="28"/>
        <v>0</v>
      </c>
      <c r="H367" s="1690">
        <f t="shared" si="28"/>
        <v>0</v>
      </c>
      <c r="I367" s="1690">
        <f t="shared" si="28"/>
        <v>0</v>
      </c>
      <c r="J367" s="1690">
        <f t="shared" si="28"/>
        <v>0</v>
      </c>
      <c r="K367" s="1690">
        <f t="shared" si="28"/>
        <v>7043</v>
      </c>
      <c r="L367" s="1690">
        <f t="shared" si="28"/>
        <v>60000</v>
      </c>
    </row>
    <row r="368" spans="1:14" ht="13.5" thickTop="1" x14ac:dyDescent="0.2">
      <c r="A368" s="2173" t="s">
        <v>1053</v>
      </c>
      <c r="B368" s="2174"/>
      <c r="C368" s="655"/>
      <c r="D368" s="655"/>
      <c r="E368" s="627"/>
      <c r="F368" s="627"/>
      <c r="G368" s="627"/>
      <c r="H368" s="627"/>
      <c r="I368" s="627"/>
      <c r="J368" s="624"/>
      <c r="K368" s="1691">
        <f>'Revenues 9-14'!K275-'Expenditures 15-22'!K367</f>
        <v>69186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purl.org/dc/elements/1.1/"/>
    <ds:schemaRef ds:uri="4d435f69-8686-490b-bd6d-b153bf22ab50"/>
    <ds:schemaRef ds:uri="http://purl.org/dc/dcmitype/"/>
    <ds:schemaRef ds:uri="http://schemas.microsoft.com/office/infopath/2007/PartnerControls"/>
    <ds:schemaRef ds:uri="http://schemas.microsoft.com/office/2006/documentManagement/types"/>
    <ds:schemaRef ds:uri="http://schemas.microsoft.com/sharepoint/v3"/>
    <ds:schemaRef ds:uri="http://purl.org/dc/terms/"/>
    <ds:schemaRef ds:uri="http://www.w3.org/XML/1998/namespace"/>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Sec-2 (4)</vt:lpstr>
      <vt:lpstr>SF&amp;QC Sec-2 (5)</vt:lpstr>
      <vt:lpstr>SF&amp;QC Sec-2 (6)</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2018-10-09T19:07:56Z</cp:lastPrinted>
  <dcterms:created xsi:type="dcterms:W3CDTF">2003-10-29T19:06:34Z</dcterms:created>
  <dcterms:modified xsi:type="dcterms:W3CDTF">2018-10-22T18:43:04Z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