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7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2)" sheetId="185" r:id="rId30"/>
    <sheet name="SF&amp;QC Sec-1" sheetId="174" r:id="rId31"/>
    <sheet name="SF&amp;QC Sec-2" sheetId="175" r:id="rId32"/>
    <sheet name="SF&amp;QC Sec-2 (3)" sheetId="184" r:id="rId33"/>
    <sheet name="SF&amp;QC Sec-2 (2)" sheetId="183" r:id="rId34"/>
    <sheet name="SF&amp;QC Sec-2 (4)" sheetId="186" r:id="rId35"/>
    <sheet name="SF&amp;QC Sec-3" sheetId="176" r:id="rId36"/>
    <sheet name="SSPAF" sheetId="177" r:id="rId37"/>
  </sheets>
  <definedNames>
    <definedName name="_xlnm.Print_Area" localSheetId="28">' SEFA'!$B$1:$M$48</definedName>
    <definedName name="_xlnm.Print_Area" localSheetId="29">' SEFA (2)'!$B$1:$M$44</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5">'SF&amp;QC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3">#REF!</definedName>
    <definedName name="SCHADDRS" localSheetId="32">#REF!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3">#REF!</definedName>
    <definedName name="SCHCTY" localSheetId="32">#REF!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3">#REF!</definedName>
    <definedName name="SCHNMBR" localSheetId="32">#REF!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3">#REF!</definedName>
    <definedName name="SCHNME" localSheetId="32">#REF!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3">#REF!</definedName>
    <definedName name="SUPT" localSheetId="32">#REF!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62913"/>
</workbook>
</file>

<file path=xl/calcChain.xml><?xml version="1.0" encoding="utf-8"?>
<calcChain xmlns="http://schemas.openxmlformats.org/spreadsheetml/2006/main">
  <c r="E20" i="181" l="1"/>
  <c r="F20" i="181"/>
  <c r="G20" i="181" s="1"/>
  <c r="E21" i="181"/>
  <c r="F21" i="181"/>
  <c r="G21" i="181" s="1"/>
  <c r="E22" i="181"/>
  <c r="F22" i="181"/>
  <c r="G22" i="181" s="1"/>
  <c r="E23" i="181"/>
  <c r="F23" i="181"/>
  <c r="G23" i="181" s="1"/>
  <c r="E24" i="181"/>
  <c r="F24" i="181"/>
  <c r="G24" i="181" s="1"/>
  <c r="E25" i="181"/>
  <c r="F25" i="181"/>
  <c r="G25" i="181" s="1"/>
  <c r="E26" i="181"/>
  <c r="F26" i="181"/>
  <c r="G26" i="181" s="1"/>
  <c r="E27" i="181"/>
  <c r="F27" i="181"/>
  <c r="G27" i="181" s="1"/>
  <c r="E28" i="181"/>
  <c r="F28" i="181"/>
  <c r="G28" i="181" s="1"/>
  <c r="D29" i="181"/>
  <c r="E29" i="181" s="1"/>
  <c r="B4" i="186" l="1"/>
  <c r="I18" i="185" l="1"/>
  <c r="G18" i="185"/>
  <c r="F18" i="185"/>
  <c r="E18" i="185"/>
  <c r="K24" i="179"/>
  <c r="K29" i="179" s="1"/>
  <c r="I24" i="179"/>
  <c r="I29" i="179" s="1"/>
  <c r="G24" i="179"/>
  <c r="G29" i="179" s="1"/>
  <c r="F24" i="179"/>
  <c r="F29" i="179" s="1"/>
  <c r="E24" i="179"/>
  <c r="E29" i="179" s="1"/>
  <c r="L25" i="185"/>
  <c r="L24" i="185"/>
  <c r="L23" i="185"/>
  <c r="L22" i="185"/>
  <c r="L20" i="185"/>
  <c r="L19" i="185"/>
  <c r="L17" i="185"/>
  <c r="L16" i="185"/>
  <c r="L15" i="185"/>
  <c r="L14" i="185"/>
  <c r="L13" i="185"/>
  <c r="L12" i="185"/>
  <c r="L11" i="185"/>
  <c r="B4" i="185"/>
  <c r="B4" i="184"/>
  <c r="L18" i="185" l="1"/>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E19" i="181"/>
  <c r="F19" i="181" s="1"/>
  <c r="G18" i="181"/>
  <c r="E18" i="181"/>
  <c r="G19" i="181" l="1"/>
  <c r="F29" i="181"/>
  <c r="D80" i="36"/>
  <c r="B7797" i="106"/>
  <c r="E17" i="181"/>
  <c r="E16" i="181"/>
  <c r="F16" i="181" s="1"/>
  <c r="G16" i="181" s="1"/>
  <c r="G17" i="181" l="1"/>
  <c r="G29" i="181" s="1"/>
  <c r="G40" i="108" l="1"/>
  <c r="B7799" i="106"/>
  <c r="B7798" i="106"/>
  <c r="E40" i="108"/>
  <c r="B4" i="179" l="1"/>
  <c r="D17" i="171" l="1"/>
  <c r="L29"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4"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1" i="183"/>
  <c r="B1" i="186"/>
  <c r="B1" i="185"/>
  <c r="B1" i="184"/>
  <c r="B2" i="186"/>
  <c r="B2" i="185"/>
  <c r="B2" i="184"/>
  <c r="B2" i="183"/>
  <c r="B2" i="179"/>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7" i="127"/>
  <c r="B68" i="127"/>
  <c r="D26" i="108"/>
  <c r="E26" i="108"/>
  <c r="F26" i="108"/>
  <c r="G26" i="108"/>
  <c r="E27" i="108"/>
  <c r="G27" i="108"/>
  <c r="F31" i="108"/>
  <c r="F37" i="108"/>
  <c r="G28" i="108"/>
  <c r="E30" i="108"/>
  <c r="D31" i="108"/>
  <c r="D36" i="108"/>
  <c r="D37"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G172" i="5"/>
  <c r="G173" i="5" s="1"/>
  <c r="B5778" i="106" s="1"/>
  <c r="D5778" i="106" s="1"/>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E4" i="4"/>
  <c r="B2630" i="106" s="1"/>
  <c r="D2630" i="106" s="1"/>
  <c r="D5" i="4"/>
  <c r="B3406" i="106" s="1"/>
  <c r="D3406"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F131" i="34"/>
  <c r="F127" i="34"/>
  <c r="B5752" i="106"/>
  <c r="D5752" i="106" s="1"/>
  <c r="K274" i="5"/>
  <c r="H109" i="5"/>
  <c r="B6025" i="106" s="1"/>
  <c r="D6025" i="106" s="1"/>
  <c r="F106" i="34"/>
  <c r="B1746" i="106"/>
  <c r="D1746" i="106" s="1"/>
  <c r="D11" i="7"/>
  <c r="B1768" i="106" s="1"/>
  <c r="D1768" i="106" s="1"/>
  <c r="K41" i="3" l="1"/>
  <c r="B3568" i="106" s="1"/>
  <c r="D3568" i="106" s="1"/>
  <c r="L15" i="11"/>
  <c r="B3459" i="106" s="1"/>
  <c r="D3459" i="106" s="1"/>
  <c r="F172" i="5"/>
  <c r="B5644" i="106" s="1"/>
  <c r="D5644" i="106" s="1"/>
  <c r="L342" i="29"/>
  <c r="J352" i="29"/>
  <c r="J367" i="29" s="1"/>
  <c r="B7245" i="106" s="1"/>
  <c r="D7245" i="106" s="1"/>
  <c r="C342" i="29"/>
  <c r="B7216" i="106" s="1"/>
  <c r="D7216" i="106" s="1"/>
  <c r="H4" i="4"/>
  <c r="B2655" i="106" s="1"/>
  <c r="D2655" i="106" s="1"/>
  <c r="D15" i="7"/>
  <c r="B1772" i="106" s="1"/>
  <c r="D1772" i="106" s="1"/>
  <c r="D17" i="7"/>
  <c r="B4104" i="106" s="1"/>
  <c r="D4104" i="106" s="1"/>
  <c r="D7" i="7"/>
  <c r="B1763" i="106" s="1"/>
  <c r="D1763" i="106" s="1"/>
  <c r="D109" i="5"/>
  <c r="B5356" i="106" s="1"/>
  <c r="D5356" i="106" s="1"/>
  <c r="H173" i="5"/>
  <c r="F128" i="34"/>
  <c r="D9" i="7"/>
  <c r="B1767" i="106" s="1"/>
  <c r="D1767" i="106" s="1"/>
  <c r="G5" i="4"/>
  <c r="B3409" i="106" s="1"/>
  <c r="D3409" i="106" s="1"/>
  <c r="J274" i="5"/>
  <c r="B7054" i="106" s="1"/>
  <c r="D7054" i="106" s="1"/>
  <c r="L367" i="29"/>
  <c r="B7235" i="106"/>
  <c r="D7235" i="106" s="1"/>
  <c r="D6103" i="106"/>
  <c r="K76" i="4"/>
  <c r="B3586" i="106" s="1"/>
  <c r="D3586" i="106" s="1"/>
  <c r="H76" i="4"/>
  <c r="B3298" i="106" s="1"/>
  <c r="D3298" i="106" s="1"/>
  <c r="K285" i="29"/>
  <c r="F136" i="34"/>
  <c r="K24" i="12"/>
  <c r="B7733" i="106" s="1"/>
  <c r="D7733" i="106" s="1"/>
  <c r="B3621" i="106"/>
  <c r="D3621" i="106" s="1"/>
  <c r="C367" i="29"/>
  <c r="G39" i="108"/>
  <c r="K26" i="12"/>
  <c r="B7743" i="106" s="1"/>
  <c r="D7743" i="106" s="1"/>
  <c r="B6995" i="106"/>
  <c r="D6995" i="106" s="1"/>
  <c r="F52" i="34"/>
  <c r="C14" i="4"/>
  <c r="B2558" i="106" s="1"/>
  <c r="D2558" i="106" s="1"/>
  <c r="G38" i="108"/>
  <c r="E38" i="108"/>
  <c r="F36" i="108"/>
  <c r="G30" i="108"/>
  <c r="F27" i="108"/>
  <c r="C172" i="5"/>
  <c r="B5096" i="106"/>
  <c r="D5096" i="106" s="1"/>
  <c r="C109" i="5"/>
  <c r="B5121" i="106" s="1"/>
  <c r="D5121" i="106" s="1"/>
  <c r="D13" i="7"/>
  <c r="B3726" i="106" s="1"/>
  <c r="D3726" i="106" s="1"/>
  <c r="F19" i="7"/>
  <c r="B1807" i="106" s="1"/>
  <c r="D1807" i="106" s="1"/>
  <c r="B3649" i="106"/>
  <c r="D3649" i="106" s="1"/>
  <c r="G367" i="29"/>
  <c r="K350" i="29"/>
  <c r="G14" i="4"/>
  <c r="B2609" i="106" s="1"/>
  <c r="D2609" i="106" s="1"/>
  <c r="F72" i="34"/>
  <c r="B1410" i="106"/>
  <c r="D1410" i="106" s="1"/>
  <c r="E29" i="108"/>
  <c r="G29" i="108"/>
  <c r="K184" i="29"/>
  <c r="F13" i="4" s="1"/>
  <c r="B2596" i="106" s="1"/>
  <c r="D2596" i="106" s="1"/>
  <c r="B1329" i="106"/>
  <c r="D1329" i="106" s="1"/>
  <c r="F61" i="34"/>
  <c r="F28" i="108"/>
  <c r="E28" i="108"/>
  <c r="C129" i="29"/>
  <c r="B1225" i="106" s="1"/>
  <c r="D1225" i="106" s="1"/>
  <c r="F130" i="34"/>
  <c r="B5770" i="106"/>
  <c r="D5770" i="106" s="1"/>
  <c r="F111" i="34"/>
  <c r="D12" i="7"/>
  <c r="B1769" i="106" s="1"/>
  <c r="D1769" i="106" s="1"/>
  <c r="G4" i="4"/>
  <c r="B2603" i="106" s="1"/>
  <c r="D2603" i="106" s="1"/>
  <c r="D52" i="36"/>
  <c r="L31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B3447" i="106"/>
  <c r="D3447" i="106" s="1"/>
  <c r="B7270" i="106"/>
  <c r="D274" i="5" l="1"/>
  <c r="F73" i="34"/>
  <c r="G15" i="4"/>
  <c r="B6032" i="106" s="1"/>
  <c r="D6032" i="106" s="1"/>
  <c r="H275" i="5"/>
  <c r="B5915" i="106" s="1"/>
  <c r="D5915" i="106" s="1"/>
  <c r="K77" i="4"/>
  <c r="B3587" i="106" s="1"/>
  <c r="D3587" i="106" s="1"/>
  <c r="B1381" i="106"/>
  <c r="D1381" i="106" s="1"/>
  <c r="B3628" i="106"/>
  <c r="D3628" i="106" s="1"/>
  <c r="D7255" i="106"/>
  <c r="D7253" i="106"/>
  <c r="D7252" i="106"/>
  <c r="L114" i="29"/>
  <c r="F275" i="5"/>
  <c r="D4" i="4"/>
  <c r="B2564" i="106" s="1"/>
  <c r="D2564" i="106" s="1"/>
  <c r="H367" i="29"/>
  <c r="B3660" i="106" s="1"/>
  <c r="D3660" i="106" s="1"/>
  <c r="B5906" i="106"/>
  <c r="D5906" i="106" s="1"/>
  <c r="H6" i="4"/>
  <c r="F41" i="108"/>
  <c r="G43" i="108" s="1"/>
  <c r="C114" i="29"/>
  <c r="B757" i="106" s="1"/>
  <c r="D757" i="106" s="1"/>
  <c r="B5214" i="106"/>
  <c r="D5214" i="106" s="1"/>
  <c r="C173" i="5"/>
  <c r="C4" i="4"/>
  <c r="B2551" i="106" s="1"/>
  <c r="D2551" i="106" s="1"/>
  <c r="B3670" i="106"/>
  <c r="D3670" i="106" s="1"/>
  <c r="K352" i="29"/>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720" i="106"/>
  <c r="D5720" i="106" s="1"/>
  <c r="B6222" i="106"/>
  <c r="D6222" i="106" s="1"/>
  <c r="J8" i="4"/>
  <c r="D7" i="4"/>
  <c r="D275" i="5"/>
  <c r="B5507" i="106"/>
  <c r="D5507" i="106" s="1"/>
  <c r="B7298" i="106"/>
  <c r="B7299" i="106"/>
  <c r="B2656" i="106" l="1"/>
  <c r="D2656" i="106" s="1"/>
  <c r="H8" i="4"/>
  <c r="B5223" i="106"/>
  <c r="D5223" i="106" s="1"/>
  <c r="C6" i="4"/>
  <c r="B2553" i="106" s="1"/>
  <c r="D2553" i="106" s="1"/>
  <c r="K13" i="4"/>
  <c r="B3572" i="106" s="1"/>
  <c r="D3572" i="106" s="1"/>
  <c r="B3672" i="106"/>
  <c r="D3672" i="106" s="1"/>
  <c r="K367" i="29"/>
  <c r="J17" i="4"/>
  <c r="J19" i="4" s="1"/>
  <c r="B6229" i="106" s="1"/>
  <c r="D6229" i="106" s="1"/>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B2658" i="106"/>
  <c r="D2658" i="106" s="1"/>
  <c r="H10" i="4"/>
  <c r="B4127" i="106" s="1"/>
  <c r="D4127" i="106" s="1"/>
  <c r="D10" i="171"/>
  <c r="J20" i="4"/>
  <c r="B6230" i="106" s="1"/>
  <c r="D6230" i="106" s="1"/>
  <c r="D19" i="17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<sst xmlns="http://schemas.openxmlformats.org/spreadsheetml/2006/main" count="5330" uniqueCount="2222">
  <si>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</si>
  <si>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</si>
  <si>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</si>
  <si>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</si>
  <si>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</si>
  <si>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</si>
  <si>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</si>
  <si>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</si>
  <si>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</si>
  <si>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</si>
  <si>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</si>
  <si>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</si>
  <si>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</si>
  <si>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</si>
  <si>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</si>
  <si>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</si>
  <si>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</si>
  <si>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</si>
  <si>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</si>
  <si>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</si>
  <si>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</si>
  <si>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</si>
  <si>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</si>
  <si>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</si>
  <si>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</si>
  <si>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</si>
  <si>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</si>
  <si>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</si>
  <si>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</si>
  <si>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</si>
  <si>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</si>
  <si>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</si>
  <si>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</si>
  <si>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</si>
  <si>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</si>
  <si>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</si>
  <si>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</si>
  <si>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</si>
  <si>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</si>
  <si>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</si>
  <si>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</si>
  <si>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</si>
  <si>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</si>
  <si>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</si>
  <si>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</si>
  <si>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</si>
  <si>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</si>
  <si>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</si>
  <si>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</si>
  <si>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</si>
  <si>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</si>
  <si>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</si>
  <si>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</si>
  <si>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</si>
  <si>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</si>
  <si>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</si>
  <si>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</si>
  <si>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</si>
  <si>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</si>
  <si>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</si>
  <si>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</si>
  <si>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</si>
  <si>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</si>
  <si>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</si>
  <si>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</si>
  <si>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</si>
  <si>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</si>
  <si>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</si>
  <si>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</si>
  <si>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</si>
  <si>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</si>
  <si>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</si>
  <si>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</si>
  <si>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</si>
  <si>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</si>
  <si>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</si>
  <si>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</si>
  <si>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</si>
  <si>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</si>
  <si>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</si>
  <si>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</si>
  <si>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</si>
  <si>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</si>
  <si>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</si>
  <si>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</si>
  <si>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</si>
  <si>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</si>
  <si>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</si>
  <si>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</si>
  <si>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</si>
  <si>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</si>
  <si>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</si>
  <si>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</si>
  <si>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</si>
  <si>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</si>
  <si>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</si>
  <si>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</si>
  <si>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</si>
  <si>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</si>
  <si>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</si>
  <si>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</si>
  <si>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</si>
  <si>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</si>
  <si>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</si>
  <si>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</si>
  <si>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</si>
  <si>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</si>
  <si>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</si>
  <si>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</si>
  <si>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</si>
  <si>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</si>
  <si>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</si>
  <si>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</si>
  <si>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</si>
  <si>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</si>
  <si>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</si>
  <si>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</si>
  <si>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</si>
  <si>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</si>
  <si>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</si>
  <si>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</si>
  <si>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</si>
  <si>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</si>
  <si>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</si>
  <si>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</si>
  <si>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</si>
  <si>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</si>
  <si>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</si>
  <si>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</si>
  <si>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</si>
  <si>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</si>
  <si>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</si>
  <si>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</si>
  <si>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</si>
  <si>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</si>
  <si>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</si>
  <si>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</si>
  <si>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</si>
  <si>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</si>
  <si>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</si>
  <si>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</si>
  <si>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</si>
  <si>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</si>
  <si>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</si>
  <si>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</si>
  <si>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</si>
  <si>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</si>
  <si>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</si>
  <si>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</si>
  <si>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</si>
  <si>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</si>
  <si>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</si>
  <si>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</si>
  <si>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</si>
  <si>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</si>
  <si>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</si>
  <si>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</si>
  <si>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</si>
  <si>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</si>
  <si>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</si>
  <si>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</si>
  <si>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</si>
  <si>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</si>
  <si>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</si>
  <si>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</si>
  <si>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</si>
  <si>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</si>
  <si>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</si>
  <si>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</si>
  <si>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</si>
  <si>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</si>
  <si>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</si>
  <si>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</si>
  <si>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</si>
  <si>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</si>
  <si>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</si>
  <si>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</si>
  <si>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</si>
  <si>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</si>
  <si>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</si>
  <si>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</si>
  <si>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</si>
  <si>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</si>
  <si>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</si>
  <si>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</si>
  <si>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</si>
  <si>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</si>
  <si>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</si>
  <si>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</si>
  <si>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</si>
  <si>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</si>
  <si>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</si>
  <si>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</si>
  <si>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</si>
  <si>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</si>
  <si>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</si>
  <si>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</si>
  <si>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</si>
  <si>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</si>
  <si>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</si>
  <si>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</si>
  <si>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</si>
  <si>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</si>
  <si>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</si>
  <si>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</si>
  <si>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</si>
  <si>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</si>
  <si>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</si>
  <si>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</si>
  <si>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</si>
  <si>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</si>
  <si>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</si>
  <si>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</si>
  <si>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</si>
  <si>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</si>
  <si>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</si>
  <si>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</si>
  <si>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</si>
  <si>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</si>
  <si>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</si>
  <si>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</si>
  <si>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</si>
  <si>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</si>
  <si>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</si>
  <si>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</si>
  <si>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</si>
  <si>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</si>
  <si>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</si>
  <si>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</si>
  <si>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</si>
  <si>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</si>
  <si>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</si>
  <si>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</si>
  <si>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</si>
  <si>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</si>
  <si>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</si>
  <si>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</si>
  <si>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</si>
  <si>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</si>
  <si>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</si>
  <si>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</si>
  <si>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</si>
  <si>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</si>
  <si>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</si>
  <si>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</si>
  <si>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</si>
  <si>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</si>
  <si>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</si>
  <si>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</si>
  <si>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</si>
  <si>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</si>
  <si>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</si>
  <si>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</si>
  <si>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</si>
  <si>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</si>
  <si>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</si>
  <si>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</si>
  <si>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</si>
  <si>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</si>
  <si>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</si>
  <si>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</si>
  <si>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</si>
  <si>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</si>
  <si>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</si>
  <si>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</si>
  <si>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</si>
  <si>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</si>
  <si>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</si>
  <si>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</si>
  <si>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</si>
  <si>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</si>
  <si>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</si>
  <si>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</si>
  <si>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</si>
  <si>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</si>
  <si>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</si>
  <si>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</si>
  <si>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</si>
  <si>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</si>
  <si>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</si>
  <si>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</si>
  <si>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</si>
  <si>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</si>
  <si>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</si>
  <si>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</si>
  <si>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</si>
  <si>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</si>
  <si>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</si>
  <si>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</si>
  <si>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</si>
  <si>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</si>
  <si>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</si>
  <si>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</si>
  <si>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</si>
  <si>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</si>
  <si>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</si>
  <si>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</si>
  <si>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</si>
  <si>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</si>
  <si>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</si>
  <si>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</si>
  <si>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</si>
  <si>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</si>
  <si>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</si>
  <si>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</si>
  <si>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</si>
  <si>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</si>
  <si>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</si>
  <si>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</si>
  <si>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</si>
  <si>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</si>
  <si>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</si>
  <si>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</si>
  <si>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</si>
  <si>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</si>
  <si>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</si>
  <si>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</si>
  <si>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</si>
  <si>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</si>
  <si>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</si>
  <si>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</si>
  <si>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</si>
  <si>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</si>
  <si>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</si>
  <si>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</si>
  <si>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</si>
  <si>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</si>
  <si>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</si>
  <si>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</si>
  <si>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</si>
  <si>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</si>
  <si>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</si>
  <si>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</si>
  <si>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</si>
  <si>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</si>
  <si>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</si>
  <si>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</si>
  <si>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</si>
  <si>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</si>
  <si>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</si>
  <si>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</si>
  <si>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</si>
  <si>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</si>
  <si>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</si>
  <si>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</si>
  <si>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</si>
  <si>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</si>
  <si>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</si>
  <si>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</si>
  <si>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</si>
  <si>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</si>
  <si>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</si>
  <si>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</si>
  <si>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</si>
  <si>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</si>
  <si>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</si>
  <si>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</si>
  <si>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</si>
  <si>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</si>
  <si>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</si>
  <si>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</si>
  <si>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</si>
  <si>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</si>
  <si>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</si>
  <si>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</si>
  <si>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</si>
  <si>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</si>
  <si>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</si>
  <si>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</si>
  <si>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</si>
  <si>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</si>
  <si>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</si>
  <si>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</si>
  <si>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</si>
  <si>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</si>
  <si>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</si>
  <si>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</si>
  <si>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</si>
  <si>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</si>
  <si>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</si>
  <si>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</si>
  <si>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</si>
  <si>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</si>
  <si>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</si>
  <si>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</si>
  <si>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</si>
  <si>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</si>
  <si>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</si>
  <si>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</si>
  <si>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</si>
  <si>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</si>
  <si>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</si>
  <si>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</si>
  <si>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</si>
  <si>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</si>
  <si>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</si>
  <si>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</si>
  <si>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</si>
  <si>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</si>
  <si>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</si>
  <si>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</si>
  <si>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</si>
  <si>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</si>
  <si>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</si>
  <si>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</si>
  <si>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</si>
  <si>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</si>
  <si>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</si>
  <si>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</si>
  <si>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</si>
  <si>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</si>
  <si>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</si>
  <si>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</si>
  <si>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</si>
  <si>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</si>
  <si>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</si>
  <si>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</si>
  <si>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</si>
  <si>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</si>
  <si>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</si>
  <si>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</si>
  <si>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</si>
  <si>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</si>
  <si>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</si>
  <si>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</si>
  <si>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</si>
  <si>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</si>
  <si>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</si>
  <si>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</si>
  <si>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</si>
  <si>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</si>
  <si>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</si>
  <si>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</si>
  <si>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</si>
  <si>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</si>
  <si>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</si>
  <si>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</si>
  <si>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</si>
  <si>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</si>
  <si>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</si>
  <si>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</si>
  <si>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</si>
  <si>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</si>
  <si>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</si>
  <si>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</si>
  <si>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</si>
  <si>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</si>
  <si>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</si>
  <si>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</si>
  <si>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</si>
  <si>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</si>
  <si>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</si>
  <si>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</si>
  <si>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</si>
  <si>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</si>
  <si>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</si>
  <si>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</si>
  <si>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</si>
  <si>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</si>
  <si>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</si>
  <si>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</si>
  <si>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</si>
  <si>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</si>
  <si>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</si>
  <si>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</si>
  <si>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</si>
  <si>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</si>
  <si>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</si>
  <si>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</si>
  <si>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</si>
  <si>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</si>
  <si>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</si>
  <si>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</si>
  <si>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</si>
  <si>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</si>
  <si>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</si>
  <si>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</si>
  <si>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</si>
  <si>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</si>
  <si>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</si>
  <si>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</si>
  <si>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</si>
  <si>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</si>
  <si>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</si>
  <si>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</si>
  <si>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</si>
  <si>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</si>
  <si>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</si>
  <si>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</si>
  <si>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</si>
  <si>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</si>
  <si>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</si>
  <si>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</si>
  <si>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</si>
  <si>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</si>
  <si>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</si>
  <si>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</si>
  <si>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</si>
  <si>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</si>
  <si>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</si>
  <si>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</si>
  <si>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</si>
  <si>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</si>
  <si>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</si>
  <si>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</si>
  <si>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</si>
  <si>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</si>
  <si>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</si>
  <si>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</si>
  <si>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</si>
  <si>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</si>
  <si>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</si>
  <si>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</si>
  <si>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</si>
  <si>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</si>
  <si>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</si>
  <si>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</si>
  <si>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</si>
  <si>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</si>
  <si>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</si>
  <si>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</si>
  <si>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</si>
  <si>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</si>
  <si>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</si>
  <si>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</si>
  <si>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</si>
  <si>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</si>
  <si>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</si>
  <si>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</si>
  <si>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</si>
  <si>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</si>
  <si>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</si>
  <si>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</si>
  <si>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</si>
  <si>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</si>
  <si>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</si>
  <si>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</si>
  <si>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</si>
  <si>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</si>
  <si>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</si>
  <si>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</si>
  <si>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</si>
  <si>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</si>
  <si>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</si>
  <si>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</si>
  <si>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</si>
  <si>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</si>
  <si>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</si>
  <si>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</si>
  <si>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</si>
  <si>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</si>
  <si>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</si>
  <si>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</si>
  <si>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</si>
  <si>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</si>
  <si>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</si>
  <si>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</si>
  <si>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</si>
  <si>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</si>
  <si>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</si>
  <si>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</si>
  <si>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</si>
  <si>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</si>
  <si>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</si>
  <si>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</si>
  <si>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</si>
  <si>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</si>
  <si>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</si>
  <si>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</si>
  <si>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</si>
  <si>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</si>
  <si>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</si>
  <si>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</si>
  <si>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</si>
  <si>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</si>
  <si>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</si>
  <si>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</si>
  <si>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</si>
  <si>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</si>
  <si>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</si>
  <si>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</si>
  <si>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</si>
  <si>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</si>
  <si>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</si>
  <si>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</si>
  <si>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</si>
  <si>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</si>
  <si>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</si>
  <si>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</si>
  <si>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</si>
  <si>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</si>
  <si>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</si>
  <si>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</si>
  <si>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</si>
  <si>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</si>
  <si>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</si>
  <si>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</si>
  <si>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</si>
  <si>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</si>
  <si>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</si>
  <si>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</si>
  <si>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</si>
  <si>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</si>
  <si>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</si>
  <si>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</si>
  <si>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</si>
  <si>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</si>
  <si>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</si>
  <si>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</si>
  <si>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</si>
  <si>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</si>
  <si>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</si>
  <si>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</si>
  <si>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</si>
  <si>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</si>
  <si>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</si>
  <si>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</si>
  <si>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</si>
  <si>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</si>
  <si>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</si>
  <si>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</si>
  <si>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</si>
  <si>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</si>
  <si>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</si>
  <si>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</si>
  <si>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</si>
  <si>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</si>
  <si>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</si>
  <si>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</si>
  <si>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</si>
  <si>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</si>
  <si>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</si>
  <si>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</si>
  <si>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</si>
  <si>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</si>
  <si>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</si>
  <si>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</si>
  <si>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</si>
  <si>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</si>
  <si>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</si>
  <si>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</si>
  <si>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</si>
  <si>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</si>
  <si>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</si>
  <si>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</si>
  <si>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</si>
  <si>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</si>
  <si>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</si>
  <si>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</si>
  <si>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</si>
  <si>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</si>
  <si>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</si>
  <si>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</si>
  <si>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</si>
  <si>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</si>
  <si>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</si>
  <si>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</si>
  <si>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</si>
  <si>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</si>
  <si>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</si>
  <si>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</si>
  <si>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</si>
  <si>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</si>
  <si>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</si>
  <si>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</si>
  <si>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</si>
  <si>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</si>
  <si>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</si>
  <si>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</si>
  <si>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</si>
  <si>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</si>
  <si>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</si>
  <si>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</si>
  <si>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</si>
  <si>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</si>
  <si>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</si>
  <si>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</si>
  <si>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</si>
  <si>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</si>
  <si>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</si>
  <si>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</si>
  <si>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</si>
  <si>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</si>
  <si>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</si>
  <si>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</si>
  <si>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</si>
  <si>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</si>
  <si>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</si>
  <si>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</si>
  <si>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</si>
  <si>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</si>
  <si>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</si>
  <si>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</si>
  <si>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</si>
  <si>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</si>
  <si>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</si>
  <si>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</si>
  <si>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</si>
  <si>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</si>
  <si>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</si>
  <si>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</si>
  <si>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</si>
  <si>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</si>
  <si>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</si>
  <si>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</si>
  <si>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</si>
  <si>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</si>
  <si>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</si>
  <si>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</si>
  <si>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</si>
  <si>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</si>
  <si>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</si>
  <si>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</si>
  <si>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</si>
  <si>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</si>
  <si>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</si>
  <si>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</si>
  <si>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</si>
  <si>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</si>
  <si>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</si>
  <si>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</si>
  <si>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</si>
  <si>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</si>
  <si>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</si>
  <si>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</si>
  <si>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</si>
  <si>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</si>
  <si>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</si>
  <si>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</si>
  <si>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</si>
  <si>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</si>
  <si>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</si>
  <si>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</si>
  <si>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</si>
  <si>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</si>
  <si>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</si>
  <si>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</si>
  <si>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</si>
  <si>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</si>
  <si>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</si>
  <si>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</si>
  <si>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</si>
  <si>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</si>
  <si>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</si>
  <si>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</si>
  <si>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</si>
  <si>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</si>
  <si>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</si>
  <si>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</si>
  <si>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</si>
  <si>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</si>
  <si>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</si>
  <si>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</si>
  <si>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</si>
  <si>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</si>
  <si>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</si>
  <si>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</si>
  <si>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</si>
  <si>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</si>
  <si>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</si>
  <si>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</si>
  <si>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</si>
  <si>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</si>
  <si>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</si>
  <si>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</si>
  <si>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</si>
  <si>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</si>
  <si>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</si>
  <si>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</si>
  <si>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</si>
  <si>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</si>
  <si>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</si>
  <si>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</si>
  <si>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</si>
  <si>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</si>
  <si>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</si>
  <si>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</si>
  <si>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</si>
  <si>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</si>
  <si>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</si>
  <si>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</si>
  <si>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</si>
  <si>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</si>
  <si>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</si>
  <si>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</si>
  <si>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</si>
  <si>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</si>
  <si>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</si>
  <si>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</si>
  <si>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</si>
  <si>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</si>
  <si>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</si>
  <si>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</si>
  <si>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</si>
  <si>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</si>
  <si>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</si>
  <si>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</si>
  <si>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</si>
  <si>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</si>
  <si>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</si>
  <si>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</si>
  <si>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</si>
  <si>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</si>
  <si>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</si>
  <si>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</si>
  <si>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</si>
  <si>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</si>
  <si>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</si>
  <si>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</si>
  <si>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</si>
  <si>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</si>
  <si>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</si>
  <si>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</si>
  <si>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</si>
  <si>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</si>
  <si>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</si>
  <si>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</si>
  <si>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</si>
  <si>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</si>
  <si>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</si>
  <si>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</si>
  <si>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</si>
  <si>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</si>
  <si>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</si>
  <si>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</si>
  <si>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</si>
  <si>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</si>
  <si>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</si>
  <si>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</si>
  <si>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</si>
  <si>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</si>
  <si>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</si>
  <si>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</si>
  <si>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</si>
  <si>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</si>
  <si>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</si>
  <si>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</si>
  <si>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</si>
  <si>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</si>
  <si>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</si>
  <si>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</si>
  <si>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</si>
  <si>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</si>
  <si>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</si>
  <si>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</si>
  <si>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</si>
  <si>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</si>
  <si>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</si>
  <si>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</si>
  <si>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</si>
  <si>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</si>
  <si>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</si>
  <si>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</si>
  <si>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</si>
  <si>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</si>
  <si>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</si>
  <si>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</si>
  <si>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</si>
  <si>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</si>
  <si>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</si>
  <si>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</si>
  <si>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</si>
  <si>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</si>
  <si>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</si>
  <si>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</si>
  <si>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</si>
  <si>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</si>
  <si>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</si>
  <si>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</si>
  <si>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</si>
  <si>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</si>
  <si>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</si>
  <si>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</si>
  <si>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</si>
  <si>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</si>
  <si>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</si>
  <si>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</si>
  <si>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</si>
  <si>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</si>
  <si>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</si>
  <si>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</si>
  <si>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</si>
  <si>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</si>
  <si>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</si>
  <si>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</si>
  <si>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</si>
  <si>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</si>
  <si>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</si>
  <si>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</si>
  <si>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</si>
  <si>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</si>
  <si>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</si>
  <si>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</si>
  <si>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</si>
  <si>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</si>
  <si>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</si>
  <si>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</si>
  <si>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</si>
  <si>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</si>
  <si>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</si>
  <si>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</si>
  <si>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</si>
  <si>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</si>
  <si>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</si>
  <si>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</si>
  <si>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</si>
  <si>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</si>
  <si>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</si>
  <si>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</si>
  <si>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</si>
  <si>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</si>
  <si>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</si>
  <si>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</si>
  <si>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</si>
  <si>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</si>
  <si>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</si>
  <si>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</si>
  <si>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</si>
  <si>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</si>
  <si>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</si>
  <si>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</si>
  <si>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</si>
  <si>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</si>
  <si>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</si>
  <si>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</si>
  <si>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</si>
  <si>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</si>
  <si>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</si>
  <si>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</si>
  <si>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</si>
  <si>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</si>
  <si>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</si>
  <si>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</si>
  <si>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</si>
  <si>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</si>
  <si>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</si>
  <si>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</si>
  <si>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</si>
  <si>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</si>
  <si>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</si>
  <si>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</si>
  <si>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</si>
  <si>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</si>
  <si>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</si>
  <si>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</si>
  <si>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</si>
  <si>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</si>
  <si>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</si>
  <si>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</si>
  <si>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</si>
  <si>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</si>
  <si>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</si>
  <si>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</si>
  <si>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</si>
  <si>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</si>
  <si>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</si>
  <si>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</si>
  <si>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</si>
  <si>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</si>
  <si>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</si>
  <si>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</si>
  <si>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</si>
  <si>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</si>
  <si>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</si>
  <si>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</si>
  <si>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</si>
  <si>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</si>
  <si>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</si>
  <si>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</si>
  <si>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</si>
  <si>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</si>
  <si>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</si>
  <si>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</si>
  <si>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</si>
  <si>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</si>
  <si>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</si>
  <si>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</si>
  <si>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</si>
  <si>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</si>
  <si>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</si>
  <si>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</si>
  <si>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</si>
  <si>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</si>
  <si>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</si>
  <si>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</si>
  <si>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</si>
  <si>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</si>
  <si>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</si>
  <si>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</si>
  <si>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</si>
  <si>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</si>
  <si>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</si>
  <si>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</si>
  <si>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</si>
  <si>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</si>
  <si>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</si>
  <si>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</si>
  <si>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</si>
  <si>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</si>
  <si>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</si>
  <si>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</si>
  <si>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</si>
  <si>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</si>
  <si>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</si>
  <si>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</si>
  <si>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</si>
  <si>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</si>
  <si>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</si>
  <si>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</si>
  <si>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</si>
  <si>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</si>
  <si>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</si>
  <si>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</si>
  <si>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</si>
  <si>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</si>
  <si>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</si>
  <si>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</si>
  <si>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</si>
  <si>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</si>
  <si>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</si>
  <si>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</si>
  <si>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</si>
  <si>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</si>
  <si>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</si>
  <si>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</si>
  <si>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</si>
  <si>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</si>
  <si>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</si>
  <si>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</si>
  <si>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</si>
  <si>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</si>
  <si>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</si>
  <si>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</si>
  <si>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</si>
  <si>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</si>
  <si>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</si>
  <si>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</si>
  <si>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</si>
  <si>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</si>
  <si>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</si>
  <si>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</si>
  <si>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</si>
  <si>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</si>
  <si>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</si>
  <si>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</si>
  <si>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</si>
  <si>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</si>
  <si>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</si>
  <si>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</si>
  <si>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</si>
  <si>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</si>
  <si>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</si>
  <si>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</si>
  <si>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</si>
  <si>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</si>
  <si>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</si>
  <si>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</si>
  <si>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</si>
  <si>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</si>
  <si>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</si>
  <si>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</si>
  <si>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</si>
  <si>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</si>
  <si>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</si>
  <si>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</si>
  <si>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</si>
  <si>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</si>
  <si>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</si>
  <si>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</si>
  <si>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</si>
  <si>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</si>
  <si>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</si>
  <si>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</si>
  <si>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</si>
  <si>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</si>
  <si>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</si>
  <si>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</si>
  <si>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</si>
  <si>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</si>
  <si>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</si>
  <si>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</si>
  <si>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</si>
  <si>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</si>
  <si>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</si>
  <si>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</si>
  <si>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</si>
  <si>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</si>
  <si>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</si>
  <si>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</si>
  <si>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</si>
  <si>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</si>
  <si>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</si>
  <si>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</si>
  <si>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</si>
  <si>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</si>
  <si>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</si>
  <si>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</si>
  <si>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</si>
  <si>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</si>
  <si>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</si>
  <si>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</si>
  <si>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</si>
  <si>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</si>
  <si>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</si>
  <si>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</si>
  <si>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</si>
  <si>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</si>
  <si>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</si>
  <si>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</si>
  <si>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</si>
  <si>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</si>
  <si>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</si>
  <si>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</si>
  <si>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</si>
  <si>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</si>
  <si>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</si>
  <si>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</si>
  <si>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</si>
  <si>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</si>
  <si>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</si>
  <si>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</si>
  <si>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</si>
  <si>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</si>
  <si>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</si>
  <si>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</si>
  <si>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</si>
  <si>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</si>
  <si>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</si>
  <si>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</si>
  <si>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</si>
  <si>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</si>
  <si>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</si>
  <si>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</si>
  <si>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</si>
  <si>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</si>
  <si>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</si>
  <si>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</si>
  <si>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</si>
  <si>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</si>
  <si>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</si>
  <si>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</si>
  <si>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</si>
  <si>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</si>
  <si>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</si>
  <si>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</si>
  <si>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</si>
  <si>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</si>
  <si>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</si>
  <si>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</si>
  <si>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</si>
  <si>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</si>
  <si>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</si>
  <si>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</si>
  <si>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</si>
  <si>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</si>
  <si>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</si>
  <si>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</si>
  <si>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</si>
  <si>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</si>
  <si>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</si>
  <si>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</si>
  <si>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</si>
  <si>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</si>
  <si>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</si>
  <si>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</si>
  <si>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</si>
  <si>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</si>
  <si>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</si>
  <si>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</si>
  <si>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</si>
  <si>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</si>
  <si>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</si>
  <si>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</si>
  <si>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</si>
  <si>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</si>
  <si>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</si>
  <si>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</si>
  <si>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</si>
  <si>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</si>
  <si>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</si>
  <si>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</si>
  <si>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</si>
  <si>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</si>
  <si>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</si>
  <si>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</si>
  <si>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</si>
  <si>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</si>
  <si>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</si>
  <si>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</si>
  <si>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</si>
  <si>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</si>
  <si>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</si>
  <si>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</si>
  <si>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</si>
  <si>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</si>
  <si>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</si>
  <si>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</si>
  <si>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</si>
  <si>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</si>
  <si>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</si>
  <si>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</si>
  <si>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</si>
  <si>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</si>
  <si>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</si>
  <si>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</si>
  <si>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</si>
  <si>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</si>
  <si>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</si>
  <si>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</si>
  <si>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</si>
  <si>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</si>
  <si>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</si>
  <si>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</si>
  <si>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</si>
  <si>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</si>
  <si>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</si>
  <si>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</si>
  <si>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</si>
  <si>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</si>
  <si>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</si>
  <si>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</si>
  <si>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</si>
  <si>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</si>
  <si>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</si>
  <si>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</si>
  <si>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</si>
  <si>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</si>
  <si>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</si>
  <si>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</si>
  <si>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</si>
  <si>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</si>
  <si>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</si>
  <si>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</si>
  <si>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</si>
  <si>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</si>
  <si>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</si>
  <si>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</si>
  <si>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</si>
  <si>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</si>
  <si>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</si>
  <si>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</si>
  <si>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</si>
  <si>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</si>
  <si>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</si>
  <si>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</si>
  <si>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</si>
  <si>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</si>
  <si>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</si>
  <si>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</si>
  <si>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</si>
  <si>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</si>
  <si>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</si>
  <si>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</si>
  <si>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</si>
  <si>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</si>
  <si>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</si>
  <si>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</si>
  <si>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</si>
  <si>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</si>
  <si>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</si>
  <si>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</si>
  <si>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</si>
  <si>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</si>
  <si>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</si>
  <si>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</si>
  <si>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</si>
  <si>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</si>
  <si>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</si>
  <si>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</si>
  <si>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</si>
  <si>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</si>
  <si>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</si>
  <si>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</si>
  <si>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</si>
  <si>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</si>
  <si>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</si>
  <si>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</si>
  <si>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</si>
  <si>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</si>
  <si>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</si>
  <si>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</si>
  <si>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</si>
  <si>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</si>
  <si>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</si>
  <si>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</si>
  <si>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</si>
  <si>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</si>
  <si>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</si>
  <si>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</si>
  <si>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</si>
  <si>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</si>
  <si>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</si>
  <si>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</si>
  <si>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</si>
  <si>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</si>
  <si>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</si>
  <si>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</si>
  <si>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</si>
  <si>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</si>
  <si>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</si>
  <si>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</si>
  <si>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</si>
  <si>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</si>
  <si>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</si>
  <si>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</si>
  <si>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</si>
  <si>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</si>
  <si>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</si>
  <si>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</si>
  <si>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</si>
  <si>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</si>
  <si>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</si>
  <si>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</si>
  <si>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</si>
  <si>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</si>
  <si>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</si>
  <si>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</si>
  <si>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</si>
  <si>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</si>
  <si>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</si>
  <si>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</si>
  <si>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</si>
  <si>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</si>
  <si>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</si>
  <si>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</si>
  <si>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</si>
  <si>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</si>
  <si>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</si>
  <si>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</si>
  <si>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</si>
  <si>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</si>
  <si>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</si>
  <si>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</si>
  <si>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</si>
  <si>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</si>
  <si>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</si>
  <si>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</si>
  <si>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</si>
  <si>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</si>
  <si>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</si>
  <si>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</si>
  <si>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</si>
  <si>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</si>
  <si>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</si>
  <si>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</si>
  <si>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</si>
  <si>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</si>
  <si>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</si>
  <si>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</si>
  <si>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</si>
  <si>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</si>
  <si>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</si>
  <si>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</si>
  <si>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</si>
  <si>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</si>
  <si>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</si>
  <si>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</si>
  <si>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</si>
  <si>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</si>
  <si>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</si>
  <si>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</si>
  <si>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</si>
  <si>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</si>
  <si>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</si>
  <si>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</si>
  <si>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</si>
  <si>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</si>
  <si>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</si>
  <si>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</si>
  <si>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</si>
  <si>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</si>
  <si>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</si>
  <si>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</si>
  <si>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</si>
  <si>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</si>
  <si>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</si>
  <si>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</si>
  <si>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</si>
  <si>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</si>
  <si>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</si>
  <si>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</si>
  <si>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</si>
  <si>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</si>
  <si>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</si>
  <si>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</si>
  <si>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</si>
  <si>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</si>
  <si>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</si>
  <si>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</si>
  <si>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</si>
  <si>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</si>
  <si>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</si>
  <si>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</si>
  <si>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</si>
  <si>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</si>
  <si>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</si>
  <si>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</si>
  <si>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</si>
  <si>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</si>
  <si>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</si>
  <si>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</si>
  <si>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</si>
  <si>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</si>
  <si>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</si>
  <si>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</si>
  <si>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</si>
  <si>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</si>
  <si>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</si>
  <si>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</si>
  <si>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</si>
  <si>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</si>
  <si>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</si>
  <si>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</si>
  <si>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</si>
  <si>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</si>
  <si>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</si>
  <si>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</si>
  <si>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</si>
  <si>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</si>
  <si>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</si>
  <si>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</si>
  <si>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</si>
  <si>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</si>
  <si>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</si>
  <si>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</si>
  <si>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</si>
  <si>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</si>
  <si>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</si>
  <si>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</si>
  <si>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</si>
  <si>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</si>
  <si>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</si>
  <si>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</si>
  <si>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</si>
  <si>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</si>
  <si>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</si>
  <si>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</si>
  <si>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</si>
  <si>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</si>
  <si>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</si>
  <si>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</si>
  <si>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</si>
  <si>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</si>
  <si>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</si>
  <si>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</si>
  <si>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</si>
  <si>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</si>
  <si>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</si>
  <si>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</si>
  <si>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</si>
  <si>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</si>
  <si>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</si>
  <si>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</si>
  <si>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</si>
  <si>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</si>
  <si>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</si>
  <si>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</si>
  <si>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</si>
  <si>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</si>
  <si>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</si>
  <si>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</si>
  <si>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</si>
  <si>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</si>
  <si>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</si>
  <si>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</si>
  <si>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</si>
  <si>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</si>
  <si>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</si>
  <si>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</si>
  <si>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</si>
  <si>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</si>
  <si>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</si>
  <si>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</si>
  <si>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</si>
  <si>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</si>
  <si>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</si>
  <si>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</si>
  <si>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</si>
  <si>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</si>
  <si>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</si>
  <si>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</si>
  <si>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</si>
  <si>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</si>
  <si>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</si>
  <si>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</si>
  <si>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</si>
  <si>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</si>
  <si>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</si>
  <si>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</si>
  <si>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</si>
  <si>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</si>
  <si>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</si>
  <si>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</si>
  <si>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</si>
  <si>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</si>
  <si>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</si>
  <si>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</si>
  <si>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</si>
  <si>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</si>
  <si>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</si>
  <si>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</si>
  <si>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</si>
  <si>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</si>
  <si>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</si>
  <si>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</si>
  <si>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</si>
  <si>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</si>
  <si>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</si>
  <si>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</si>
  <si>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</si>
  <si>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</si>
  <si>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</si>
  <si>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</si>
  <si>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</si>
  <si>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</si>
  <si>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</si>
  <si>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</si>
  <si>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</si>
  <si>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</si>
  <si>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</si>
  <si>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</si>
  <si>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</si>
  <si>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</si>
  <si>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</si>
  <si>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</si>
  <si>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</si>
  <si>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</si>
  <si>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</si>
  <si>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</si>
  <si>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</si>
  <si>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</si>
  <si>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</si>
  <si>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</si>
  <si>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</si>
  <si>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</si>
  <si>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</si>
  <si>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</si>
  <si>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</si>
  <si>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</si>
  <si>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</si>
  <si>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</si>
  <si>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</si>
  <si>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</si>
  <si>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</si>
  <si>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</si>
  <si>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</si>
  <si>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</si>
  <si>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</si>
  <si>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</si>
  <si>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</si>
  <si>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</si>
  <si>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</si>
  <si>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</si>
  <si>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</si>
  <si>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</si>
  <si>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</si>
  <si>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</si>
  <si>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</si>
  <si>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</si>
  <si>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</si>
  <si>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</si>
  <si>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</si>
  <si>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</si>
  <si>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</si>
  <si>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</si>
  <si>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</si>
  <si>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</si>
  <si>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</si>
  <si>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</si>
  <si>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</si>
  <si>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</si>
  <si>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</si>
  <si>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</si>
  <si>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</si>
  <si>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</si>
  <si>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</si>
  <si>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</si>
  <si>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</si>
  <si>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</si>
  <si>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</si>
  <si>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</si>
  <si>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</si>
  <si>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</si>
  <si>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</si>
  <si>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</si>
  <si>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</si>
  <si>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</si>
  <si>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</si>
  <si>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</si>
  <si>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</si>
  <si>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</si>
  <si>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</si>
  <si>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</si>
  <si>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</si>
  <si>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</si>
  <si>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</si>
  <si>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</si>
  <si>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</si>
  <si>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</si>
  <si>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</si>
  <si>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</si>
  <si>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</si>
  <si>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</si>
  <si>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</si>
  <si>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</si>
  <si>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</si>
  <si>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</si>
  <si>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</si>
  <si>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</si>
  <si>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</si>
  <si>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</si>
  <si>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</si>
  <si>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</si>
  <si>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</si>
  <si>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</si>
  <si>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</si>
  <si>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</si>
  <si>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</si>
  <si>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</si>
  <si>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</si>
  <si>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</si>
  <si>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</si>
  <si>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</si>
  <si>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</si>
  <si>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</si>
  <si>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</si>
  <si>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</si>
  <si>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</si>
  <si>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</si>
  <si>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</si>
  <si>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</si>
  <si>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</si>
  <si>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</si>
  <si>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</si>
  <si>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</si>
  <si>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</si>
  <si>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</si>
  <si>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</si>
  <si>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</si>
  <si>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</si>
  <si>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</si>
  <si>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</si>
  <si>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</si>
  <si>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</si>
  <si>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</si>
  <si>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</si>
  <si>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</si>
  <si>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</si>
  <si>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</si>
  <si>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</si>
  <si>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</si>
  <si>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</si>
  <si>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</si>
  <si>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</si>
  <si>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</si>
  <si>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</si>
  <si>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</si>
  <si>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</si>
  <si>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</si>
  <si>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</si>
  <si>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</si>
  <si>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</si>
  <si>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</si>
  <si>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</si>
  <si>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</si>
  <si>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</si>
  <si>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</si>
  <si>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</si>
  <si>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</si>
  <si>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</si>
  <si>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</si>
  <si>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</si>
  <si>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</si>
  <si>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</si>
  <si>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</si>
  <si>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</si>
  <si>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</si>
  <si>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</si>
  <si>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</si>
  <si>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</si>
  <si>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</si>
  <si>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</si>
  <si>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</si>
  <si>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</si>
  <si>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</si>
  <si>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</si>
  <si>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</si>
  <si>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</si>
  <si>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</si>
  <si>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</si>
  <si>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</si>
  <si>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</si>
  <si>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</si>
  <si>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</si>
  <si>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</si>
  <si>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</si>
  <si>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</si>
  <si>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</si>
  <si>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</si>
  <si>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</si>
  <si>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</si>
  <si>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</si>
  <si>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</si>
  <si>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</si>
  <si>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</si>
  <si>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</si>
  <si>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</si>
  <si>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</si>
  <si>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</si>
  <si>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</si>
  <si>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</si>
  <si>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</si>
  <si>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</si>
  <si>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</si>
  <si>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</si>
  <si>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</si>
  <si>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</si>
  <si>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</si>
  <si>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</si>
  <si>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</si>
  <si>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</si>
  <si>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</si>
  <si>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</si>
  <si>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</si>
  <si>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</si>
  <si>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</si>
  <si>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</si>
  <si>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</si>
  <si>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</si>
  <si>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</si>
  <si>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</si>
  <si>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</si>
  <si>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</si>
  <si>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</si>
  <si>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</si>
  <si>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</si>
  <si>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</si>
  <si>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</si>
  <si>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</si>
  <si>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</si>
  <si>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</si>
  <si>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</si>
  <si>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</si>
  <si>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</si>
  <si>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</si>
  <si>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</si>
  <si>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</si>
  <si>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</si>
  <si>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</si>
  <si>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</si>
  <si>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</si>
  <si>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</si>
  <si>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</si>
  <si>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</si>
  <si>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</si>
  <si>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</si>
  <si>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</si>
  <si>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</si>
  <si>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</si>
  <si>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</si>
  <si>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</si>
  <si>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</si>
  <si>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</si>
  <si>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</si>
  <si>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</si>
  <si>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</si>
  <si>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</si>
  <si>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</si>
  <si>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</si>
  <si>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</si>
  <si>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</si>
  <si>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</si>
  <si>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</si>
  <si>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</si>
  <si>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</si>
  <si>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</si>
  <si>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</si>
  <si>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</si>
  <si>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</si>
  <si>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</si>
  <si>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</si>
  <si>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</si>
  <si>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</si>
  <si>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</si>
  <si>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</si>
  <si>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</si>
  <si>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</si>
  <si>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</si>
  <si>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</si>
  <si>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</si>
  <si>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</si>
  <si>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</si>
  <si>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</si>
  <si>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</si>
  <si>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</si>
  <si>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</si>
  <si>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</si>
  <si>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</si>
  <si>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</si>
  <si>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</si>
  <si>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</si>
  <si>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</si>
  <si>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</si>
  <si>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</si>
  <si>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</si>
  <si>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</si>
  <si>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</si>
  <si>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</si>
  <si>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</si>
  <si>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</si>
  <si>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</si>
  <si>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</si>
  <si>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</si>
  <si>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</si>
  <si>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</si>
  <si>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</si>
  <si>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</si>
  <si>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</si>
  <si>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</si>
  <si>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</si>
  <si>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</si>
  <si>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</si>
  <si>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</si>
  <si>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</si>
  <si>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</si>
  <si>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</si>
  <si>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</si>
  <si>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</si>
  <si>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</si>
  <si>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</si>
  <si>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</si>
  <si>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</si>
  <si>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</si>
  <si>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</si>
  <si>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</si>
  <si>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</si>
  <si>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</si>
  <si>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</si>
  <si>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</si>
  <si>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</si>
  <si>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</si>
  <si>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</si>
  <si>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</si>
  <si>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</si>
  <si>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</si>
  <si>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</si>
  <si>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</si>
  <si>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</si>
  <si>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</si>
  <si>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</si>
  <si>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</si>
  <si>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</si>
  <si>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</si>
  <si>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</si>
  <si>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</si>
  <si>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</si>
  <si>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</si>
  <si>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</si>
  <si>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</si>
  <si>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</si>
  <si>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</si>
  <si>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</si>
  <si>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</si>
  <si>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</si>
  <si>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</si>
  <si>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</si>
  <si>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</si>
  <si>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</si>
  <si>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</si>
  <si>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</si>
  <si>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</si>
  <si>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</si>
  <si>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</si>
  <si>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</si>
  <si>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</si>
  <si>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</si>
  <si>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</si>
  <si>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</si>
  <si>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</si>
  <si>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</si>
  <si>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</si>
  <si>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</si>
  <si>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</si>
  <si>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</si>
  <si>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</si>
  <si>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</si>
  <si>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</si>
  <si>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</si>
  <si>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</si>
  <si>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</si>
  <si>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</si>
  <si>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</si>
  <si>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</si>
  <si>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</si>
  <si>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</si>
  <si>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</si>
  <si>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</si>
  <si>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</si>
  <si>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</si>
  <si>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</si>
  <si>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</si>
  <si>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</si>
  <si>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</si>
  <si>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</si>
  <si>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</si>
  <si>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</si>
  <si>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</si>
  <si>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</si>
  <si>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</si>
  <si>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</si>
  <si>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</si>
  <si>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</si>
  <si>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</si>
  <si>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</si>
  <si>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</si>
  <si>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</si>
  <si>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</si>
  <si>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</si>
  <si>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</si>
  <si>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</si>
  <si>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</si>
  <si>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</si>
  <si>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</si>
  <si>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</si>
  <si>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</si>
  <si>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</si>
  <si>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</si>
  <si>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</si>
  <si>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</si>
  <si>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</si>
  <si>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</si>
  <si>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</si>
  <si>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</si>
  <si>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</si>
  <si>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</si>
  <si>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</si>
  <si>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</si>
  <si>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</si>
  <si>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</si>
  <si>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</si>
  <si>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</si>
  <si>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</si>
  <si>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</si>
  <si>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</si>
  <si>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</si>
  <si>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</si>
  <si>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</si>
  <si>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</si>
  <si>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</si>
  <si>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</si>
  <si>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</si>
  <si>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</si>
  <si>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</si>
  <si>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</si>
  <si>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</si>
  <si>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</si>
  <si>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</si>
  <si>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</si>
  <si>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</si>
  <si>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</si>
  <si>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</si>
  <si>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</si>
  <si>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</si>
  <si>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</si>
  <si>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</si>
  <si>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</si>
  <si>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</si>
  <si>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</si>
  <si>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</si>
  <si>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</si>
  <si>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</si>
  <si>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</si>
  <si>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</si>
  <si>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</si>
  <si>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</si>
  <si>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</si>
  <si>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</si>
  <si>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</si>
  <si>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</si>
  <si>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</si>
  <si>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</si>
  <si>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</si>
  <si>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</si>
  <si>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</si>
  <si>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</si>
  <si>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</si>
  <si>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</si>
  <si>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</si>
  <si>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</si>
  <si>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</si>
  <si>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</si>
  <si>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</si>
  <si>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</si>
  <si>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</si>
  <si>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</si>
  <si>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</si>
  <si>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</si>
  <si>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</si>
  <si>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</si>
  <si>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</si>
  <si>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</si>
  <si>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</si>
  <si>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</si>
  <si>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</si>
  <si>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</si>
  <si>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</si>
  <si>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</si>
  <si>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</si>
  <si>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</si>
  <si>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</si>
  <si>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</si>
  <si>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</si>
  <si>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</si>
  <si>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</si>
  <si>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</si>
  <si>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</si>
  <si>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</si>
  <si>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</si>
  <si>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</si>
  <si>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</si>
  <si>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</si>
  <si>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</si>
  <si>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</si>
  <si>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</si>
  <si>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</si>
  <si>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</si>
  <si>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</si>
  <si>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</si>
  <si>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</si>
  <si>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</si>
  <si>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</si>
  <si>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</si>
  <si>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</si>
  <si>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</si>
  <si>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</si>
  <si>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</si>
  <si>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</si>
  <si>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</si>
  <si>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</si>
  <si>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</si>
  <si>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</si>
  <si>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</si>
  <si>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</si>
  <si>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</si>
  <si>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</si>
  <si>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</si>
  <si>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</si>
  <si>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</si>
  <si>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</si>
  <si>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</si>
  <si>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</si>
  <si>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</si>
  <si>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</si>
  <si>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</si>
  <si>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</si>
  <si>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</si>
  <si>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</si>
  <si>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</si>
  <si>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</si>
  <si>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</si>
  <si>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</si>
  <si>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</si>
  <si>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</si>
  <si>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</si>
  <si>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</si>
  <si>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</si>
  <si>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</si>
  <si>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</si>
  <si>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</si>
  <si>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</si>
  <si>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</si>
  <si>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</si>
  <si>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</si>
  <si>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</si>
  <si>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</si>
  <si>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</si>
  <si>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</si>
  <si>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financial records are maintained by a limited number of employees.</t>
  </si>
  <si>
    <t>Certain individuals have the ability to complete and record accounting functions which ideally would be segregated.  The accounting and control of the Activity and Imprest Funds are maintained by a single individual at most locations.</t>
  </si>
  <si>
    <t>Segregation of duties is normally difficult to accomplish within a small governmental entity.  This corrective action is not practical in the circumstances, because the cost of implementing internal control procedures should not exceed the benefit derived.</t>
  </si>
  <si>
    <t>It is not economically feasible for the district to hire extra bookkeeping personnel at this time.</t>
  </si>
  <si>
    <t>Warren</t>
  </si>
  <si>
    <t>105 North E St.</t>
  </si>
  <si>
    <t>Monmouth</t>
  </si>
  <si>
    <t>efletcher@mr238.org</t>
  </si>
  <si>
    <t>Mr. Edward Fletcher</t>
  </si>
  <si>
    <t>efletcher@238.org</t>
  </si>
  <si>
    <t>309-734-4712</t>
  </si>
  <si>
    <t>309-734-4755</t>
  </si>
  <si>
    <t>Cavanaugh, Davies, Blackman &amp; Cramblet</t>
  </si>
  <si>
    <t>Rod Davies</t>
  </si>
  <si>
    <t>1021 North Main St., PO Box 318</t>
  </si>
  <si>
    <t>IL</t>
  </si>
  <si>
    <t>309-734-2330</t>
  </si>
  <si>
    <t>309-734-2349</t>
  </si>
  <si>
    <t>cdbccpas@monmouthcpa.com</t>
  </si>
  <si>
    <t>Mrs. Jodi Scott</t>
  </si>
  <si>
    <t>jscott@roe33.net</t>
  </si>
  <si>
    <t>309-734-6822</t>
  </si>
  <si>
    <t>309-734-2452</t>
  </si>
  <si>
    <t>Not all employees or board members filed economic interest statements by May 1st.</t>
  </si>
  <si>
    <t>A staff member should be appointed to make sure that the required economic interest statements are filed on a timely basis each year.</t>
  </si>
  <si>
    <t>The superintendent will appoint an office staff member to remind employees and board members that economic interest statements need to be filed by May 1st.</t>
  </si>
  <si>
    <t>2017-001</t>
  </si>
  <si>
    <t>Limited Segregation of Duties</t>
  </si>
  <si>
    <t>Repeat Finding - Corrective Action is not Practical</t>
  </si>
  <si>
    <t>in the Circumstances</t>
  </si>
  <si>
    <t>2017-002</t>
  </si>
  <si>
    <t>2017-003</t>
  </si>
  <si>
    <t xml:space="preserve">Not all Employees or Board Members Filed </t>
  </si>
  <si>
    <t>Economic Interest Statements by May 1st</t>
  </si>
  <si>
    <t>Repeat Finding</t>
  </si>
  <si>
    <t>2009 Fire Prevention &amp; Life Safety Bonds</t>
  </si>
  <si>
    <t>2013 Debt Certificates</t>
  </si>
  <si>
    <t>2013 Instrument Lease</t>
  </si>
  <si>
    <t>2015 Working Cash Bonds</t>
  </si>
  <si>
    <t>2015 Fire Prevention &amp; Life Safety Bonds</t>
  </si>
  <si>
    <t>Technology Lease</t>
  </si>
  <si>
    <t>Financing Lease</t>
  </si>
  <si>
    <t>US Department of Education - Pass through from Illinois State Board of Education</t>
  </si>
  <si>
    <t>Title VI - Rural Education</t>
  </si>
  <si>
    <t>2017-4107</t>
  </si>
  <si>
    <t>2018-4300</t>
  </si>
  <si>
    <t>2017-4300</t>
  </si>
  <si>
    <t>Title III - Immigrant Educ Prog</t>
  </si>
  <si>
    <t>2018-4905</t>
  </si>
  <si>
    <t>2017-4905</t>
  </si>
  <si>
    <t>Title III - Lang Inst Prog - Limited English</t>
  </si>
  <si>
    <t>2018-4909</t>
  </si>
  <si>
    <t>2017-4909</t>
  </si>
  <si>
    <t>2018-4932</t>
  </si>
  <si>
    <t>2017-4932</t>
  </si>
  <si>
    <t>Fed Special Ed - IDEA Room &amp; Board</t>
  </si>
  <si>
    <t>2018-4625</t>
  </si>
  <si>
    <t>n/a</t>
  </si>
  <si>
    <t>2017-4625</t>
  </si>
  <si>
    <t>Title IV A - Student Support</t>
  </si>
  <si>
    <t>2018-4400</t>
  </si>
  <si>
    <t>Total US Department of Education - Pass through from Illinois State Board of Education</t>
  </si>
  <si>
    <t>US Department of Education - Pass through from Delebar CTE</t>
  </si>
  <si>
    <t>Carl Perkins</t>
  </si>
  <si>
    <t>2018-4745</t>
  </si>
  <si>
    <t>Total US Department of Education</t>
  </si>
  <si>
    <t>US Department of Agriculture - Pass Through from Illinois State Board of Education</t>
  </si>
  <si>
    <t>Commodities (Non Cash) (M)</t>
  </si>
  <si>
    <t>33094-238026</t>
  </si>
  <si>
    <t>Department of Defense - Fresh Fruits and Vegetables (M)</t>
  </si>
  <si>
    <t>National School Lunch (M)</t>
  </si>
  <si>
    <t>2018-4210</t>
  </si>
  <si>
    <t>2017-4210</t>
  </si>
  <si>
    <t>School Breakfast (M)</t>
  </si>
  <si>
    <t>2018-4220</t>
  </si>
  <si>
    <t>2017-4220</t>
  </si>
  <si>
    <t>Total US Department of Agriculture - Pass Through from Illinois State Board of Education</t>
  </si>
  <si>
    <t>Medicaid Admin Outreach (FY18)</t>
  </si>
  <si>
    <t>37-6004859</t>
  </si>
  <si>
    <t>Medicaid Admin Outreach (FY17)</t>
  </si>
  <si>
    <t>Illinois Energy Consortium</t>
  </si>
  <si>
    <t>Knox-Warren Spec Ed</t>
  </si>
  <si>
    <t>Supply Works</t>
  </si>
  <si>
    <t>United CUSD #304/Galesburg CUSD #205 (Special Ed)</t>
  </si>
  <si>
    <t>Delabar CTE System</t>
  </si>
  <si>
    <t>Other Food Service - #1690, Line 74, Page 10</t>
  </si>
  <si>
    <t>$21,549  Food Reimbursement from Regional Adult Education Services Program</t>
  </si>
  <si>
    <t>Other District/School Activity Revenue - #1790, Line 81, Page 10</t>
  </si>
  <si>
    <t>$20,923  Extra Curricular Fees</t>
  </si>
  <si>
    <t>Textbook Income - #1890, Line 92, Page 10</t>
  </si>
  <si>
    <t>$1,428  Miscellaneous Fees</t>
  </si>
  <si>
    <t>Other Local Revenues - #1999, Line 107, Page 11</t>
  </si>
  <si>
    <t>$6,876  Expense Reimbursements</t>
  </si>
  <si>
    <t>Other Support Services - #2900, Line 73, Page 16</t>
  </si>
  <si>
    <t>$90,845  Technology Direction &amp; Support</t>
  </si>
  <si>
    <t>Other Payments to In-State Govt. Units - #4190, Line 83, Page 16</t>
  </si>
  <si>
    <t>$2,793  Repay Early Childhood Block Grant FY 17</t>
  </si>
  <si>
    <t>Operations and Maintenance Fund</t>
  </si>
  <si>
    <t>$921  Restitution &amp; Reimbursements</t>
  </si>
  <si>
    <t>Other - #5400, Line 171, Page 18</t>
  </si>
  <si>
    <t>$1,118 Bond Administrative Fees</t>
  </si>
  <si>
    <t>Debt Services Fund</t>
  </si>
  <si>
    <t>$610  Expense Reimbursements</t>
  </si>
  <si>
    <t>Other Support Services - #2900, Line 183,  Page 18</t>
  </si>
  <si>
    <t>$449  Medicaid Services</t>
  </si>
  <si>
    <t>IMRF/Social Security Fund</t>
  </si>
  <si>
    <t>Other Support Services - #2900, Line 278, Page 20</t>
  </si>
  <si>
    <t>$14,736  Technology Support Staff</t>
  </si>
  <si>
    <t>Schedule of Restricted Local Tax Levies and Selected Revenue Sources</t>
  </si>
  <si>
    <t>$51,688  Special Education Tuition</t>
  </si>
  <si>
    <t>in the year the payments are made out of the Education Fund.</t>
  </si>
  <si>
    <r>
      <t xml:space="preserve">The accompanying Schedule of Expenditures of Federal Awards includes the federal grant activity of Monmouth-Roseville CUSD #238 and is presented on the cash basis </t>
    </r>
    <r>
      <rPr>
        <b/>
        <sz val="9"/>
        <rFont val="Calibri"/>
        <family val="2"/>
        <scheme val="minor"/>
      </rPr>
      <t xml:space="preserve">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</si>
  <si>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Of the federal expenditures presented in the schedule, Monmouth-Roseville CUSD #238</t>
    </r>
    <r>
      <rPr>
        <sz val="9"/>
        <rFont val="Calibri"/>
        <family val="2"/>
        <scheme val="minor"/>
      </rPr>
      <t xml:space="preserve"> provided federal awards to subrecipients as follows:</t>
    </r>
  </si>
  <si>
    <t>None</t>
  </si>
  <si>
    <r>
      <t>The following amounts were expended in the form of non-cash assistance by Monmouth-Roseville CUSD #238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</si>
  <si>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All Pages</t>
  </si>
  <si>
    <t>Unmodified</t>
  </si>
  <si>
    <t>10.553, 10.555</t>
  </si>
  <si>
    <t>Child Nutrition Cluster</t>
  </si>
  <si>
    <t>For each fund, total expenditures disbursed may not legally exceed the District's budgeted amounts.</t>
  </si>
  <si>
    <t>For the year ended June 30, 2018, actual expenditures exceeded the budget in the Debt Service Fund, the IMRF/SS Fund, and Tort Fund.</t>
  </si>
  <si>
    <t>A review of the expenditures, as compared to the budget, should be done in the future on an ongoing basis.  If the District's needs change, the board should amend the budget by the same procedures used for its original adoption.</t>
  </si>
  <si>
    <t>The budget was amended before year end.  A review will be done to ensure that all funds are reviewed when amending and the necessary adjustments made to each fund.</t>
  </si>
  <si>
    <t xml:space="preserve">The Schedule of Long-Term Debt on Page 24 includes repayments on a music equipment lease which are posted as capital outlay </t>
  </si>
  <si>
    <t>Less Title IV - ROE 33 21st Century - Fee For Service</t>
  </si>
  <si>
    <t>Medicaid Admin Claim Paid to Galesburg CUSD #205</t>
  </si>
  <si>
    <t>US Department of Health &amp; Human Services - Pass Through from Illinois Department of Healthcare &amp; Family Services (Payee - Knox Warren Special Ed Dist)</t>
  </si>
  <si>
    <t>For the year ended June 30, 2018, the Working Cash Fund loaned $45,000 more to the Debt Service Fund than what was approved in the resolution adopted by the board.</t>
  </si>
  <si>
    <t>The superintendent will review all interfund loan approvals to ensure that all loans made are within the amounts approved by the board.  If additional loans are needed, the board will approve the additional amounts.</t>
  </si>
  <si>
    <t>Transportation-Pupil Transportation-Purchase Services</t>
  </si>
  <si>
    <t>Midwest Bus Sales Inc</t>
  </si>
  <si>
    <t>ED-Instruction-Purchase Services</t>
  </si>
  <si>
    <t>Office Machine Consultants</t>
  </si>
  <si>
    <t xml:space="preserve">Actual Expenditure Over Budget </t>
  </si>
  <si>
    <t>in Two Funds</t>
  </si>
  <si>
    <t>Repeat Finding for Three Funds</t>
  </si>
  <si>
    <t>Other Receipts - Line 10, Page 25</t>
  </si>
  <si>
    <t>$410,000  Donations - Capital Projects Fund</t>
  </si>
  <si>
    <t>$215  Expense Reimbursements</t>
  </si>
  <si>
    <t>Other Disbursements - Line 22, Page 25</t>
  </si>
  <si>
    <t>Illinois Compiled Statutes require all key administrative employees, including teachers holding an administrative certificate earning over $50,000, and board members to file an economic interest statement with the office of the County Clerk by May 1.</t>
  </si>
  <si>
    <t>Interfund loans from the Working Cash Fund must be authorized by the school board.</t>
  </si>
  <si>
    <t>Monmouth-Roseville CUSD 238</t>
  </si>
  <si>
    <t>40-2550-300</t>
  </si>
  <si>
    <t>10-1000-300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</si>
</sst>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0" fontId="52" fillId="0" borderId="0" xfId="3" applyFont="1" applyAlignment="1" applyProtection="1">
      <alignment horizontal="center" vertical="center"/>
    </xf>
    <xf numFmtId="164" fontId="63" fillId="0" borderId="0" xfId="0" applyNumberFormat="1"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8913" name="Object 1" hidden="1">
              <a:extLst>
                <a:ext uri="{63B3BB69-23CF-44E3-9099-C40C66FF867C}">
                  <a14:compatExt spid="_x0000_s3891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0</xdr:row>
          <xdr:rowOff>47625</xdr:rowOff>
        </xdr:from>
        <xdr:to>
          <xdr:col>1</xdr:col>
          <xdr:colOff>1000125</xdr:colOff>
          <xdr:row>4</xdr:row>
          <xdr:rowOff>85725</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5" t="s">
        <v>425</v>
      </c>
      <c r="J1" s="2036"/>
      <c r="K1" s="2036"/>
      <c r="L1" s="2036"/>
      <c r="M1" s="2036"/>
      <c r="N1" s="2036"/>
      <c r="O1" s="2036"/>
      <c r="P1" s="2036"/>
      <c r="Q1" s="2036"/>
      <c r="R1" s="2036"/>
      <c r="S1" s="2036"/>
    </row>
    <row r="2" spans="1:28" ht="12" customHeight="1" x14ac:dyDescent="0.2">
      <c r="A2" s="47" t="s">
        <v>1684</v>
      </c>
      <c r="D2" s="48"/>
      <c r="I2" s="2037" t="s">
        <v>1036</v>
      </c>
      <c r="J2" s="2036"/>
      <c r="K2" s="2036"/>
      <c r="L2" s="2036"/>
      <c r="M2" s="2036"/>
      <c r="N2" s="2036"/>
      <c r="O2" s="2036"/>
      <c r="P2" s="2036"/>
      <c r="Q2" s="2036"/>
      <c r="R2" s="2036"/>
      <c r="S2" s="2036"/>
    </row>
    <row r="3" spans="1:28" ht="12" customHeight="1" x14ac:dyDescent="0.2">
      <c r="A3" s="155" t="s">
        <v>1685</v>
      </c>
      <c r="B3" s="156"/>
      <c r="C3" s="156"/>
      <c r="D3" s="157"/>
      <c r="I3" s="2037" t="s">
        <v>54</v>
      </c>
      <c r="J3" s="2036"/>
      <c r="K3" s="2036"/>
      <c r="L3" s="2036"/>
      <c r="M3" s="2036"/>
      <c r="N3" s="2036"/>
      <c r="O3" s="2036"/>
      <c r="P3" s="2036"/>
      <c r="Q3" s="2036"/>
      <c r="R3" s="2036"/>
      <c r="S3" s="2036"/>
    </row>
    <row r="4" spans="1:28" ht="12" customHeight="1" x14ac:dyDescent="0.2">
      <c r="A4" s="37"/>
      <c r="I4" s="2037" t="s">
        <v>545</v>
      </c>
      <c r="J4" s="2036"/>
      <c r="K4" s="2036"/>
      <c r="L4" s="2036"/>
      <c r="M4" s="2036"/>
      <c r="N4" s="2036"/>
      <c r="O4" s="2036"/>
      <c r="P4" s="2036"/>
      <c r="Q4" s="2036"/>
      <c r="R4" s="2036"/>
      <c r="S4" s="2036"/>
    </row>
    <row r="5" spans="1:28" ht="14.1" customHeight="1" x14ac:dyDescent="0.2">
      <c r="B5" s="104" t="s">
        <v>2074</v>
      </c>
      <c r="C5" s="26" t="s">
        <v>966</v>
      </c>
      <c r="D5" s="84"/>
      <c r="E5" s="84"/>
      <c r="H5" s="38"/>
      <c r="I5" s="2044" t="s">
        <v>701</v>
      </c>
      <c r="J5" s="1989"/>
      <c r="K5" s="1989"/>
      <c r="L5" s="1989"/>
      <c r="M5" s="1989"/>
      <c r="N5" s="1989"/>
      <c r="O5" s="1989"/>
      <c r="P5" s="1989"/>
      <c r="Q5" s="1989"/>
      <c r="R5" s="1989"/>
      <c r="S5" s="1989"/>
    </row>
    <row r="6" spans="1:28" ht="14.1" customHeight="1" x14ac:dyDescent="0.2">
      <c r="B6" s="104"/>
      <c r="C6" s="26" t="s">
        <v>967</v>
      </c>
      <c r="D6" s="84"/>
      <c r="E6" s="84"/>
      <c r="I6" s="2043" t="s">
        <v>938</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695</v>
      </c>
      <c r="J9" s="2041"/>
      <c r="K9" s="2041"/>
      <c r="L9" s="2041"/>
      <c r="M9" s="2041"/>
      <c r="N9" s="2041"/>
      <c r="O9" s="2041"/>
      <c r="P9" s="2041"/>
      <c r="Q9" s="2041"/>
      <c r="R9" s="2041"/>
      <c r="S9" s="2042"/>
      <c r="T9" s="1985" t="s">
        <v>554</v>
      </c>
      <c r="U9" s="1986"/>
      <c r="V9" s="1986"/>
      <c r="W9" s="1986"/>
      <c r="X9" s="1986"/>
      <c r="Y9" s="1986"/>
      <c r="Z9" s="1986"/>
      <c r="AA9" s="1987"/>
    </row>
    <row r="10" spans="1:28" ht="13.5" customHeight="1" x14ac:dyDescent="0.2">
      <c r="A10" s="1994" t="s">
        <v>696</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1012</v>
      </c>
      <c r="B11" s="1998"/>
      <c r="C11" s="1998"/>
      <c r="D11" s="1998"/>
      <c r="E11" s="1998"/>
      <c r="F11" s="1998"/>
      <c r="G11" s="1998"/>
      <c r="H11" s="1999"/>
      <c r="I11" s="27"/>
      <c r="J11" s="74"/>
      <c r="K11" s="27"/>
      <c r="O11" s="148" t="s">
        <v>2074</v>
      </c>
      <c r="P11" s="100" t="s">
        <v>210</v>
      </c>
      <c r="Q11" s="30"/>
      <c r="R11" s="28"/>
      <c r="S11" s="27"/>
      <c r="T11" s="1991"/>
      <c r="U11" s="1992"/>
      <c r="V11" s="1992"/>
      <c r="W11" s="1992"/>
      <c r="X11" s="1992"/>
      <c r="Y11" s="1992"/>
      <c r="Z11" s="1992"/>
      <c r="AA11" s="199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5">
        <v>3309438026</v>
      </c>
      <c r="B13" s="2006"/>
      <c r="C13" s="2006"/>
      <c r="D13" s="2006"/>
      <c r="E13" s="2006"/>
      <c r="F13" s="2006"/>
      <c r="G13" s="2006"/>
      <c r="H13" s="2007"/>
      <c r="I13" s="31"/>
      <c r="J13" s="30"/>
      <c r="K13" s="28"/>
      <c r="L13" s="30"/>
      <c r="M13" s="30"/>
      <c r="N13" s="30"/>
      <c r="O13" s="30"/>
      <c r="P13" s="30"/>
      <c r="Q13" s="30"/>
      <c r="R13" s="30"/>
      <c r="S13" s="30"/>
      <c r="T13" s="2010" t="s">
        <v>2089</v>
      </c>
      <c r="U13" s="2011"/>
      <c r="V13" s="2011"/>
      <c r="W13" s="2011"/>
      <c r="X13" s="2011"/>
      <c r="Y13" s="2012"/>
      <c r="Z13" s="2012"/>
      <c r="AA13" s="201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3" t="s">
        <v>2081</v>
      </c>
      <c r="B15" s="2008"/>
      <c r="C15" s="2008"/>
      <c r="D15" s="2008"/>
      <c r="E15" s="2008"/>
      <c r="F15" s="2008"/>
      <c r="G15" s="2008"/>
      <c r="H15" s="2009"/>
      <c r="T15" s="1971" t="s">
        <v>2090</v>
      </c>
      <c r="U15" s="1972"/>
      <c r="V15" s="1972"/>
      <c r="W15" s="1972"/>
      <c r="X15" s="1972"/>
      <c r="Y15" s="2014"/>
      <c r="Z15" s="2014"/>
      <c r="AA15" s="201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3" t="s">
        <v>2219</v>
      </c>
      <c r="B17" s="2033"/>
      <c r="C17" s="2033"/>
      <c r="D17" s="2033"/>
      <c r="E17" s="2033"/>
      <c r="F17" s="2033"/>
      <c r="G17" s="2033"/>
      <c r="H17" s="2034"/>
      <c r="T17" s="2020" t="s">
        <v>2091</v>
      </c>
      <c r="U17" s="2021"/>
      <c r="V17" s="2021"/>
      <c r="W17" s="2021"/>
      <c r="X17" s="2021"/>
      <c r="Y17" s="2021"/>
      <c r="Z17" s="2021"/>
      <c r="AA17" s="2022"/>
    </row>
    <row r="18" spans="1:27" ht="13.5" customHeight="1" x14ac:dyDescent="0.2">
      <c r="A18" s="85" t="s">
        <v>551</v>
      </c>
      <c r="B18" s="76"/>
      <c r="C18" s="72"/>
      <c r="D18" s="76"/>
      <c r="E18" s="76"/>
      <c r="F18" s="76"/>
      <c r="G18" s="76"/>
      <c r="H18" s="56"/>
      <c r="I18" s="2030" t="s">
        <v>697</v>
      </c>
      <c r="J18" s="2031"/>
      <c r="K18" s="2031"/>
      <c r="L18" s="2031"/>
      <c r="M18" s="2031"/>
      <c r="N18" s="2031"/>
      <c r="O18" s="2031"/>
      <c r="P18" s="2031"/>
      <c r="Q18" s="2031"/>
      <c r="R18" s="2031"/>
      <c r="S18" s="2032"/>
      <c r="T18" s="85" t="s">
        <v>735</v>
      </c>
      <c r="U18" s="51"/>
      <c r="V18" s="72"/>
      <c r="W18" s="50"/>
      <c r="X18" s="85" t="s">
        <v>284</v>
      </c>
      <c r="Y18" s="81"/>
      <c r="Z18" s="159" t="s">
        <v>698</v>
      </c>
      <c r="AA18" s="46"/>
    </row>
    <row r="19" spans="1:27" ht="13.5" customHeight="1" x14ac:dyDescent="0.2">
      <c r="A19" s="2003" t="s">
        <v>2082</v>
      </c>
      <c r="B19" s="2004"/>
      <c r="C19" s="2004"/>
      <c r="D19" s="2004"/>
      <c r="E19" s="2004"/>
      <c r="F19" s="2004"/>
      <c r="G19" s="2004"/>
      <c r="H19" s="2002"/>
      <c r="I19" s="30"/>
      <c r="J19" s="99"/>
      <c r="K19" s="40"/>
      <c r="L19" s="38"/>
      <c r="M19" s="112" t="s">
        <v>333</v>
      </c>
      <c r="P19" s="27"/>
      <c r="Q19" s="27"/>
      <c r="R19" s="27"/>
      <c r="S19" s="31"/>
      <c r="T19" s="2003" t="s">
        <v>2083</v>
      </c>
      <c r="U19" s="2001"/>
      <c r="V19" s="2001"/>
      <c r="W19" s="2002"/>
      <c r="X19" s="2018" t="s">
        <v>2092</v>
      </c>
      <c r="Y19" s="2019"/>
      <c r="Z19" s="2016">
        <v>61462</v>
      </c>
      <c r="AA19" s="201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0" t="s">
        <v>2083</v>
      </c>
      <c r="B21" s="2001"/>
      <c r="C21" s="2001"/>
      <c r="D21" s="2001"/>
      <c r="E21" s="2001"/>
      <c r="F21" s="2001"/>
      <c r="G21" s="2001"/>
      <c r="H21" s="2002"/>
      <c r="I21" s="2026" t="s">
        <v>699</v>
      </c>
      <c r="J21" s="1989"/>
      <c r="K21" s="1989"/>
      <c r="L21" s="1989"/>
      <c r="M21" s="1989"/>
      <c r="N21" s="1989"/>
      <c r="O21" s="1989"/>
      <c r="P21" s="1989"/>
      <c r="Q21" s="1989"/>
      <c r="R21" s="1989"/>
      <c r="S21" s="1990"/>
      <c r="T21" s="1968" t="s">
        <v>2093</v>
      </c>
      <c r="U21" s="1969"/>
      <c r="V21" s="1969"/>
      <c r="W21" s="1969"/>
      <c r="X21" s="1982" t="s">
        <v>2094</v>
      </c>
      <c r="Y21" s="1983"/>
      <c r="Z21" s="1983"/>
      <c r="AA21" s="1984"/>
    </row>
    <row r="22" spans="1:27" ht="13.5" customHeight="1" x14ac:dyDescent="0.2">
      <c r="A22" s="87" t="s">
        <v>552</v>
      </c>
      <c r="B22" s="59"/>
      <c r="C22" s="59"/>
      <c r="D22" s="59"/>
      <c r="E22" s="59"/>
      <c r="F22" s="59"/>
      <c r="G22" s="59"/>
      <c r="H22" s="60"/>
      <c r="I22" s="2027" t="s">
        <v>1504</v>
      </c>
      <c r="J22" s="2028"/>
      <c r="K22" s="2028"/>
      <c r="L22" s="2028"/>
      <c r="M22" s="2028"/>
      <c r="N22" s="2028"/>
      <c r="O22" s="2028"/>
      <c r="P22" s="2028"/>
      <c r="Q22" s="2028"/>
      <c r="R22" s="2028"/>
      <c r="S22" s="2029"/>
      <c r="T22" s="85" t="s">
        <v>1596</v>
      </c>
      <c r="U22" s="51"/>
      <c r="V22" s="72"/>
      <c r="W22" s="51"/>
      <c r="X22" s="160" t="s">
        <v>1385</v>
      </c>
      <c r="Z22" s="45"/>
      <c r="AA22" s="46"/>
    </row>
    <row r="23" spans="1:27" ht="13.5" customHeight="1" x14ac:dyDescent="0.2">
      <c r="A23" s="2023" t="s">
        <v>2084</v>
      </c>
      <c r="B23" s="2024"/>
      <c r="C23" s="2024"/>
      <c r="D23" s="2024"/>
      <c r="E23" s="2024"/>
      <c r="F23" s="2024"/>
      <c r="G23" s="2024"/>
      <c r="H23" s="2025"/>
      <c r="T23" s="1963">
        <v>60.008476000000002</v>
      </c>
      <c r="U23" s="1964"/>
      <c r="V23" s="1964"/>
      <c r="W23" s="1964"/>
      <c r="X23" s="1979">
        <v>43466</v>
      </c>
      <c r="Y23" s="1980"/>
      <c r="Z23" s="1980"/>
      <c r="AA23" s="1981"/>
    </row>
    <row r="24" spans="1:27" ht="14.1" customHeight="1" x14ac:dyDescent="0.2">
      <c r="A24" s="88" t="s">
        <v>698</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552</v>
      </c>
      <c r="U24" s="106"/>
      <c r="V24" s="106"/>
      <c r="W24" s="106"/>
      <c r="X24" s="107"/>
      <c r="Y24" s="107"/>
      <c r="Z24" s="107"/>
      <c r="AA24" s="108"/>
    </row>
    <row r="25" spans="1:27" ht="14.1" customHeight="1" x14ac:dyDescent="0.2">
      <c r="A25" s="2000">
        <v>61462</v>
      </c>
      <c r="B25" s="2001"/>
      <c r="C25" s="2001"/>
      <c r="D25" s="2001"/>
      <c r="E25" s="2001"/>
      <c r="F25" s="2001"/>
      <c r="G25" s="2001"/>
      <c r="H25" s="2002"/>
      <c r="I25" s="113"/>
      <c r="J25" s="2067"/>
      <c r="K25" s="2067"/>
      <c r="L25" s="2067"/>
      <c r="M25" s="2067"/>
      <c r="N25" s="2067"/>
      <c r="O25" s="2067"/>
      <c r="P25" s="2067"/>
      <c r="Q25" s="2067"/>
      <c r="R25" s="2067"/>
      <c r="S25" s="2068"/>
      <c r="T25" s="1960" t="s">
        <v>2095</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8" t="s">
        <v>1591</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2074</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3" t="s">
        <v>2085</v>
      </c>
      <c r="B38" s="2033"/>
      <c r="C38" s="2033"/>
      <c r="D38" s="2033"/>
      <c r="E38" s="2033"/>
      <c r="F38" s="2001"/>
      <c r="G38" s="2001"/>
      <c r="H38" s="2002"/>
      <c r="I38" s="2052"/>
      <c r="J38" s="1972"/>
      <c r="K38" s="1972"/>
      <c r="L38" s="1972"/>
      <c r="M38" s="1972"/>
      <c r="N38" s="1972"/>
      <c r="O38" s="1972"/>
      <c r="P38" s="1973"/>
      <c r="Q38" s="1973"/>
      <c r="R38" s="1973"/>
      <c r="S38" s="1974"/>
      <c r="T38" s="1971" t="s">
        <v>2096</v>
      </c>
      <c r="U38" s="1972"/>
      <c r="V38" s="1972"/>
      <c r="W38" s="1972"/>
      <c r="X38" s="1973"/>
      <c r="Y38" s="1973"/>
      <c r="Z38" s="1973"/>
      <c r="AA38" s="1974"/>
    </row>
    <row r="39" spans="1:27" ht="12" customHeight="1" x14ac:dyDescent="0.2">
      <c r="A39" s="2056" t="s">
        <v>552</v>
      </c>
      <c r="B39" s="2057"/>
      <c r="C39" s="72"/>
      <c r="D39" s="69"/>
      <c r="E39" s="69"/>
      <c r="F39" s="79"/>
      <c r="G39" s="69"/>
      <c r="H39" s="56"/>
      <c r="I39" s="2056" t="s">
        <v>552</v>
      </c>
      <c r="J39" s="2057"/>
      <c r="K39" s="2057"/>
      <c r="L39" s="2057"/>
      <c r="M39" s="2057"/>
      <c r="N39" s="67"/>
      <c r="O39" s="72"/>
      <c r="P39" s="72"/>
      <c r="Q39" s="78"/>
      <c r="R39" s="72"/>
      <c r="S39" s="56"/>
      <c r="T39" s="72" t="s">
        <v>552</v>
      </c>
      <c r="U39" s="51"/>
      <c r="V39" s="72"/>
      <c r="W39" s="50"/>
      <c r="X39" s="78"/>
      <c r="Y39" s="45"/>
      <c r="Z39" s="45"/>
      <c r="AA39" s="46"/>
    </row>
    <row r="40" spans="1:27" ht="13.5" customHeight="1" x14ac:dyDescent="0.2">
      <c r="A40" s="2059" t="s">
        <v>2086</v>
      </c>
      <c r="B40" s="2060"/>
      <c r="C40" s="2061"/>
      <c r="D40" s="2061"/>
      <c r="E40" s="2061"/>
      <c r="F40" s="2062"/>
      <c r="G40" s="2062"/>
      <c r="H40" s="2063"/>
      <c r="I40" s="1975"/>
      <c r="J40" s="1977"/>
      <c r="K40" s="1977"/>
      <c r="L40" s="1977"/>
      <c r="M40" s="1977"/>
      <c r="N40" s="1977"/>
      <c r="O40" s="1977"/>
      <c r="P40" s="1977"/>
      <c r="Q40" s="1977"/>
      <c r="R40" s="1977"/>
      <c r="S40" s="1978"/>
      <c r="T40" s="1975" t="s">
        <v>2097</v>
      </c>
      <c r="U40" s="1976"/>
      <c r="V40" s="1977"/>
      <c r="W40" s="1977"/>
      <c r="X40" s="1977"/>
      <c r="Y40" s="1977"/>
      <c r="Z40" s="1977"/>
      <c r="AA40" s="197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9" t="s">
        <v>2087</v>
      </c>
      <c r="B42" s="2050"/>
      <c r="C42" s="2051"/>
      <c r="D42" s="2064" t="s">
        <v>2088</v>
      </c>
      <c r="E42" s="2050"/>
      <c r="F42" s="2050"/>
      <c r="G42" s="2050"/>
      <c r="H42" s="2051"/>
      <c r="I42" s="1970"/>
      <c r="J42" s="1966"/>
      <c r="K42" s="1966"/>
      <c r="L42" s="1966"/>
      <c r="M42" s="1966"/>
      <c r="N42" s="1966"/>
      <c r="O42" s="1967"/>
      <c r="P42" s="1965"/>
      <c r="Q42" s="1966"/>
      <c r="R42" s="1966"/>
      <c r="S42" s="1967"/>
      <c r="T42" s="1970" t="s">
        <v>2098</v>
      </c>
      <c r="U42" s="1966"/>
      <c r="V42" s="1966"/>
      <c r="W42" s="1967"/>
      <c r="X42" s="1965" t="s">
        <v>2099</v>
      </c>
      <c r="Y42" s="1966"/>
      <c r="Z42" s="1966"/>
      <c r="AA42" s="1967"/>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U34" sqref="U3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2" t="s">
        <v>1902</v>
      </c>
      <c r="B2" s="1550" t="s">
        <v>2034</v>
      </c>
      <c r="C2" s="715" t="s">
        <v>1907</v>
      </c>
      <c r="D2" s="715" t="s">
        <v>1908</v>
      </c>
      <c r="E2" s="715" t="s">
        <v>1909</v>
      </c>
      <c r="F2" s="715" t="s">
        <v>1910</v>
      </c>
    </row>
    <row r="3" spans="1:6" ht="12" customHeight="1" x14ac:dyDescent="0.2">
      <c r="A3" s="2203"/>
      <c r="B3" s="1547"/>
      <c r="C3" s="1548"/>
      <c r="D3" s="1549" t="s">
        <v>274</v>
      </c>
      <c r="E3" s="1548"/>
      <c r="F3" s="1549" t="s">
        <v>275</v>
      </c>
    </row>
    <row r="4" spans="1:6" ht="13.7" customHeight="1" x14ac:dyDescent="0.2">
      <c r="A4" s="716" t="s">
        <v>1217</v>
      </c>
      <c r="B4" s="1770">
        <f>'Revenues 9-14'!C5</f>
        <v>2907463</v>
      </c>
      <c r="C4" s="1546"/>
      <c r="D4" s="1773">
        <f>B4-C4</f>
        <v>2907463</v>
      </c>
      <c r="E4" s="1546">
        <v>2977571</v>
      </c>
      <c r="F4" s="1773">
        <f>E4-C4</f>
        <v>2977571</v>
      </c>
    </row>
    <row r="5" spans="1:6" ht="13.7" customHeight="1" x14ac:dyDescent="0.2">
      <c r="A5" s="716" t="s">
        <v>925</v>
      </c>
      <c r="B5" s="1771">
        <f>'Revenues 9-14'!D5</f>
        <v>904544</v>
      </c>
      <c r="C5" s="585"/>
      <c r="D5" s="1774">
        <f t="shared" ref="D5:D18" si="0">B5-C5</f>
        <v>904544</v>
      </c>
      <c r="E5" s="585">
        <v>926355</v>
      </c>
      <c r="F5" s="1774">
        <f>E5-C5</f>
        <v>926355</v>
      </c>
    </row>
    <row r="6" spans="1:6" ht="13.7" customHeight="1" x14ac:dyDescent="0.2">
      <c r="A6" s="716" t="s">
        <v>431</v>
      </c>
      <c r="B6" s="1771">
        <f>'Revenues 9-14'!E5</f>
        <v>905061</v>
      </c>
      <c r="C6" s="585"/>
      <c r="D6" s="1774">
        <f t="shared" si="0"/>
        <v>905061</v>
      </c>
      <c r="E6" s="585">
        <v>903845</v>
      </c>
      <c r="F6" s="1774">
        <f t="shared" ref="F6:F18" si="1">E6-C6</f>
        <v>903845</v>
      </c>
    </row>
    <row r="7" spans="1:6" ht="13.7" customHeight="1" x14ac:dyDescent="0.2">
      <c r="A7" s="716" t="s">
        <v>157</v>
      </c>
      <c r="B7" s="1771">
        <f>'Revenues 9-14'!F5</f>
        <v>258441</v>
      </c>
      <c r="C7" s="585"/>
      <c r="D7" s="1774">
        <f t="shared" si="0"/>
        <v>258441</v>
      </c>
      <c r="E7" s="585">
        <v>264673</v>
      </c>
      <c r="F7" s="1774">
        <f t="shared" si="1"/>
        <v>264673</v>
      </c>
    </row>
    <row r="8" spans="1:6" ht="13.7" customHeight="1" x14ac:dyDescent="0.2">
      <c r="A8" s="716" t="s">
        <v>1241</v>
      </c>
      <c r="B8" s="1771">
        <f>'Revenues 9-14'!G5</f>
        <v>224327</v>
      </c>
      <c r="C8" s="585"/>
      <c r="D8" s="1774">
        <f t="shared" si="0"/>
        <v>224327</v>
      </c>
      <c r="E8" s="585">
        <v>74995</v>
      </c>
      <c r="F8" s="1774">
        <f t="shared" si="1"/>
        <v>74995</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64610</v>
      </c>
      <c r="C10" s="585"/>
      <c r="D10" s="1774">
        <f t="shared" si="0"/>
        <v>64610</v>
      </c>
      <c r="E10" s="585">
        <v>66168</v>
      </c>
      <c r="F10" s="1774">
        <f t="shared" si="1"/>
        <v>66168</v>
      </c>
    </row>
    <row r="11" spans="1:6" x14ac:dyDescent="0.2">
      <c r="A11" s="716" t="s">
        <v>429</v>
      </c>
      <c r="B11" s="1771">
        <f>'Revenues 9-14'!J5</f>
        <v>697662</v>
      </c>
      <c r="C11" s="585"/>
      <c r="D11" s="1774">
        <f t="shared" si="0"/>
        <v>697662</v>
      </c>
      <c r="E11" s="585">
        <v>725005</v>
      </c>
      <c r="F11" s="1774">
        <f t="shared" si="1"/>
        <v>725005</v>
      </c>
    </row>
    <row r="12" spans="1:6" ht="13.7" customHeight="1" x14ac:dyDescent="0.2">
      <c r="A12" s="716" t="s">
        <v>159</v>
      </c>
      <c r="B12" s="1771">
        <f>'Revenues 9-14'!K5</f>
        <v>64610</v>
      </c>
      <c r="C12" s="585"/>
      <c r="D12" s="1774">
        <f t="shared" si="0"/>
        <v>64610</v>
      </c>
      <c r="E12" s="585">
        <v>66168</v>
      </c>
      <c r="F12" s="1774">
        <f t="shared" si="1"/>
        <v>66168</v>
      </c>
    </row>
    <row r="13" spans="1:6" ht="13.7" customHeight="1" x14ac:dyDescent="0.2">
      <c r="A13" s="716" t="s">
        <v>993</v>
      </c>
      <c r="B13" s="1771">
        <f>SUM('Revenues 9-14'!C6:D6)</f>
        <v>64610</v>
      </c>
      <c r="C13" s="585"/>
      <c r="D13" s="1774">
        <f t="shared" si="0"/>
        <v>64610</v>
      </c>
      <c r="E13" s="585">
        <v>66168</v>
      </c>
      <c r="F13" s="1774">
        <f t="shared" si="1"/>
        <v>66168</v>
      </c>
    </row>
    <row r="14" spans="1:6" ht="13.7" customHeight="1" x14ac:dyDescent="0.2">
      <c r="A14" s="716" t="s">
        <v>430</v>
      </c>
      <c r="B14" s="1771">
        <f>SUM('Revenues 9-14'!C7:D7,'Revenues 9-14'!F7:H7)</f>
        <v>51688</v>
      </c>
      <c r="C14" s="585"/>
      <c r="D14" s="1774">
        <f t="shared" si="0"/>
        <v>51688</v>
      </c>
      <c r="E14" s="585">
        <v>52935</v>
      </c>
      <c r="F14" s="1774">
        <f t="shared" si="1"/>
        <v>52935</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199387</v>
      </c>
      <c r="C16" s="585"/>
      <c r="D16" s="1774">
        <f t="shared" si="0"/>
        <v>199387</v>
      </c>
      <c r="E16" s="585">
        <v>150003</v>
      </c>
      <c r="F16" s="1774">
        <f t="shared" si="1"/>
        <v>150003</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6342403</v>
      </c>
      <c r="C19" s="1772">
        <f>SUM(C4:C18)</f>
        <v>0</v>
      </c>
      <c r="D19" s="1772">
        <f>SUM(D4:D18)</f>
        <v>6342403</v>
      </c>
      <c r="E19" s="1772">
        <f>SUM(E4:E18)</f>
        <v>6273886</v>
      </c>
      <c r="F19" s="1772">
        <f>SUM(F4:F18)</f>
        <v>6273886</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2" colorId="8" zoomScale="110" zoomScaleNormal="110" workbookViewId="0">
      <selection activeCell="U34" sqref="U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650</v>
      </c>
      <c r="B1" s="2209"/>
      <c r="C1" s="722"/>
    </row>
    <row r="2" spans="1:7" ht="33.75" x14ac:dyDescent="0.2">
      <c r="A2" s="2217" t="s">
        <v>1902</v>
      </c>
      <c r="B2" s="2218"/>
      <c r="C2" s="1906" t="s">
        <v>2035</v>
      </c>
      <c r="D2" s="724" t="s">
        <v>2042</v>
      </c>
      <c r="E2" s="724" t="s">
        <v>2043</v>
      </c>
      <c r="F2" s="1906" t="s">
        <v>2036</v>
      </c>
    </row>
    <row r="3" spans="1:7" ht="15.75" customHeight="1" x14ac:dyDescent="0.2">
      <c r="A3" s="2221" t="s">
        <v>1176</v>
      </c>
      <c r="B3" s="2222"/>
      <c r="C3" s="2210"/>
      <c r="D3" s="2211"/>
      <c r="E3" s="2211"/>
      <c r="F3" s="2212"/>
    </row>
    <row r="4" spans="1:7" ht="12.75" customHeight="1" thickBot="1" x14ac:dyDescent="0.25">
      <c r="A4" s="2219" t="s">
        <v>651</v>
      </c>
      <c r="B4" s="2220"/>
      <c r="C4" s="581"/>
      <c r="D4" s="581"/>
      <c r="E4" s="581"/>
      <c r="F4" s="1776">
        <f>SUM(C4+D4)-E4</f>
        <v>0</v>
      </c>
    </row>
    <row r="5" spans="1:7" ht="15.75" customHeight="1" thickTop="1" x14ac:dyDescent="0.2">
      <c r="A5" s="2204" t="s">
        <v>1172</v>
      </c>
      <c r="B5" s="2205"/>
      <c r="C5" s="2213"/>
      <c r="D5" s="2214"/>
      <c r="E5" s="2214"/>
      <c r="F5" s="2215"/>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6" t="s">
        <v>652</v>
      </c>
      <c r="B15" s="2207"/>
      <c r="C15" s="1776">
        <f>SUM(C6:C14)</f>
        <v>0</v>
      </c>
      <c r="D15" s="1776">
        <f>SUM(D6:D14)</f>
        <v>0</v>
      </c>
      <c r="E15" s="1776">
        <f>SUM(E6:E14)</f>
        <v>0</v>
      </c>
      <c r="F15" s="1776">
        <f>SUM(F6:F14)</f>
        <v>0</v>
      </c>
      <c r="G15" s="552"/>
    </row>
    <row r="16" spans="1:7" s="202" customFormat="1" ht="15.75" customHeight="1" thickTop="1" x14ac:dyDescent="0.2">
      <c r="A16" s="2216" t="s">
        <v>1173</v>
      </c>
      <c r="B16" s="2205"/>
      <c r="C16" s="2213"/>
      <c r="D16" s="2214"/>
      <c r="E16" s="2214"/>
      <c r="F16" s="2215"/>
    </row>
    <row r="17" spans="1:11" ht="12.75" customHeight="1" thickBot="1" x14ac:dyDescent="0.25">
      <c r="A17" s="2229" t="s">
        <v>66</v>
      </c>
      <c r="B17" s="2230"/>
      <c r="C17" s="727"/>
      <c r="D17" s="585"/>
      <c r="E17" s="727"/>
      <c r="F17" s="1776">
        <f>SUM(C17+D17)-E17</f>
        <v>0</v>
      </c>
    </row>
    <row r="18" spans="1:11" ht="12.75" customHeight="1" thickTop="1" thickBot="1" x14ac:dyDescent="0.25">
      <c r="A18" s="2229" t="s">
        <v>6</v>
      </c>
      <c r="B18" s="2230"/>
      <c r="C18" s="727"/>
      <c r="D18" s="585"/>
      <c r="E18" s="727"/>
      <c r="F18" s="1776">
        <f>SUM(C18+D18)-E18</f>
        <v>0</v>
      </c>
    </row>
    <row r="19" spans="1:11" ht="12.75" customHeight="1" thickTop="1" thickBot="1" x14ac:dyDescent="0.25">
      <c r="A19" s="2229" t="s">
        <v>406</v>
      </c>
      <c r="B19" s="2230"/>
      <c r="C19" s="727"/>
      <c r="D19" s="585"/>
      <c r="E19" s="727"/>
      <c r="F19" s="1776">
        <f>SUM(C19+D19)-E19</f>
        <v>0</v>
      </c>
    </row>
    <row r="20" spans="1:11" ht="12.75" customHeight="1" thickTop="1" thickBot="1" x14ac:dyDescent="0.25">
      <c r="A20" s="2229" t="s">
        <v>468</v>
      </c>
      <c r="B20" s="2230"/>
      <c r="C20" s="727"/>
      <c r="D20" s="585"/>
      <c r="E20" s="727"/>
      <c r="F20" s="1776">
        <f>SUM(C20+D20)-E20</f>
        <v>0</v>
      </c>
    </row>
    <row r="21" spans="1:11" ht="14.25" thickTop="1" thickBot="1" x14ac:dyDescent="0.25">
      <c r="A21" s="2206" t="s">
        <v>653</v>
      </c>
      <c r="B21" s="2207"/>
      <c r="C21" s="1776">
        <f>SUM(C17:C20)</f>
        <v>0</v>
      </c>
      <c r="D21" s="1776">
        <f>SUM(D17:D20)</f>
        <v>0</v>
      </c>
      <c r="E21" s="1776">
        <f>SUM(E17:E20)</f>
        <v>0</v>
      </c>
      <c r="F21" s="1776">
        <f>SUM(F17:F20)</f>
        <v>0</v>
      </c>
      <c r="G21" s="552"/>
    </row>
    <row r="22" spans="1:11" ht="15.75" customHeight="1" thickTop="1" x14ac:dyDescent="0.2">
      <c r="A22" s="2231" t="s">
        <v>1174</v>
      </c>
      <c r="B22" s="2205"/>
      <c r="C22" s="2213"/>
      <c r="D22" s="2214"/>
      <c r="E22" s="2214"/>
      <c r="F22" s="2215"/>
    </row>
    <row r="23" spans="1:11" ht="13.5" thickBot="1" x14ac:dyDescent="0.25">
      <c r="A23" s="2219" t="s">
        <v>654</v>
      </c>
      <c r="B23" s="2220"/>
      <c r="C23" s="581"/>
      <c r="D23" s="581"/>
      <c r="E23" s="581"/>
      <c r="F23" s="1776">
        <f>SUM(C23+D23)-E23</f>
        <v>0</v>
      </c>
      <c r="G23" s="552"/>
    </row>
    <row r="24" spans="1:11" ht="15.75" customHeight="1" thickTop="1" x14ac:dyDescent="0.2">
      <c r="A24" s="2231" t="s">
        <v>1175</v>
      </c>
      <c r="B24" s="2205"/>
      <c r="C24" s="2213"/>
      <c r="D24" s="2214"/>
      <c r="E24" s="2214"/>
      <c r="F24" s="2215"/>
    </row>
    <row r="25" spans="1:11" ht="13.5" thickBot="1" x14ac:dyDescent="0.25">
      <c r="A25" s="2219" t="s">
        <v>655</v>
      </c>
      <c r="B25" s="2220"/>
      <c r="C25" s="581"/>
      <c r="D25" s="581"/>
      <c r="E25" s="581"/>
      <c r="F25" s="1776">
        <f>SUM(C25+D25)-E25</f>
        <v>0</v>
      </c>
      <c r="G25" s="552"/>
    </row>
    <row r="26" spans="1:11" ht="15.75" customHeight="1" thickTop="1" x14ac:dyDescent="0.2">
      <c r="A26" s="2204" t="s">
        <v>678</v>
      </c>
      <c r="B26" s="2205"/>
      <c r="C26" s="728"/>
      <c r="D26" s="728"/>
      <c r="E26" s="728"/>
      <c r="F26" s="729"/>
    </row>
    <row r="27" spans="1:11" ht="13.5" thickBot="1" x14ac:dyDescent="0.25">
      <c r="A27" s="2206" t="s">
        <v>1130</v>
      </c>
      <c r="B27" s="2207"/>
      <c r="C27" s="585"/>
      <c r="D27" s="585"/>
      <c r="E27" s="585"/>
      <c r="F27" s="1776">
        <f>SUM(C27+D27)-E27</f>
        <v>0</v>
      </c>
      <c r="G27" s="552"/>
    </row>
    <row r="28" spans="1:11" ht="7.5" customHeight="1" thickTop="1" x14ac:dyDescent="0.2">
      <c r="A28" s="594"/>
    </row>
    <row r="29" spans="1:11" ht="23.25" customHeight="1" x14ac:dyDescent="0.2">
      <c r="A29" s="2232" t="s">
        <v>603</v>
      </c>
      <c r="B29" s="2209"/>
      <c r="C29" s="730"/>
      <c r="D29" s="730"/>
      <c r="E29" s="730"/>
      <c r="F29" s="730"/>
      <c r="G29" s="730"/>
      <c r="H29" s="730"/>
      <c r="I29" s="730"/>
      <c r="J29" s="730"/>
    </row>
    <row r="30" spans="1:11" ht="33.75" x14ac:dyDescent="0.2">
      <c r="A30" s="1551" t="s">
        <v>1131</v>
      </c>
      <c r="B30" s="731" t="s">
        <v>1186</v>
      </c>
      <c r="C30" s="1907" t="s">
        <v>604</v>
      </c>
      <c r="D30" s="1907" t="s">
        <v>1772</v>
      </c>
      <c r="E30" s="1907" t="s">
        <v>2037</v>
      </c>
      <c r="F30" s="1907" t="s">
        <v>2038</v>
      </c>
      <c r="G30" s="1907" t="s">
        <v>2041</v>
      </c>
      <c r="H30" s="1907" t="s">
        <v>2039</v>
      </c>
      <c r="I30" s="1907" t="s">
        <v>2040</v>
      </c>
      <c r="J30" s="1908" t="s">
        <v>2</v>
      </c>
      <c r="K30" s="732"/>
    </row>
    <row r="31" spans="1:11" ht="12" customHeight="1" x14ac:dyDescent="0.2">
      <c r="A31" s="733" t="s">
        <v>2112</v>
      </c>
      <c r="B31" s="734">
        <v>39845</v>
      </c>
      <c r="C31" s="735">
        <v>2330000</v>
      </c>
      <c r="D31" s="736">
        <v>4</v>
      </c>
      <c r="E31" s="735">
        <v>545000</v>
      </c>
      <c r="F31" s="735"/>
      <c r="G31" s="735"/>
      <c r="H31" s="735">
        <v>270000</v>
      </c>
      <c r="I31" s="1777">
        <f>((E31+F31)-H31)+G31</f>
        <v>275000</v>
      </c>
      <c r="J31" s="735">
        <v>275000</v>
      </c>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t="s">
        <v>2113</v>
      </c>
      <c r="B33" s="734">
        <v>41487</v>
      </c>
      <c r="C33" s="735">
        <v>516000</v>
      </c>
      <c r="D33" s="736">
        <v>7</v>
      </c>
      <c r="E33" s="735">
        <v>400000</v>
      </c>
      <c r="F33" s="735"/>
      <c r="G33" s="735"/>
      <c r="H33" s="735">
        <v>44000</v>
      </c>
      <c r="I33" s="1777">
        <f t="shared" ref="I33:I48" si="1">((E33+F33)-H33)+G33</f>
        <v>356000</v>
      </c>
      <c r="J33" s="735">
        <v>356000</v>
      </c>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t="s">
        <v>2114</v>
      </c>
      <c r="B35" s="734">
        <v>41487</v>
      </c>
      <c r="C35" s="739">
        <v>17680</v>
      </c>
      <c r="D35" s="736">
        <v>8</v>
      </c>
      <c r="E35" s="739">
        <v>3536</v>
      </c>
      <c r="F35" s="739"/>
      <c r="G35" s="739"/>
      <c r="H35" s="739">
        <v>3536</v>
      </c>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t="s">
        <v>2115</v>
      </c>
      <c r="B37" s="734">
        <v>42367</v>
      </c>
      <c r="C37" s="467">
        <v>750000</v>
      </c>
      <c r="D37" s="741">
        <v>1</v>
      </c>
      <c r="E37" s="467">
        <v>515000</v>
      </c>
      <c r="F37" s="467"/>
      <c r="G37" s="467"/>
      <c r="H37" s="467">
        <v>255000</v>
      </c>
      <c r="I37" s="1777">
        <f t="shared" si="1"/>
        <v>260000</v>
      </c>
      <c r="J37" s="467">
        <v>260000</v>
      </c>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t="s">
        <v>2116</v>
      </c>
      <c r="B39" s="734">
        <v>42195</v>
      </c>
      <c r="C39" s="735">
        <v>4485000</v>
      </c>
      <c r="D39" s="742">
        <v>4</v>
      </c>
      <c r="E39" s="743">
        <v>4305000</v>
      </c>
      <c r="F39" s="743"/>
      <c r="G39" s="743"/>
      <c r="H39" s="743">
        <v>190000</v>
      </c>
      <c r="I39" s="1777">
        <f t="shared" si="1"/>
        <v>4115000</v>
      </c>
      <c r="J39" s="744">
        <v>4115000</v>
      </c>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8098680</v>
      </c>
      <c r="D49" s="746"/>
      <c r="E49" s="1777">
        <f t="shared" ref="E49:J49" si="2">SUM(E31:E48)</f>
        <v>5768536</v>
      </c>
      <c r="F49" s="1777">
        <f t="shared" si="2"/>
        <v>0</v>
      </c>
      <c r="G49" s="1777">
        <f t="shared" si="2"/>
        <v>0</v>
      </c>
      <c r="H49" s="1777">
        <f t="shared" si="2"/>
        <v>762536</v>
      </c>
      <c r="I49" s="1777">
        <f t="shared" si="2"/>
        <v>5006000</v>
      </c>
      <c r="J49" s="1777">
        <f t="shared" si="2"/>
        <v>5006000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3" t="s">
        <v>605</v>
      </c>
      <c r="C52" s="2224"/>
      <c r="D52" s="2224"/>
      <c r="E52" s="750" t="s">
        <v>900</v>
      </c>
      <c r="F52" s="2225" t="s">
        <v>2117</v>
      </c>
      <c r="G52" s="2226"/>
      <c r="H52" s="737"/>
      <c r="I52" s="737"/>
      <c r="J52" s="747"/>
    </row>
    <row r="53" spans="1:11" ht="11.25" customHeight="1" x14ac:dyDescent="0.2">
      <c r="A53" s="751" t="s">
        <v>969</v>
      </c>
      <c r="B53" s="752" t="s">
        <v>1008</v>
      </c>
      <c r="C53" s="747"/>
      <c r="D53" s="738"/>
      <c r="E53" s="750" t="s">
        <v>518</v>
      </c>
      <c r="F53" s="2227" t="s">
        <v>2118</v>
      </c>
      <c r="G53" s="2228"/>
      <c r="H53" s="737"/>
      <c r="I53" s="737"/>
      <c r="J53" s="747"/>
    </row>
    <row r="54" spans="1:11" ht="11.25" customHeight="1" x14ac:dyDescent="0.2">
      <c r="A54" s="753" t="s">
        <v>970</v>
      </c>
      <c r="B54" s="748" t="s">
        <v>1009</v>
      </c>
      <c r="C54" s="747"/>
      <c r="D54" s="738"/>
      <c r="E54" s="750" t="s">
        <v>519</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U34" sqref="U3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911</v>
      </c>
      <c r="B1" s="2258"/>
      <c r="C1" s="2258"/>
      <c r="D1" s="2258"/>
      <c r="E1" s="2258"/>
      <c r="F1" s="2258"/>
      <c r="G1" s="2259"/>
      <c r="H1" s="1552"/>
      <c r="I1" s="761"/>
      <c r="J1" s="433"/>
    </row>
    <row r="2" spans="1:11" ht="26.25" x14ac:dyDescent="0.2">
      <c r="A2" s="2236" t="s">
        <v>1776</v>
      </c>
      <c r="B2" s="2237"/>
      <c r="C2" s="2237"/>
      <c r="D2" s="2237"/>
      <c r="E2" s="2238"/>
      <c r="F2" s="762" t="s">
        <v>960</v>
      </c>
      <c r="G2" s="763" t="s">
        <v>1773</v>
      </c>
      <c r="H2" s="763" t="s">
        <v>430</v>
      </c>
      <c r="I2" s="763" t="s">
        <v>1220</v>
      </c>
      <c r="J2" s="763" t="s">
        <v>1916</v>
      </c>
      <c r="K2" s="763" t="s">
        <v>140</v>
      </c>
    </row>
    <row r="3" spans="1:11" x14ac:dyDescent="0.2">
      <c r="A3" s="2239" t="s">
        <v>1698</v>
      </c>
      <c r="B3" s="2240"/>
      <c r="C3" s="2240"/>
      <c r="D3" s="2240"/>
      <c r="E3" s="2241"/>
      <c r="F3" s="764"/>
      <c r="G3" s="765"/>
      <c r="H3" s="765"/>
      <c r="I3" s="765"/>
      <c r="J3" s="766">
        <v>500165</v>
      </c>
      <c r="K3" s="766"/>
    </row>
    <row r="4" spans="1:11" x14ac:dyDescent="0.2">
      <c r="A4" s="2242" t="s">
        <v>387</v>
      </c>
      <c r="B4" s="2243"/>
      <c r="C4" s="2243"/>
      <c r="D4" s="2243"/>
      <c r="E4" s="2224"/>
      <c r="F4" s="767"/>
      <c r="G4" s="768"/>
      <c r="H4" s="769"/>
      <c r="I4" s="768"/>
      <c r="J4" s="770"/>
      <c r="K4" s="770"/>
    </row>
    <row r="5" spans="1:11" x14ac:dyDescent="0.2">
      <c r="A5" s="2260" t="s">
        <v>1129</v>
      </c>
      <c r="B5" s="2233"/>
      <c r="C5" s="2233"/>
      <c r="D5" s="2233"/>
      <c r="E5" s="2261"/>
      <c r="F5" s="771" t="s">
        <v>903</v>
      </c>
      <c r="G5" s="772"/>
      <c r="H5" s="765">
        <v>51688</v>
      </c>
      <c r="I5" s="773"/>
      <c r="J5" s="774"/>
      <c r="K5" s="774"/>
    </row>
    <row r="6" spans="1:11" x14ac:dyDescent="0.2">
      <c r="A6" s="775" t="s">
        <v>744</v>
      </c>
      <c r="B6" s="776"/>
      <c r="C6" s="776"/>
      <c r="D6" s="776"/>
      <c r="E6" s="777"/>
      <c r="F6" s="778" t="s">
        <v>904</v>
      </c>
      <c r="G6" s="765"/>
      <c r="H6" s="765"/>
      <c r="I6" s="765"/>
      <c r="J6" s="766">
        <v>1291</v>
      </c>
      <c r="K6" s="766"/>
    </row>
    <row r="7" spans="1:11" x14ac:dyDescent="0.2">
      <c r="A7" s="779" t="s">
        <v>264</v>
      </c>
      <c r="B7" s="780"/>
      <c r="C7" s="780"/>
      <c r="D7" s="780"/>
      <c r="E7" s="781"/>
      <c r="F7" s="771" t="s">
        <v>905</v>
      </c>
      <c r="G7" s="768"/>
      <c r="H7" s="768"/>
      <c r="I7" s="768"/>
      <c r="J7" s="782"/>
      <c r="K7" s="766">
        <v>2648</v>
      </c>
    </row>
    <row r="8" spans="1:11" x14ac:dyDescent="0.2">
      <c r="A8" s="779" t="s">
        <v>363</v>
      </c>
      <c r="B8" s="780"/>
      <c r="C8" s="780"/>
      <c r="D8" s="780"/>
      <c r="E8" s="781"/>
      <c r="F8" s="771" t="s">
        <v>906</v>
      </c>
      <c r="G8" s="783"/>
      <c r="H8" s="783"/>
      <c r="I8" s="783"/>
      <c r="J8" s="766">
        <v>604317</v>
      </c>
      <c r="K8" s="770"/>
    </row>
    <row r="9" spans="1:11" x14ac:dyDescent="0.2">
      <c r="A9" s="779" t="s">
        <v>140</v>
      </c>
      <c r="B9" s="780"/>
      <c r="C9" s="780"/>
      <c r="D9" s="780"/>
      <c r="E9" s="781"/>
      <c r="F9" s="778" t="s">
        <v>908</v>
      </c>
      <c r="G9" s="783"/>
      <c r="H9" s="772"/>
      <c r="I9" s="772"/>
      <c r="J9" s="782"/>
      <c r="K9" s="766">
        <v>30285</v>
      </c>
    </row>
    <row r="10" spans="1:11" x14ac:dyDescent="0.2">
      <c r="A10" s="2260" t="s">
        <v>1917</v>
      </c>
      <c r="B10" s="2233"/>
      <c r="C10" s="2233"/>
      <c r="D10" s="2233"/>
      <c r="E10" s="2262"/>
      <c r="F10" s="784" t="s">
        <v>917</v>
      </c>
      <c r="G10" s="783"/>
      <c r="H10" s="785"/>
      <c r="I10" s="765"/>
      <c r="J10" s="766">
        <v>410000</v>
      </c>
      <c r="K10" s="766"/>
    </row>
    <row r="11" spans="1:11" x14ac:dyDescent="0.2">
      <c r="A11" s="2260" t="s">
        <v>162</v>
      </c>
      <c r="B11" s="2233"/>
      <c r="C11" s="2233"/>
      <c r="D11" s="2233"/>
      <c r="E11" s="2261"/>
      <c r="F11" s="771" t="s">
        <v>907</v>
      </c>
      <c r="G11" s="772"/>
      <c r="H11" s="765"/>
      <c r="I11" s="765"/>
      <c r="J11" s="766"/>
      <c r="K11" s="774"/>
    </row>
    <row r="12" spans="1:11" ht="13.5" thickBot="1" x14ac:dyDescent="0.25">
      <c r="A12" s="2250" t="s">
        <v>961</v>
      </c>
      <c r="B12" s="2251"/>
      <c r="C12" s="2251"/>
      <c r="D12" s="2251"/>
      <c r="E12" s="2252"/>
      <c r="F12" s="1778"/>
      <c r="G12" s="1779">
        <f>SUM(G5:G11)</f>
        <v>0</v>
      </c>
      <c r="H12" s="1779">
        <f>SUM(H5:H11)</f>
        <v>51688</v>
      </c>
      <c r="I12" s="1779">
        <f>SUM(I5:I11)</f>
        <v>0</v>
      </c>
      <c r="J12" s="1779">
        <f>SUM(J5:J11)</f>
        <v>1015608</v>
      </c>
      <c r="K12" s="1779">
        <f>SUM(K5:K11)</f>
        <v>32933</v>
      </c>
    </row>
    <row r="13" spans="1:11" ht="13.5" thickTop="1" x14ac:dyDescent="0.2">
      <c r="A13" s="2244" t="s">
        <v>388</v>
      </c>
      <c r="B13" s="2245"/>
      <c r="C13" s="2245"/>
      <c r="D13" s="2245"/>
      <c r="E13" s="2246"/>
      <c r="F13" s="786"/>
      <c r="G13" s="787"/>
      <c r="H13" s="788"/>
      <c r="I13" s="789"/>
      <c r="J13" s="789"/>
      <c r="K13" s="789"/>
    </row>
    <row r="14" spans="1:11" x14ac:dyDescent="0.2">
      <c r="A14" s="2266" t="s">
        <v>476</v>
      </c>
      <c r="B14" s="2266"/>
      <c r="C14" s="2266"/>
      <c r="D14" s="2266"/>
      <c r="E14" s="2267"/>
      <c r="F14" s="790" t="s">
        <v>909</v>
      </c>
      <c r="G14" s="783"/>
      <c r="H14" s="765"/>
      <c r="I14" s="772"/>
      <c r="J14" s="774"/>
      <c r="K14" s="766">
        <v>32933</v>
      </c>
    </row>
    <row r="15" spans="1:11" x14ac:dyDescent="0.2">
      <c r="A15" s="2233" t="s">
        <v>4</v>
      </c>
      <c r="B15" s="2233"/>
      <c r="C15" s="2233"/>
      <c r="D15" s="2233"/>
      <c r="E15" s="2261"/>
      <c r="F15" s="790" t="s">
        <v>910</v>
      </c>
      <c r="G15" s="772"/>
      <c r="H15" s="765"/>
      <c r="I15" s="765"/>
      <c r="J15" s="766">
        <v>1368556</v>
      </c>
      <c r="K15" s="766"/>
    </row>
    <row r="16" spans="1:11" x14ac:dyDescent="0.2">
      <c r="A16" s="2233" t="s">
        <v>316</v>
      </c>
      <c r="B16" s="2233"/>
      <c r="C16" s="2233"/>
      <c r="D16" s="2233"/>
      <c r="E16" s="2261"/>
      <c r="F16" s="790" t="s">
        <v>980</v>
      </c>
      <c r="G16" s="773"/>
      <c r="H16" s="768"/>
      <c r="I16" s="768"/>
      <c r="J16" s="770"/>
      <c r="K16" s="770"/>
    </row>
    <row r="17" spans="1:11" x14ac:dyDescent="0.2">
      <c r="A17" s="2255" t="s">
        <v>992</v>
      </c>
      <c r="B17" s="2255"/>
      <c r="C17" s="2255"/>
      <c r="D17" s="2255"/>
      <c r="E17" s="2256"/>
      <c r="F17" s="791"/>
      <c r="G17" s="792"/>
      <c r="H17" s="793"/>
      <c r="I17" s="793"/>
      <c r="J17" s="794"/>
      <c r="K17" s="795"/>
    </row>
    <row r="18" spans="1:11" x14ac:dyDescent="0.2">
      <c r="A18" s="2247" t="s">
        <v>386</v>
      </c>
      <c r="B18" s="2248"/>
      <c r="C18" s="2248"/>
      <c r="D18" s="2248"/>
      <c r="E18" s="2249"/>
      <c r="F18" s="790" t="s">
        <v>989</v>
      </c>
      <c r="G18" s="783"/>
      <c r="H18" s="783"/>
      <c r="I18" s="783"/>
      <c r="J18" s="766"/>
      <c r="K18" s="796"/>
    </row>
    <row r="19" spans="1:11" ht="21.75" customHeight="1" x14ac:dyDescent="0.2">
      <c r="A19" s="2268" t="s">
        <v>1913</v>
      </c>
      <c r="B19" s="2268"/>
      <c r="C19" s="2268"/>
      <c r="D19" s="2268"/>
      <c r="E19" s="2269"/>
      <c r="F19" s="790" t="s">
        <v>990</v>
      </c>
      <c r="G19" s="783"/>
      <c r="H19" s="783"/>
      <c r="I19" s="783"/>
      <c r="J19" s="766"/>
      <c r="K19" s="796"/>
    </row>
    <row r="20" spans="1:11" x14ac:dyDescent="0.2">
      <c r="A20" s="2247" t="s">
        <v>1918</v>
      </c>
      <c r="B20" s="2248"/>
      <c r="C20" s="2248"/>
      <c r="D20" s="2248"/>
      <c r="E20" s="2249"/>
      <c r="F20" s="790" t="s">
        <v>991</v>
      </c>
      <c r="G20" s="783"/>
      <c r="H20" s="783"/>
      <c r="I20" s="783"/>
      <c r="J20" s="766"/>
      <c r="K20" s="796"/>
    </row>
    <row r="21" spans="1:11" ht="13.5" thickBot="1" x14ac:dyDescent="0.25">
      <c r="A21" s="2253" t="s">
        <v>659</v>
      </c>
      <c r="B21" s="2253"/>
      <c r="C21" s="2253"/>
      <c r="D21" s="2253"/>
      <c r="E21" s="2253"/>
      <c r="F21" s="1780"/>
      <c r="G21" s="793"/>
      <c r="H21" s="797"/>
      <c r="I21" s="797"/>
      <c r="J21" s="1781">
        <f>SUM(J18:J20)</f>
        <v>0</v>
      </c>
      <c r="K21" s="794"/>
    </row>
    <row r="22" spans="1:11" ht="13.5" thickTop="1" x14ac:dyDescent="0.2">
      <c r="A22" s="2233" t="s">
        <v>1919</v>
      </c>
      <c r="B22" s="2233"/>
      <c r="C22" s="2233"/>
      <c r="D22" s="2233"/>
      <c r="E22" s="2261"/>
      <c r="F22" s="790" t="s">
        <v>917</v>
      </c>
      <c r="G22" s="783"/>
      <c r="H22" s="765">
        <v>51688</v>
      </c>
      <c r="I22" s="765"/>
      <c r="J22" s="798"/>
      <c r="K22" s="766"/>
    </row>
    <row r="23" spans="1:11" ht="13.5" thickBot="1" x14ac:dyDescent="0.25">
      <c r="A23" s="2254" t="s">
        <v>962</v>
      </c>
      <c r="B23" s="2253"/>
      <c r="C23" s="2253"/>
      <c r="D23" s="2253"/>
      <c r="E23" s="2253"/>
      <c r="F23" s="1782"/>
      <c r="G23" s="1779">
        <f>SUM(G14:G16,G21,G22)</f>
        <v>0</v>
      </c>
      <c r="H23" s="1779">
        <f>SUM(H14:H16,H21,H22)</f>
        <v>51688</v>
      </c>
      <c r="I23" s="1779">
        <f>SUM(I14:I16,I21,I22)</f>
        <v>0</v>
      </c>
      <c r="J23" s="1779">
        <f>SUM(J14:J16,J21,J22)</f>
        <v>1368556</v>
      </c>
      <c r="K23" s="1779">
        <f>SUM(K14:K16,K21,K22)</f>
        <v>32933</v>
      </c>
    </row>
    <row r="24" spans="1:11" ht="14.25" thickTop="1" thickBot="1" x14ac:dyDescent="0.25">
      <c r="A24" s="2254" t="s">
        <v>2023</v>
      </c>
      <c r="B24" s="2253"/>
      <c r="C24" s="2253"/>
      <c r="D24" s="2253"/>
      <c r="E24" s="2253"/>
      <c r="F24" s="1783"/>
      <c r="G24" s="1784">
        <f>SUM(G3,G12)-G23</f>
        <v>0</v>
      </c>
      <c r="H24" s="1784">
        <f>SUM(H3,H12)-H23</f>
        <v>0</v>
      </c>
      <c r="I24" s="1784">
        <f>SUM(I3,I12)-I23</f>
        <v>0</v>
      </c>
      <c r="J24" s="1784">
        <f>SUM(J3,J12)-J23</f>
        <v>147217</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147217</v>
      </c>
      <c r="K26" s="1779">
        <f>K24-K25</f>
        <v>0</v>
      </c>
    </row>
    <row r="27" spans="1:11" ht="5.25" customHeight="1" thickTop="1" x14ac:dyDescent="0.2">
      <c r="I27" s="202"/>
      <c r="J27" s="202"/>
    </row>
    <row r="28" spans="1:11" ht="29.25" customHeight="1" x14ac:dyDescent="0.2">
      <c r="A28" s="1902" t="s">
        <v>2033</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t="s">
        <v>2074</v>
      </c>
      <c r="E30" s="809" t="s">
        <v>792</v>
      </c>
      <c r="F30" s="202"/>
      <c r="G30" s="806"/>
    </row>
    <row r="31" spans="1:11" x14ac:dyDescent="0.2">
      <c r="A31" s="810"/>
      <c r="D31" s="237"/>
      <c r="E31" s="811" t="s">
        <v>793</v>
      </c>
      <c r="F31" s="812" t="s">
        <v>560</v>
      </c>
      <c r="G31" s="765"/>
      <c r="H31" s="2263"/>
      <c r="I31" s="2264"/>
      <c r="J31" s="2264"/>
      <c r="K31" s="2264"/>
    </row>
    <row r="32" spans="1:11" x14ac:dyDescent="0.2">
      <c r="A32" s="810"/>
      <c r="B32" s="237"/>
      <c r="C32" s="237"/>
      <c r="D32" s="237"/>
      <c r="E32" s="806"/>
      <c r="F32" s="812" t="s">
        <v>561</v>
      </c>
      <c r="G32" s="765"/>
      <c r="H32" s="2265"/>
      <c r="I32" s="2264"/>
      <c r="J32" s="2264"/>
      <c r="K32" s="2264"/>
    </row>
    <row r="33" spans="1:11" ht="1.5" customHeight="1" x14ac:dyDescent="0.2">
      <c r="A33" s="813" t="s">
        <v>1231</v>
      </c>
      <c r="B33" s="364"/>
      <c r="C33" s="364"/>
      <c r="D33" s="364"/>
      <c r="E33" s="364"/>
      <c r="F33" s="364"/>
      <c r="G33" s="814"/>
      <c r="H33" s="2265"/>
      <c r="I33" s="2264"/>
      <c r="J33" s="2264"/>
      <c r="K33" s="2264"/>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3" t="s">
        <v>562</v>
      </c>
      <c r="B41" s="2234"/>
      <c r="C41" s="2234"/>
      <c r="D41" s="2234"/>
      <c r="E41" s="2234"/>
      <c r="F41" s="223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3" colorId="8" zoomScale="110" zoomScaleNormal="110" workbookViewId="0">
      <selection activeCell="U34" sqref="U3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2032</v>
      </c>
      <c r="B1" s="2273"/>
      <c r="C1" s="2274"/>
      <c r="D1" s="827"/>
      <c r="E1" s="828"/>
      <c r="F1" s="828"/>
      <c r="G1" s="829"/>
      <c r="H1" s="830"/>
      <c r="I1" s="831"/>
      <c r="J1" s="2270"/>
      <c r="K1" s="2271"/>
      <c r="L1" s="2271"/>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441492</v>
      </c>
      <c r="D5" s="842">
        <v>26611</v>
      </c>
      <c r="E5" s="842"/>
      <c r="F5" s="1781">
        <f>(C5+D5)-E5</f>
        <v>468103</v>
      </c>
      <c r="G5" s="838"/>
      <c r="H5" s="843"/>
      <c r="I5" s="843"/>
      <c r="J5" s="843"/>
      <c r="K5" s="794"/>
      <c r="L5" s="1790">
        <f>F5-K5</f>
        <v>468103</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7567245</v>
      </c>
      <c r="D8" s="845"/>
      <c r="E8" s="845"/>
      <c r="F8" s="1781">
        <f>(C8+D8)-E8</f>
        <v>7567245</v>
      </c>
      <c r="G8" s="844">
        <v>50</v>
      </c>
      <c r="H8" s="766">
        <v>6096717</v>
      </c>
      <c r="I8" s="766">
        <v>54507</v>
      </c>
      <c r="J8" s="766"/>
      <c r="K8" s="1790">
        <f>(H8+I8)-J8</f>
        <v>6151224</v>
      </c>
      <c r="L8" s="1790">
        <f>F8-K8</f>
        <v>1416021</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9608557</v>
      </c>
      <c r="D10" s="847">
        <v>2554717</v>
      </c>
      <c r="E10" s="847">
        <v>166644</v>
      </c>
      <c r="F10" s="1785">
        <f>(C10+D10)-E10</f>
        <v>11996630</v>
      </c>
      <c r="G10" s="844">
        <v>20</v>
      </c>
      <c r="H10" s="848">
        <v>3029648</v>
      </c>
      <c r="I10" s="848">
        <v>546954</v>
      </c>
      <c r="J10" s="848">
        <v>166644</v>
      </c>
      <c r="K10" s="1790">
        <f>(H10+I10)-J10</f>
        <v>3409958</v>
      </c>
      <c r="L10" s="1790">
        <f>F10-K10</f>
        <v>8586672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2070902</v>
      </c>
      <c r="D12" s="845">
        <v>226408</v>
      </c>
      <c r="E12" s="845">
        <v>114098</v>
      </c>
      <c r="F12" s="1781">
        <f>(C12+D12)-E12</f>
        <v>2183212</v>
      </c>
      <c r="G12" s="844">
        <v>10</v>
      </c>
      <c r="H12" s="766">
        <v>1229618</v>
      </c>
      <c r="I12" s="766">
        <v>198158</v>
      </c>
      <c r="J12" s="766">
        <v>114098</v>
      </c>
      <c r="K12" s="1790">
        <f>(H12+I12)-J12</f>
        <v>1313678</v>
      </c>
      <c r="L12" s="1790">
        <f>F12-K12</f>
        <v>869534</v>
      </c>
    </row>
    <row r="13" spans="1:14" ht="14.25" thickTop="1" thickBot="1" x14ac:dyDescent="0.25">
      <c r="A13" s="849" t="s">
        <v>1184</v>
      </c>
      <c r="B13" s="841">
        <v>252</v>
      </c>
      <c r="C13" s="845">
        <v>286653</v>
      </c>
      <c r="D13" s="845">
        <v>1605</v>
      </c>
      <c r="E13" s="845">
        <v>125828</v>
      </c>
      <c r="F13" s="1781">
        <f>(C13+D13)-E13</f>
        <v>162430</v>
      </c>
      <c r="G13" s="844">
        <v>5</v>
      </c>
      <c r="H13" s="766">
        <v>274658</v>
      </c>
      <c r="I13" s="766">
        <v>5923</v>
      </c>
      <c r="J13" s="766">
        <v>125828</v>
      </c>
      <c r="K13" s="1790">
        <f>(H13+I13)-J13</f>
        <v>154753</v>
      </c>
      <c r="L13" s="1790">
        <f>F13-K13</f>
        <v>7677</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19974849</v>
      </c>
      <c r="D16" s="1781">
        <f>SUM(D3,D5:D6,D8:D10,D12:D15)</f>
        <v>2809341</v>
      </c>
      <c r="E16" s="1781">
        <f>SUM(E3,E5:E6,E8:E10,E12:E15)</f>
        <v>406570</v>
      </c>
      <c r="F16" s="1781">
        <f>SUM(F3,F5:F6,F8:F10,F12:F15)</f>
        <v>22377620</v>
      </c>
      <c r="G16" s="844"/>
      <c r="H16" s="1781">
        <f>SUM(H3,H6,H8:H10,H12:H14,)</f>
        <v>10630641</v>
      </c>
      <c r="I16" s="1781">
        <f>SUM(I3,I6,I8:I10,I12:I14,)</f>
        <v>805542</v>
      </c>
      <c r="J16" s="1781">
        <f>SUM(J3,J6,J8:J10,J12:J14,)</f>
        <v>406570</v>
      </c>
      <c r="K16" s="1781">
        <f>(H16+I16)-J16</f>
        <v>11029613</v>
      </c>
      <c r="L16" s="1781">
        <f>F16-K16</f>
        <v>11348007</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805542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2" activePane="bottomLeft" state="frozen"/>
      <selection activeCell="B7" sqref="B7"/>
      <selection pane="bottomLeft" activeCell="B7" sqref="B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1699</v>
      </c>
      <c r="B1" s="2279"/>
      <c r="C1" s="2279"/>
      <c r="D1" s="2279"/>
      <c r="E1" s="2279"/>
      <c r="F1" s="2280"/>
      <c r="G1" s="856"/>
    </row>
    <row r="2" spans="1:7" ht="15" customHeight="1" thickBot="1" x14ac:dyDescent="0.25">
      <c r="A2" s="2281" t="s">
        <v>498</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4"/>
      <c r="B5" s="2285"/>
      <c r="C5" s="2285"/>
      <c r="D5" s="2285"/>
      <c r="E5" s="2285"/>
      <c r="F5" s="2285"/>
    </row>
    <row r="6" spans="1:7" ht="13.5" customHeight="1" thickBot="1" x14ac:dyDescent="0.25">
      <c r="A6" s="2275" t="s">
        <v>1166</v>
      </c>
      <c r="B6" s="2276"/>
      <c r="C6" s="2276"/>
      <c r="D6" s="2276"/>
      <c r="E6" s="2276"/>
      <c r="F6" s="2277"/>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11365992</v>
      </c>
      <c r="G8" s="866"/>
    </row>
    <row r="9" spans="1:7" x14ac:dyDescent="0.2">
      <c r="A9" s="870" t="s">
        <v>480</v>
      </c>
      <c r="B9" s="871" t="s">
        <v>1986</v>
      </c>
      <c r="C9" s="872"/>
      <c r="D9" s="870" t="s">
        <v>522</v>
      </c>
      <c r="E9" s="869"/>
      <c r="F9" s="1932">
        <f>'Expenditures 15-22'!K151</f>
        <v>842764</v>
      </c>
      <c r="G9" s="873"/>
    </row>
    <row r="10" spans="1:7" x14ac:dyDescent="0.2">
      <c r="A10" s="870" t="s">
        <v>520</v>
      </c>
      <c r="B10" s="871" t="s">
        <v>1987</v>
      </c>
      <c r="C10" s="872"/>
      <c r="D10" s="870" t="s">
        <v>522</v>
      </c>
      <c r="E10" s="869"/>
      <c r="F10" s="1932">
        <f>'Expenditures 15-22'!K174</f>
        <v>963118</v>
      </c>
      <c r="G10" s="873"/>
    </row>
    <row r="11" spans="1:7" x14ac:dyDescent="0.2">
      <c r="A11" s="870" t="s">
        <v>481</v>
      </c>
      <c r="B11" s="871" t="s">
        <v>1988</v>
      </c>
      <c r="C11" s="872"/>
      <c r="D11" s="870" t="s">
        <v>522</v>
      </c>
      <c r="E11" s="869"/>
      <c r="F11" s="1932">
        <f>'Expenditures 15-22'!K210</f>
        <v>990695</v>
      </c>
      <c r="G11" s="873"/>
    </row>
    <row r="12" spans="1:7" x14ac:dyDescent="0.2">
      <c r="A12" s="870" t="s">
        <v>482</v>
      </c>
      <c r="B12" s="871" t="s">
        <v>1989</v>
      </c>
      <c r="C12" s="872"/>
      <c r="D12" s="870" t="s">
        <v>522</v>
      </c>
      <c r="E12" s="869"/>
      <c r="F12" s="1932">
        <f>'Expenditures 15-22'!K295</f>
        <v>482896</v>
      </c>
      <c r="G12" s="873"/>
    </row>
    <row r="13" spans="1:7" x14ac:dyDescent="0.2">
      <c r="A13" s="870" t="s">
        <v>108</v>
      </c>
      <c r="B13" s="871" t="s">
        <v>1990</v>
      </c>
      <c r="C13" s="872"/>
      <c r="D13" s="870" t="s">
        <v>522</v>
      </c>
      <c r="E13" s="869"/>
      <c r="F13" s="1932">
        <f>'Expenditures 15-22'!K342</f>
        <v>896585</v>
      </c>
      <c r="G13" s="874"/>
    </row>
    <row r="14" spans="1:7" ht="12" customHeight="1" thickBot="1" x14ac:dyDescent="0.25">
      <c r="A14" s="1791"/>
      <c r="B14" s="1792"/>
      <c r="C14" s="1793"/>
      <c r="D14" s="1794" t="s">
        <v>522</v>
      </c>
      <c r="E14" s="1795" t="s">
        <v>1015</v>
      </c>
      <c r="F14" s="1796">
        <f>SUM(F8:F13)</f>
        <v>15542050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286648</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272162</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38048</v>
      </c>
      <c r="G52" s="866"/>
    </row>
    <row r="53" spans="1:7" x14ac:dyDescent="0.2">
      <c r="A53" s="870" t="s">
        <v>479</v>
      </c>
      <c r="B53" s="870" t="s">
        <v>1551</v>
      </c>
      <c r="C53" s="890">
        <f>'Expenditures 15-22'!B102</f>
        <v>4000</v>
      </c>
      <c r="D53" s="889" t="str">
        <f>'Expenditures 15-22'!A102</f>
        <v>Total Payments to Other Govt Units</v>
      </c>
      <c r="E53" s="869"/>
      <c r="F53" s="1936">
        <f>'Expenditures 15-22'!K102</f>
        <v>464086</v>
      </c>
      <c r="G53" s="866"/>
    </row>
    <row r="54" spans="1:7" x14ac:dyDescent="0.2">
      <c r="A54" s="870" t="s">
        <v>479</v>
      </c>
      <c r="B54" s="870" t="s">
        <v>1552</v>
      </c>
      <c r="C54" s="890" t="s">
        <v>1039</v>
      </c>
      <c r="D54" s="886" t="s">
        <v>1157</v>
      </c>
      <c r="E54" s="869"/>
      <c r="F54" s="1936">
        <f>'Expenditures 15-22'!G114</f>
        <v>147980</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6">
        <f>'Expenditures 15-22'!K139</f>
        <v>0</v>
      </c>
      <c r="G57" s="866"/>
    </row>
    <row r="58" spans="1:7" x14ac:dyDescent="0.2">
      <c r="A58" s="870" t="s">
        <v>480</v>
      </c>
      <c r="B58" s="870" t="s">
        <v>1992</v>
      </c>
      <c r="C58" s="887" t="s">
        <v>1039</v>
      </c>
      <c r="D58" s="886" t="s">
        <v>1157</v>
      </c>
      <c r="E58" s="869"/>
      <c r="F58" s="1938">
        <f>'Expenditures 15-22'!G151</f>
        <v>90042</v>
      </c>
      <c r="G58" s="866"/>
    </row>
    <row r="59" spans="1:7" x14ac:dyDescent="0.2">
      <c r="A59" s="894" t="s">
        <v>480</v>
      </c>
      <c r="B59" s="857" t="s">
        <v>1993</v>
      </c>
      <c r="C59" s="895" t="s">
        <v>1039</v>
      </c>
      <c r="D59" s="857" t="s">
        <v>309</v>
      </c>
      <c r="F59" s="1939">
        <f>'Expenditures 15-22'!I151</f>
        <v>0</v>
      </c>
      <c r="G59" s="866"/>
    </row>
    <row r="60" spans="1:7" x14ac:dyDescent="0.2">
      <c r="A60" s="894" t="s">
        <v>520</v>
      </c>
      <c r="B60" s="857" t="s">
        <v>1994</v>
      </c>
      <c r="C60" s="895">
        <v>4000</v>
      </c>
      <c r="D60" s="857" t="s">
        <v>330</v>
      </c>
      <c r="F60" s="1937">
        <f>'Expenditures 15-22'!K160</f>
        <v>0</v>
      </c>
      <c r="G60" s="866"/>
    </row>
    <row r="61" spans="1:7" x14ac:dyDescent="0.2">
      <c r="A61" s="896" t="s">
        <v>520</v>
      </c>
      <c r="B61" s="896" t="s">
        <v>1995</v>
      </c>
      <c r="C61" s="897" t="str">
        <f>'Expenditures 15-22'!B170</f>
        <v>5300</v>
      </c>
      <c r="D61" s="898" t="s">
        <v>329</v>
      </c>
      <c r="E61" s="880"/>
      <c r="F61" s="1936">
        <f>'Expenditures 15-22'!K170</f>
        <v>759000</v>
      </c>
      <c r="G61" s="866"/>
    </row>
    <row r="62" spans="1:7" x14ac:dyDescent="0.2">
      <c r="A62" s="870" t="s">
        <v>481</v>
      </c>
      <c r="B62" s="870" t="s">
        <v>1996</v>
      </c>
      <c r="C62" s="887">
        <f>'Expenditures 15-22'!B185</f>
        <v>3000</v>
      </c>
      <c r="D62" s="877" t="s">
        <v>469</v>
      </c>
      <c r="E62" s="869"/>
      <c r="F62" s="1936">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6">
        <f>'Expenditures 15-22'!K196</f>
        <v>115742</v>
      </c>
      <c r="G63" s="866"/>
    </row>
    <row r="64" spans="1:7" x14ac:dyDescent="0.2">
      <c r="A64" s="896" t="s">
        <v>481</v>
      </c>
      <c r="B64" s="896" t="s">
        <v>1998</v>
      </c>
      <c r="C64" s="897" t="str">
        <f>'Expenditures 15-22'!B206</f>
        <v>5300</v>
      </c>
      <c r="D64" s="893" t="s">
        <v>329</v>
      </c>
      <c r="E64" s="869"/>
      <c r="F64" s="1936">
        <f>'Expenditures 15-22'!K206</f>
        <v>0</v>
      </c>
      <c r="G64" s="866"/>
    </row>
    <row r="65" spans="1:8" x14ac:dyDescent="0.2">
      <c r="A65" s="870" t="s">
        <v>481</v>
      </c>
      <c r="B65" s="870" t="s">
        <v>1999</v>
      </c>
      <c r="C65" s="887" t="s">
        <v>1039</v>
      </c>
      <c r="D65" s="886" t="s">
        <v>1157</v>
      </c>
      <c r="E65" s="869"/>
      <c r="F65" s="1936">
        <f>'Expenditures 15-22'!G210</f>
        <v>1605</v>
      </c>
      <c r="G65" s="866"/>
    </row>
    <row r="66" spans="1:8" x14ac:dyDescent="0.2">
      <c r="A66" s="870" t="s">
        <v>481</v>
      </c>
      <c r="B66" s="870" t="s">
        <v>2000</v>
      </c>
      <c r="C66" s="887" t="s">
        <v>1039</v>
      </c>
      <c r="D66" s="886" t="s">
        <v>309</v>
      </c>
      <c r="E66" s="869"/>
      <c r="F66" s="1936">
        <f>'Expenditures 15-22'!I210</f>
        <v>0</v>
      </c>
      <c r="G66" s="866"/>
    </row>
    <row r="67" spans="1:8" x14ac:dyDescent="0.2">
      <c r="A67" s="870" t="s">
        <v>482</v>
      </c>
      <c r="B67" s="870" t="s">
        <v>2001</v>
      </c>
      <c r="C67" s="887" t="str">
        <f>'Expenditures 15-22'!B216</f>
        <v>1125</v>
      </c>
      <c r="D67" s="893" t="str">
        <f>'Expenditures 15-22'!A216</f>
        <v>Pre-K Programs</v>
      </c>
      <c r="E67" s="869"/>
      <c r="F67" s="1936">
        <f>'Expenditures 15-22'!K216</f>
        <v>14490</v>
      </c>
      <c r="G67" s="866"/>
    </row>
    <row r="68" spans="1:8" x14ac:dyDescent="0.2">
      <c r="A68" s="870" t="s">
        <v>482</v>
      </c>
      <c r="B68" s="870" t="s">
        <v>1555</v>
      </c>
      <c r="C68" s="887" t="str">
        <f>'Expenditures 15-22'!B218</f>
        <v>1225</v>
      </c>
      <c r="D68" s="893" t="str">
        <f>'Expenditures 15-22'!A218</f>
        <v>Special Education Programs - Pre-K</v>
      </c>
      <c r="E68" s="869"/>
      <c r="F68" s="1936">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2003</v>
      </c>
      <c r="C70" s="887">
        <f>'Expenditures 15-22'!B221</f>
        <v>1300</v>
      </c>
      <c r="D70" s="888" t="str">
        <f>'Expenditures 15-22'!A221</f>
        <v>Adult/Continuing Education Programs</v>
      </c>
      <c r="E70" s="869"/>
      <c r="F70" s="1936">
        <f>'Expenditures 15-22'!K221</f>
        <v>0</v>
      </c>
      <c r="G70" s="866"/>
    </row>
    <row r="71" spans="1:8" x14ac:dyDescent="0.2">
      <c r="A71" s="870" t="s">
        <v>482</v>
      </c>
      <c r="B71" s="870" t="s">
        <v>2004</v>
      </c>
      <c r="C71" s="887">
        <f>'Expenditures 15-22'!B224</f>
        <v>1600</v>
      </c>
      <c r="D71" s="888" t="str">
        <f>'Expenditures 15-22'!A224</f>
        <v>Summer School Programs</v>
      </c>
      <c r="E71" s="869"/>
      <c r="F71" s="1936">
        <f>'Expenditures 15-22'!K224</f>
        <v>0</v>
      </c>
      <c r="G71" s="866"/>
    </row>
    <row r="72" spans="1:8" x14ac:dyDescent="0.2">
      <c r="A72" s="870" t="s">
        <v>482</v>
      </c>
      <c r="B72" s="870" t="s">
        <v>2005</v>
      </c>
      <c r="C72" s="887">
        <f>'Expenditures 15-22'!B280</f>
        <v>3000</v>
      </c>
      <c r="D72" s="877" t="s">
        <v>469</v>
      </c>
      <c r="E72" s="869"/>
      <c r="F72" s="1936">
        <f>'Expenditures 15-22'!K280</f>
        <v>566</v>
      </c>
      <c r="G72" s="866"/>
    </row>
    <row r="73" spans="1:8" x14ac:dyDescent="0.2">
      <c r="A73" s="870" t="s">
        <v>482</v>
      </c>
      <c r="B73" s="870" t="s">
        <v>2006</v>
      </c>
      <c r="C73" s="887" t="str">
        <f>'Expenditures 15-22'!B285</f>
        <v>4000</v>
      </c>
      <c r="D73" s="888" t="str">
        <f>'Expenditures 15-22'!A285</f>
        <v>Total Payments to Other Govt Units</v>
      </c>
      <c r="E73" s="869"/>
      <c r="F73" s="1936">
        <f>'Expenditures 15-22'!K285</f>
        <v>0</v>
      </c>
      <c r="G73" s="866"/>
    </row>
    <row r="74" spans="1:8" x14ac:dyDescent="0.2">
      <c r="A74" s="870" t="s">
        <v>456</v>
      </c>
      <c r="B74" s="870" t="s">
        <v>2007</v>
      </c>
      <c r="C74" s="887" t="s">
        <v>915</v>
      </c>
      <c r="D74" s="888" t="s">
        <v>1567</v>
      </c>
      <c r="E74" s="869"/>
      <c r="F74" s="1940">
        <f>'Expenditures 15-22'!K334</f>
        <v>200000</v>
      </c>
      <c r="G74" s="866"/>
    </row>
    <row r="75" spans="1:8" ht="5.25" customHeight="1" x14ac:dyDescent="0.2">
      <c r="A75" s="866"/>
      <c r="B75" s="876"/>
      <c r="C75" s="876"/>
      <c r="D75" s="866"/>
      <c r="E75" s="869"/>
      <c r="F75" s="883"/>
      <c r="G75" s="868"/>
    </row>
    <row r="76" spans="1:8" ht="12" thickBot="1" x14ac:dyDescent="0.25">
      <c r="A76" s="1791"/>
      <c r="B76" s="1797"/>
      <c r="C76" s="1793"/>
      <c r="D76" s="1798" t="s">
        <v>2008</v>
      </c>
      <c r="E76" s="1795" t="s">
        <v>1015</v>
      </c>
      <c r="F76" s="1799">
        <f>SUM(F18:F74)</f>
        <v>2390369</v>
      </c>
      <c r="G76" s="866"/>
    </row>
    <row r="77" spans="1:8" s="894" customFormat="1" ht="12" customHeight="1" thickTop="1" thickBot="1" x14ac:dyDescent="0.25">
      <c r="A77" s="1800"/>
      <c r="B77" s="1797"/>
      <c r="C77" s="1793"/>
      <c r="D77" s="1798" t="s">
        <v>2009</v>
      </c>
      <c r="E77" s="1795"/>
      <c r="F77" s="1801">
        <f>(F14-F76)</f>
        <v>13151681</v>
      </c>
      <c r="G77" s="870"/>
    </row>
    <row r="78" spans="1:8" s="894" customFormat="1" ht="12" customHeight="1" thickTop="1" x14ac:dyDescent="0.2">
      <c r="A78" s="1802"/>
      <c r="B78" s="1797"/>
      <c r="C78" s="1793"/>
      <c r="D78" s="1798" t="s">
        <v>2056</v>
      </c>
      <c r="E78" s="1795"/>
      <c r="F78" s="899">
        <v>1306.3900000000001</v>
      </c>
      <c r="G78" s="900"/>
      <c r="H78" s="870"/>
    </row>
    <row r="79" spans="1:8" s="894" customFormat="1" ht="12" customHeight="1" thickBot="1" x14ac:dyDescent="0.25">
      <c r="A79" s="1803"/>
      <c r="B79" s="1797"/>
      <c r="C79" s="1793"/>
      <c r="D79" s="1798" t="s">
        <v>2010</v>
      </c>
      <c r="E79" s="1795" t="s">
        <v>1015</v>
      </c>
      <c r="F79" s="1804">
        <f>IF(F78&gt;0,F77/F78," Complete Line 78")</f>
        <v>10067.193563943385</v>
      </c>
      <c r="G79" s="870"/>
    </row>
    <row r="80" spans="1:8" s="894" customFormat="1" ht="8.25" customHeight="1" thickTop="1" x14ac:dyDescent="0.2">
      <c r="A80" s="901"/>
      <c r="B80" s="870"/>
      <c r="C80" s="872"/>
      <c r="D80" s="902"/>
      <c r="E80" s="869"/>
      <c r="F80" s="903"/>
      <c r="G80" s="870"/>
    </row>
    <row r="81" spans="1:7" s="894" customFormat="1" ht="12" thickBot="1" x14ac:dyDescent="0.25">
      <c r="A81" s="2275" t="s">
        <v>1167</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500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33377</v>
      </c>
      <c r="G94" s="913"/>
    </row>
    <row r="95" spans="1:7" x14ac:dyDescent="0.2">
      <c r="A95" s="909" t="s">
        <v>142</v>
      </c>
      <c r="B95" s="909" t="s">
        <v>177</v>
      </c>
      <c r="C95" s="911">
        <v>1700</v>
      </c>
      <c r="D95" s="919" t="str">
        <f>'Revenues 9-14'!A82</f>
        <v>Total District/School Activity Income</v>
      </c>
      <c r="E95" s="907"/>
      <c r="F95" s="1810">
        <f>SUM('Revenues 9-14'!C82,'Revenues 9-14'!D82)</f>
        <v>46789</v>
      </c>
      <c r="G95" s="913"/>
    </row>
    <row r="96" spans="1:7" x14ac:dyDescent="0.2">
      <c r="A96" s="909" t="s">
        <v>479</v>
      </c>
      <c r="B96" s="909" t="s">
        <v>178</v>
      </c>
      <c r="C96" s="911">
        <f>'Revenues 9-14'!B84</f>
        <v>1811</v>
      </c>
      <c r="D96" s="912" t="str">
        <f>'Revenues 9-14'!A84</f>
        <v>Rentals - Regular Textbooks</v>
      </c>
      <c r="E96" s="907"/>
      <c r="F96" s="1810">
        <f>'Revenues 9-14'!C84</f>
        <v>51810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1428</v>
      </c>
      <c r="G100" s="913"/>
    </row>
    <row r="101" spans="1:7" x14ac:dyDescent="0.2">
      <c r="A101" s="909" t="s">
        <v>142</v>
      </c>
      <c r="B101" s="909" t="s">
        <v>183</v>
      </c>
      <c r="C101" s="911">
        <f>'Revenues 9-14'!B95</f>
        <v>1910</v>
      </c>
      <c r="D101" s="912" t="str">
        <f>'Revenues 9-14'!A95</f>
        <v>Rentals</v>
      </c>
      <c r="E101" s="907"/>
      <c r="F101" s="1810">
        <f>SUM('Revenues 9-14'!C95:D95)</f>
        <v>53615</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43746</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250437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31034</v>
      </c>
      <c r="G106" s="913"/>
    </row>
    <row r="107" spans="1:7" x14ac:dyDescent="0.2">
      <c r="A107" s="922" t="s">
        <v>685</v>
      </c>
      <c r="B107" s="909" t="s">
        <v>843</v>
      </c>
      <c r="C107" s="921">
        <v>3300</v>
      </c>
      <c r="D107" s="912" t="str">
        <f>'Revenues 9-14'!A144</f>
        <v>Total Bilingual Ed</v>
      </c>
      <c r="E107" s="907"/>
      <c r="F107" s="1810">
        <f>SUM('Revenues 9-14'!C144,'Revenues 9-14'!G144)</f>
        <v>159674</v>
      </c>
      <c r="G107" s="913"/>
    </row>
    <row r="108" spans="1:7" x14ac:dyDescent="0.2">
      <c r="A108" s="909" t="s">
        <v>479</v>
      </c>
      <c r="B108" s="909" t="s">
        <v>844</v>
      </c>
      <c r="C108" s="921">
        <f>'Revenues 9-14'!B145</f>
        <v>3360</v>
      </c>
      <c r="D108" s="912" t="str">
        <f>'Revenues 9-14'!A145</f>
        <v>State Free Lunch &amp; Breakfast</v>
      </c>
      <c r="E108" s="907"/>
      <c r="F108" s="1810">
        <f>'Revenues 9-14'!C145</f>
        <v>11956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30285</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462358</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2218</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561</v>
      </c>
      <c r="G128" s="931"/>
    </row>
    <row r="129" spans="1:7" x14ac:dyDescent="0.2">
      <c r="A129" s="928" t="s">
        <v>685</v>
      </c>
      <c r="B129" s="928" t="s">
        <v>803</v>
      </c>
      <c r="C129" s="933">
        <v>4200</v>
      </c>
      <c r="D129" s="930" t="str">
        <f>'Revenues 9-14'!A201</f>
        <v>Total Food Service</v>
      </c>
      <c r="E129" s="907"/>
      <c r="F129" s="1810">
        <f>SUM('Revenues 9-14'!C201,'Revenues 9-14'!G201)</f>
        <v>704463</v>
      </c>
      <c r="G129" s="931"/>
    </row>
    <row r="130" spans="1:7" x14ac:dyDescent="0.2">
      <c r="A130" s="928" t="s">
        <v>689</v>
      </c>
      <c r="B130" s="928" t="s">
        <v>804</v>
      </c>
      <c r="C130" s="933">
        <v>4300</v>
      </c>
      <c r="D130" s="934" t="str">
        <f>'Revenues 9-14'!A211</f>
        <v>Total Title I</v>
      </c>
      <c r="E130" s="907"/>
      <c r="F130" s="1810">
        <f>SUM('Revenues 9-14'!C211,'Revenues 9-14'!D211,'Revenues 9-14'!F211,'Revenues 9-14'!G211)</f>
        <v>458421</v>
      </c>
      <c r="G130" s="931"/>
    </row>
    <row r="131" spans="1:7" x14ac:dyDescent="0.2">
      <c r="A131" s="928" t="s">
        <v>689</v>
      </c>
      <c r="B131" s="928" t="s">
        <v>805</v>
      </c>
      <c r="C131" s="933">
        <v>4400</v>
      </c>
      <c r="D131" s="934" t="str">
        <f>'Revenues 9-14'!A216</f>
        <v>Total Title IV</v>
      </c>
      <c r="E131" s="907"/>
      <c r="F131" s="1810">
        <f>SUM('Revenues 9-14'!C216,'Revenues 9-14'!D216,'Revenues 9-14'!F216,'Revenues 9-14'!G216)</f>
        <v>24410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85396</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135</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2564</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61642</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100156</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8856</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1" t="s">
        <v>5</v>
      </c>
      <c r="B175" s="1942" t="s">
        <v>2055</v>
      </c>
      <c r="C175" s="1943">
        <v>3100</v>
      </c>
      <c r="D175" s="1944" t="s">
        <v>2058</v>
      </c>
      <c r="E175" s="907"/>
      <c r="F175" s="1928"/>
      <c r="G175" s="928"/>
    </row>
    <row r="176" spans="1:7" x14ac:dyDescent="0.2">
      <c r="A176" s="1941" t="s">
        <v>685</v>
      </c>
      <c r="B176" s="1942" t="s">
        <v>2055</v>
      </c>
      <c r="C176" s="1943">
        <v>3300</v>
      </c>
      <c r="D176" s="1944" t="s">
        <v>2059</v>
      </c>
      <c r="E176" s="907"/>
      <c r="F176" s="1928"/>
      <c r="G176" s="928"/>
    </row>
    <row r="177" spans="1:7" ht="6" customHeight="1" x14ac:dyDescent="0.2">
      <c r="A177" s="928"/>
      <c r="B177" s="928"/>
      <c r="C177" s="950"/>
      <c r="D177" s="928"/>
      <c r="E177" s="907"/>
      <c r="F177" s="951"/>
      <c r="G177" s="948"/>
    </row>
    <row r="178" spans="1:7" x14ac:dyDescent="0.2">
      <c r="A178" s="1791"/>
      <c r="B178" s="1805"/>
      <c r="C178" s="1806"/>
      <c r="D178" s="1807" t="s">
        <v>2011</v>
      </c>
      <c r="E178" s="1808" t="s">
        <v>1015</v>
      </c>
      <c r="F178" s="1809">
        <f>SUM(F84:F136,F161:F176)</f>
        <v>2625831</v>
      </c>
    </row>
    <row r="179" spans="1:7" ht="12" customHeight="1" x14ac:dyDescent="0.2">
      <c r="A179" s="1791"/>
      <c r="B179" s="1805"/>
      <c r="C179" s="1806"/>
      <c r="D179" s="1807" t="s">
        <v>2012</v>
      </c>
      <c r="E179" s="1808"/>
      <c r="F179" s="1810">
        <f>'PCTC-OEPP 27-28'!F77-F178</f>
        <v>10525850</v>
      </c>
    </row>
    <row r="180" spans="1:7" ht="12" customHeight="1" x14ac:dyDescent="0.2">
      <c r="A180" s="1791"/>
      <c r="B180" s="1805"/>
      <c r="C180" s="1806"/>
      <c r="D180" s="1807" t="s">
        <v>1921</v>
      </c>
      <c r="E180" s="1808"/>
      <c r="F180" s="1810">
        <f>'Cap Outlay Deprec 26'!I18</f>
        <v>805542</v>
      </c>
    </row>
    <row r="181" spans="1:7" ht="12" customHeight="1" x14ac:dyDescent="0.2">
      <c r="A181" s="1791"/>
      <c r="B181" s="1805"/>
      <c r="C181" s="1806"/>
      <c r="D181" s="1807" t="s">
        <v>2013</v>
      </c>
      <c r="E181" s="1808"/>
      <c r="F181" s="1810">
        <f>F179+F180</f>
        <v>11331392</v>
      </c>
    </row>
    <row r="182" spans="1:7" ht="12" customHeight="1" x14ac:dyDescent="0.2">
      <c r="A182" s="1791"/>
      <c r="B182" s="1811"/>
      <c r="C182" s="1806"/>
      <c r="D182" s="1807" t="str">
        <f>D78</f>
        <v>9 Month ADA from District Average Daily Attendance/Prior General State Aid Inquiry 2017-2018</v>
      </c>
      <c r="E182" s="1808"/>
      <c r="F182" s="1812">
        <f>'PCTC-OEPP 27-28'!F78</f>
        <v>1306.3900000000001</v>
      </c>
      <c r="G182" s="931"/>
    </row>
    <row r="183" spans="1:7" ht="12" customHeight="1" thickBot="1" x14ac:dyDescent="0.25">
      <c r="A183" s="1791"/>
      <c r="B183" s="1811"/>
      <c r="C183" s="1806"/>
      <c r="D183" s="1807" t="s">
        <v>2014</v>
      </c>
      <c r="E183" s="1808" t="s">
        <v>1626</v>
      </c>
      <c r="F183" s="1813">
        <f>F181/F182</f>
        <v>8673.820222138871</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5" customFormat="1" ht="12.2" customHeight="1" x14ac:dyDescent="0.2">
      <c r="A186" s="1945" t="s">
        <v>2062</v>
      </c>
      <c r="B186" s="1946"/>
      <c r="C186" s="1947"/>
      <c r="D186" s="1946"/>
      <c r="E186" s="1947"/>
      <c r="F186" s="1946"/>
      <c r="G186" s="1946"/>
    </row>
    <row r="187" spans="1:7" s="1945" customFormat="1" ht="12.2" customHeight="1" x14ac:dyDescent="0.2">
      <c r="A187" s="1948" t="s">
        <v>2063</v>
      </c>
      <c r="C187" s="1947"/>
      <c r="D187" s="1946"/>
      <c r="E187" s="1947"/>
      <c r="F187" s="1946"/>
      <c r="G187" s="1946"/>
    </row>
    <row r="188" spans="1:7" ht="12" customHeight="1" x14ac:dyDescent="0.2">
      <c r="C188" s="950"/>
      <c r="D188" s="931"/>
      <c r="E188" s="950"/>
      <c r="F188" s="931"/>
      <c r="G188" s="931"/>
    </row>
    <row r="189" spans="1:7" x14ac:dyDescent="0.2">
      <c r="A189" s="1949" t="s">
        <v>2061</v>
      </c>
      <c r="B189" s="1950"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9"/>
  <sheetViews>
    <sheetView showGridLines="0" view="pageLayout" zoomScaleNormal="100" workbookViewId="0">
      <selection activeCell="B19" sqref="B1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1937</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9" t="s">
        <v>1922</v>
      </c>
      <c r="B4" s="2290"/>
      <c r="C4" s="2290"/>
      <c r="D4" s="2290"/>
      <c r="E4" s="2290"/>
      <c r="F4" s="2290"/>
      <c r="G4" s="2291"/>
    </row>
    <row r="5" spans="1:7" x14ac:dyDescent="0.25">
      <c r="A5" s="2292"/>
      <c r="B5" s="2293"/>
      <c r="C5" s="2293"/>
      <c r="D5" s="2293"/>
      <c r="E5" s="2293"/>
      <c r="F5" s="2293"/>
      <c r="G5" s="2294"/>
    </row>
    <row r="6" spans="1:7" ht="18.75" x14ac:dyDescent="0.25">
      <c r="A6" s="1556" t="s">
        <v>1923</v>
      </c>
      <c r="B6" s="1557"/>
      <c r="C6" s="1557"/>
      <c r="D6" s="1557"/>
      <c r="E6" s="1557"/>
      <c r="F6" s="1557"/>
      <c r="G6" s="1558"/>
    </row>
    <row r="7" spans="1:7" ht="30.75" customHeight="1" x14ac:dyDescent="0.25">
      <c r="A7" s="2295" t="s">
        <v>2072</v>
      </c>
      <c r="B7" s="2296"/>
      <c r="C7" s="2296"/>
      <c r="D7" s="2296"/>
      <c r="E7" s="2296"/>
      <c r="F7" s="2296"/>
      <c r="G7" s="2297"/>
    </row>
    <row r="8" spans="1:7" ht="15.75" customHeight="1" x14ac:dyDescent="0.25">
      <c r="A8" s="2298" t="s">
        <v>2021</v>
      </c>
      <c r="B8" s="2299"/>
      <c r="C8" s="2299"/>
      <c r="D8" s="2299"/>
      <c r="E8" s="2299"/>
      <c r="F8" s="2299"/>
      <c r="G8" s="2300"/>
    </row>
    <row r="9" spans="1:7" ht="35.25" customHeight="1" x14ac:dyDescent="0.25">
      <c r="A9" s="2295" t="s">
        <v>2020</v>
      </c>
      <c r="B9" s="2296"/>
      <c r="C9" s="2296"/>
      <c r="D9" s="2296"/>
      <c r="E9" s="2296"/>
      <c r="F9" s="2296"/>
      <c r="G9" s="2297"/>
    </row>
    <row r="10" spans="1:7" ht="15" customHeight="1" x14ac:dyDescent="0.25">
      <c r="A10" s="1559" t="s">
        <v>1924</v>
      </c>
      <c r="B10" s="1560"/>
      <c r="C10" s="1560"/>
      <c r="D10" s="1560"/>
      <c r="E10" s="1560"/>
      <c r="F10" s="1560"/>
      <c r="G10" s="1561"/>
    </row>
    <row r="11" spans="1:7" ht="17.25" customHeight="1" x14ac:dyDescent="0.25">
      <c r="A11" s="2295" t="s">
        <v>1938</v>
      </c>
      <c r="B11" s="2296"/>
      <c r="C11" s="2296"/>
      <c r="D11" s="2296"/>
      <c r="E11" s="2296"/>
      <c r="F11" s="2296"/>
      <c r="G11" s="2297"/>
    </row>
    <row r="12" spans="1:7" ht="15" customHeight="1" x14ac:dyDescent="0.25">
      <c r="A12" s="1559" t="s">
        <v>1929</v>
      </c>
      <c r="B12" s="1560"/>
      <c r="C12" s="1560"/>
      <c r="D12" s="1560"/>
      <c r="E12" s="1560"/>
      <c r="F12" s="1560"/>
      <c r="G12" s="1561"/>
    </row>
    <row r="13" spans="1:7" ht="32.25" customHeight="1" x14ac:dyDescent="0.25">
      <c r="A13" s="2286" t="s">
        <v>1930</v>
      </c>
      <c r="B13" s="2287"/>
      <c r="C13" s="2287"/>
      <c r="D13" s="2287"/>
      <c r="E13" s="2287"/>
      <c r="F13" s="2287"/>
      <c r="G13" s="2288"/>
    </row>
    <row r="14" spans="1:7" x14ac:dyDescent="0.25">
      <c r="A14" s="1682" t="s">
        <v>1939</v>
      </c>
      <c r="B14" s="1683"/>
      <c r="C14" s="1683"/>
      <c r="D14" s="1683"/>
      <c r="E14" s="1683"/>
      <c r="F14" s="1683"/>
      <c r="G14" s="1684"/>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2206</v>
      </c>
      <c r="B17" s="1958" t="s">
        <v>2220</v>
      </c>
      <c r="C17" s="1959" t="s">
        <v>2207</v>
      </c>
      <c r="D17" s="1865">
        <v>282871</v>
      </c>
      <c r="E17" s="1562">
        <f t="shared" ref="E17:E29" si="1">IF(D17&lt;=25000,D17,IF(D17&gt;25000,25000,0))</f>
        <v>25000</v>
      </c>
      <c r="F17" s="1814">
        <v>25000</v>
      </c>
      <c r="G17" s="1815">
        <f>IF(F17=0,0,D17-F17)</f>
        <v>257871</v>
      </c>
      <c r="H17" s="1669"/>
    </row>
    <row r="18" spans="1:8" x14ac:dyDescent="0.25">
      <c r="A18" s="1957" t="s">
        <v>2208</v>
      </c>
      <c r="B18" s="1958" t="s">
        <v>2221</v>
      </c>
      <c r="C18" s="1959" t="s">
        <v>2209</v>
      </c>
      <c r="D18" s="1865">
        <v>56619</v>
      </c>
      <c r="E18" s="1562">
        <f t="shared" ref="E18:E28" si="2">IF(D18&lt;=25000,D18,IF(D18&gt;25000,25000,0))</f>
        <v>25000</v>
      </c>
      <c r="F18" s="1814">
        <v>25000</v>
      </c>
      <c r="G18" s="1815">
        <f t="shared" ref="G18:G28" si="3">IF(F18=0,0,D18-F18)</f>
        <v>31619</v>
      </c>
    </row>
    <row r="19" spans="1:8" x14ac:dyDescent="0.25">
      <c r="A19" s="1675"/>
      <c r="B19" s="1866"/>
      <c r="C19" s="1677"/>
      <c r="D19" s="1865"/>
      <c r="E19" s="1562">
        <f t="shared" si="2"/>
        <v>0</v>
      </c>
      <c r="F19" s="1814">
        <f t="shared" ref="F19:F28" si="4">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5">
        <f t="shared" si="3"/>
        <v>0</v>
      </c>
    </row>
    <row r="20" spans="1:8" x14ac:dyDescent="0.25">
      <c r="A20" s="1675"/>
      <c r="B20" s="1688"/>
      <c r="C20" s="1676"/>
      <c r="D20" s="1865"/>
      <c r="E20" s="1562">
        <f t="shared" ref="E20:E21" si="5">IF(D20&lt;=25000,D20,IF(D20&gt;25000,25000,0))</f>
        <v>0</v>
      </c>
      <c r="F20" s="1814">
        <f t="shared" ref="F20:F21" si="6">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5">
        <f t="shared" ref="G20:G21" si="7">IF(F20=0,0,D20-F20)</f>
        <v>0</v>
      </c>
    </row>
    <row r="21" spans="1:8" x14ac:dyDescent="0.25">
      <c r="A21" s="1675"/>
      <c r="B21" s="1688"/>
      <c r="C21" s="1676"/>
      <c r="D21" s="1865"/>
      <c r="E21" s="1562">
        <f t="shared" si="5"/>
        <v>0</v>
      </c>
      <c r="F21" s="1814">
        <f t="shared" si="6"/>
        <v>0</v>
      </c>
      <c r="G21" s="1815">
        <f t="shared" si="7"/>
        <v>0</v>
      </c>
    </row>
    <row r="22" spans="1:8" x14ac:dyDescent="0.25">
      <c r="A22" s="1675"/>
      <c r="B22" s="1688"/>
      <c r="C22" s="1676"/>
      <c r="D22" s="1865"/>
      <c r="E22" s="1562">
        <f t="shared" si="2"/>
        <v>0</v>
      </c>
      <c r="F22" s="1814">
        <f t="shared" si="4"/>
        <v>0</v>
      </c>
      <c r="G22" s="1815">
        <f t="shared" si="3"/>
        <v>0</v>
      </c>
    </row>
    <row r="23" spans="1:8" x14ac:dyDescent="0.25">
      <c r="A23" s="1675"/>
      <c r="B23" s="1688"/>
      <c r="C23" s="1676"/>
      <c r="D23" s="1865"/>
      <c r="E23" s="1562">
        <f t="shared" ref="E23:E27" si="8">IF(D23&lt;=25000,D23,IF(D23&gt;25000,25000,0))</f>
        <v>0</v>
      </c>
      <c r="F23" s="1814">
        <f t="shared" ref="F23:F27" si="9">IF(OR(B23="10-1000-100",B23="10-1000-200",B23="10-1000-300",B23="10-1000-400",B23="10-1000-600",B23="10-1000-800",B23="50-1000-200",B23="10-2100-100",B23="10-2100-200",B23="10-2100-300",B23="10-2100-400",B23="10-2100-600",B23="10-2100-800",B23="20-2100-200",B23="20-2190-100",B23="20-2190-200",B23="20-2190-300",B23="20-2190-400",B23="20-2190-600",B23="20-2190-800",B23="40-2190-100",B23="40-2190-200",B23="40-2190-300",B23="40-2190-400",B23="40-2190-600",B23="40-2190-800",B23="50-2190-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20-2540-800",B23="20-2540-100",B23="20-2540-200",B23="20-2540-300",B23="20-2540-400",B23="20-2540-600",B23="50-2540-200",B23="90-2540-100",B23="90-2540-200",B23="90-2540-300",B23="90-2540-400",B23="90-2540-600",B23="90-2540-800",B23="90-2540-800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20-2560-100",B23="20-2560-200",B23="20-2560-300",B23="20-2560-400",B23="20-2560-600",B23="20-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60-2900-100",B23="60-2900-200",B23="60-2900-300",B23="60-2900-400",B23="60-2900-600",B23="60-2900-800",B23="90-2900-100",B23="90-2900-200",B23="90-2900-300",B23="90-2900-400",B23="90-2900-600",B23="90-2900-800",B23="10-3000-100",B23="10-3000-200",B23="10-3000-300",B23="10-3000-400",B23="10-3000-600",B23="10-3000-800",B23="20-3000-100",B23="20-3000-200",B23="20-3000-300",B23="20-3000-400",B23="20-3000-600",B23="20-3000-800",B23="40-3000-100",B23="40-3000-200",B23="40-3000-300",B23="40-3000-400",B23="40-3000-600",B23="40-3000-800",B23="50-3000-200"),E23,0)</f>
        <v>0</v>
      </c>
      <c r="G23" s="1815">
        <f t="shared" ref="G23:G27" si="10">IF(F23=0,0,D23-F23)</f>
        <v>0</v>
      </c>
    </row>
    <row r="24" spans="1:8" x14ac:dyDescent="0.25">
      <c r="A24" s="1675"/>
      <c r="B24" s="1688"/>
      <c r="C24" s="1676"/>
      <c r="D24" s="1865"/>
      <c r="E24" s="1562">
        <f t="shared" si="8"/>
        <v>0</v>
      </c>
      <c r="F24" s="1814">
        <f t="shared" si="9"/>
        <v>0</v>
      </c>
      <c r="G24" s="1815">
        <f t="shared" si="10"/>
        <v>0</v>
      </c>
    </row>
    <row r="25" spans="1:8" x14ac:dyDescent="0.25">
      <c r="A25" s="1675"/>
      <c r="B25" s="1688"/>
      <c r="C25" s="1676"/>
      <c r="D25" s="1865"/>
      <c r="E25" s="1562">
        <f t="shared" si="8"/>
        <v>0</v>
      </c>
      <c r="F25" s="1814">
        <f t="shared" si="9"/>
        <v>0</v>
      </c>
      <c r="G25" s="1815">
        <f t="shared" si="10"/>
        <v>0</v>
      </c>
    </row>
    <row r="26" spans="1:8" x14ac:dyDescent="0.25">
      <c r="A26" s="1675"/>
      <c r="B26" s="1688"/>
      <c r="C26" s="1676"/>
      <c r="D26" s="1865"/>
      <c r="E26" s="1562">
        <f t="shared" si="8"/>
        <v>0</v>
      </c>
      <c r="F26" s="1814">
        <f t="shared" si="9"/>
        <v>0</v>
      </c>
      <c r="G26" s="1815">
        <f t="shared" si="10"/>
        <v>0</v>
      </c>
    </row>
    <row r="27" spans="1:8" x14ac:dyDescent="0.25">
      <c r="A27" s="1675"/>
      <c r="B27" s="1688"/>
      <c r="C27" s="1676"/>
      <c r="D27" s="1865"/>
      <c r="E27" s="1562">
        <f t="shared" si="8"/>
        <v>0</v>
      </c>
      <c r="F27" s="1814">
        <f t="shared" si="9"/>
        <v>0</v>
      </c>
      <c r="G27" s="1815">
        <f t="shared" si="10"/>
        <v>0</v>
      </c>
    </row>
    <row r="28" spans="1:8" x14ac:dyDescent="0.25">
      <c r="A28" s="1675"/>
      <c r="B28" s="1687"/>
      <c r="C28" s="1676"/>
      <c r="D28" s="1865"/>
      <c r="E28" s="1562">
        <f t="shared" si="2"/>
        <v>0</v>
      </c>
      <c r="F28" s="1814">
        <f t="shared" si="4"/>
        <v>0</v>
      </c>
      <c r="G28" s="1815">
        <f t="shared" si="3"/>
        <v>0</v>
      </c>
    </row>
    <row r="29" spans="1:8" x14ac:dyDescent="0.25">
      <c r="A29" s="1818" t="s">
        <v>158</v>
      </c>
      <c r="B29" s="1819"/>
      <c r="C29" s="1820"/>
      <c r="D29" s="1816">
        <f>SUM(D17:D28)</f>
        <v>339490</v>
      </c>
      <c r="E29" s="1563">
        <f t="shared" si="1"/>
        <v>25000</v>
      </c>
      <c r="F29" s="1816">
        <f>SUM(F17:F28)</f>
        <v>50000</v>
      </c>
      <c r="G29" s="1817">
        <f>SUM(G17:G28)</f>
        <v>289490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4294967295" verticalDpi="4294967295" r:id="rId1"/>
  <headerFooter>
    <oddHeader>&amp;LPage 29&amp;RPage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6" colorId="8" zoomScale="110" zoomScaleNormal="110" workbookViewId="0">
      <selection activeCell="B7" sqref="B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1" t="s">
        <v>1778</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313107</v>
      </c>
      <c r="F10" s="975"/>
      <c r="G10" s="976"/>
      <c r="H10" s="162"/>
      <c r="I10" s="162"/>
    </row>
    <row r="11" spans="1:9" s="669" customFormat="1" ht="22.5" customHeight="1" x14ac:dyDescent="0.2">
      <c r="A11" s="2306" t="s">
        <v>1942</v>
      </c>
      <c r="B11" s="2307"/>
      <c r="C11" s="2307"/>
      <c r="D11" s="2308"/>
      <c r="E11" s="978">
        <v>66365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7768184</v>
      </c>
      <c r="F19" s="1821"/>
      <c r="G19" s="1823">
        <f>'Expenditures 15-22'!K33-SUM('Expenditures 15-22'!G33,'Expenditures 15-22'!I33)+'Expenditures 15-22'!D229</f>
        <v>7768184</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370048</v>
      </c>
      <c r="F21" s="1824"/>
      <c r="G21" s="1827">
        <f>'Expenditures 15-22'!K42-SUM('Expenditures 15-22'!G42,'Expenditures 15-22'!I42)+'Expenditures 15-22'!K120-SUM('Expenditures 15-22'!G120,'Expenditures 15-22'!I120)+'Expenditures 15-22'!K180-SUM('Expenditures 15-22'!G180,'Expenditures 15-22'!I180)+'Expenditures 15-22'!D238</f>
        <v>370048</v>
      </c>
      <c r="H21" s="988"/>
      <c r="I21" s="162"/>
    </row>
    <row r="22" spans="1:9" s="669" customFormat="1" ht="12" customHeight="1" x14ac:dyDescent="0.2">
      <c r="A22" s="995" t="s">
        <v>585</v>
      </c>
      <c r="B22" s="996"/>
      <c r="C22" s="994">
        <v>2200</v>
      </c>
      <c r="D22" s="1824"/>
      <c r="E22" s="1826">
        <f>'Expenditures 15-22'!K47-SUM('Expenditures 15-22'!G47,'Expenditures 15-22'!I47)+'Expenditures 15-22'!D243</f>
        <v>252987</v>
      </c>
      <c r="F22" s="1824"/>
      <c r="G22" s="1827">
        <f>'Expenditures 15-22'!K47-SUM('Expenditures 15-22'!G47,'Expenditures 15-22'!I47)+'Expenditures 15-22'!D243</f>
        <v>252987</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1073637</v>
      </c>
      <c r="F23" s="1824"/>
      <c r="G23" s="1826">
        <f>'Expenditures 15-22'!K53-SUM('Expenditures 15-22'!G53,'Expenditures 15-22'!I53)+'Expenditures 15-22'!D257+'Expenditures 15-22'!K330-SUM('Expenditures 15-22'!G330,'Expenditures 15-22'!I330)</f>
        <v>1073637</v>
      </c>
      <c r="H23" s="988"/>
      <c r="I23" s="162"/>
    </row>
    <row r="24" spans="1:9" s="669" customFormat="1" ht="12" customHeight="1" x14ac:dyDescent="0.2">
      <c r="A24" s="995" t="s">
        <v>587</v>
      </c>
      <c r="B24" s="996"/>
      <c r="C24" s="994">
        <v>2400</v>
      </c>
      <c r="D24" s="1824"/>
      <c r="E24" s="1826">
        <f>'Expenditures 15-22'!K57-SUM('Expenditures 15-22'!G57,'Expenditures 15-22'!I57)+'Expenditures 15-22'!D261</f>
        <v>972156</v>
      </c>
      <c r="F24" s="1824"/>
      <c r="G24" s="1827">
        <f>'Expenditures 15-22'!K57-SUM('Expenditures 15-22'!G57,'Expenditures 15-22'!I57)+'Expenditures 15-22'!D261</f>
        <v>972156</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46548</v>
      </c>
      <c r="E26" s="1826">
        <f>'Expenditures 15-22'!K122-SUM('Expenditures 15-22'!G122,'Expenditures 15-22'!I122)+E7</f>
        <v>0</v>
      </c>
      <c r="F26" s="1826">
        <f>'Expenditures 15-22'!K59-SUM('Expenditures 15-22'!G59,'Expenditures 15-22'!I59)+'Expenditures 15-22'!D263-E7</f>
        <v>46548</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98509</v>
      </c>
      <c r="E27" s="1826">
        <f>E8</f>
        <v>0</v>
      </c>
      <c r="F27" s="1826">
        <f>'Expenditures 15-22'!K60-SUM('Expenditures 15-22'!G60,'Expenditures 15-22'!I60)+'Expenditures 15-22'!D264-E8</f>
        <v>98509</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1136297</v>
      </c>
      <c r="F28" s="1828">
        <f>'Expenditures 15-22'!K61-SUM('Expenditures 15-22'!G61,'Expenditures 15-22'!I61)+'Expenditures 15-22'!K124-SUM('Expenditures 15-22'!G124,'Expenditures 15-22'!I124)+'Expenditures 15-22'!D266-E9</f>
        <v>1136297</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939351</v>
      </c>
      <c r="F29" s="1824"/>
      <c r="G29" s="1827">
        <f>'Expenditures 15-22'!K62-SUM('Expenditures 15-22'!G62,'Expenditures 15-22'!I62)+'Expenditures 15-22'!K125-SUM('Expenditures 15-22'!G125,'Expenditures 15-22'!I125)+'Expenditures 15-22'!K182-SUM('Expenditures 15-22'!G182,'Expenditures 15-22'!I182)+'Expenditures 15-22'!D267</f>
        <v>939351</v>
      </c>
      <c r="H29" s="986"/>
    </row>
    <row r="30" spans="1:9" ht="12" customHeight="1" x14ac:dyDescent="0.2">
      <c r="A30" s="995" t="s">
        <v>102</v>
      </c>
      <c r="B30" s="998"/>
      <c r="C30" s="994">
        <v>2560</v>
      </c>
      <c r="D30" s="1824"/>
      <c r="E30" s="1826">
        <f>'Expenditures 15-22'!K63-SUM('Expenditures 15-22'!G63,'Expenditures 15-22'!I63)+'Expenditures 15-22'!D268-E10</f>
        <v>419539</v>
      </c>
      <c r="F30" s="1824"/>
      <c r="G30" s="1826">
        <f>'Expenditures 15-22'!K63-SUM('Expenditures 15-22'!G63,'Expenditures 15-22'!I63)+'Expenditures 15-22'!D268-E10</f>
        <v>419539</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8907</v>
      </c>
      <c r="E36" s="1826">
        <f>E13</f>
        <v>0</v>
      </c>
      <c r="F36" s="1826">
        <f>'Expenditures 15-22'!K70-SUM('Expenditures 15-22'!G70,'Expenditures 15-22'!I70)+'Expenditures 15-22'!D275-E13</f>
        <v>8907</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106030</v>
      </c>
      <c r="F38" s="1824"/>
      <c r="G38" s="1826">
        <f>'Expenditures 15-22'!K73-SUM('Expenditures 15-22'!G73,'Expenditures 15-22'!I73)+'Expenditures 15-22'!K128-SUM('Expenditures 15-22'!G128,'Expenditures 15-22'!I128)+'Expenditures 15-22'!K183-SUM('Expenditures 15-22'!G183,'Expenditures 15-22'!I183)+'Expenditures 15-22'!D278</f>
        <v>106030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38614</v>
      </c>
      <c r="F39" s="1824"/>
      <c r="G39" s="1826">
        <f>'Expenditures 15-22'!K75-SUM('Expenditures 15-22'!G75,'Expenditures 15-22'!I75)+'Expenditures 15-22'!K130-SUM('Expenditures 15-22'!G130,'Expenditures 15-22'!I130)+'Expenditures 15-22'!K185-SUM('Expenditures 15-22'!G185,'Expenditures 15-22'!I185)+'Expenditures 15-22'!D280</f>
        <v>38614</v>
      </c>
    </row>
    <row r="40" spans="1:7" ht="12" customHeight="1" x14ac:dyDescent="0.2">
      <c r="A40" s="991" t="s">
        <v>1927</v>
      </c>
      <c r="B40" s="992"/>
      <c r="C40" s="994"/>
      <c r="D40" s="1824"/>
      <c r="E40" s="1828">
        <f>-'Contracts Paid in CY 29'!G29</f>
        <v>-289490</v>
      </c>
      <c r="F40" s="1824"/>
      <c r="G40" s="1828">
        <f>-'Contracts Paid in CY 29'!G29</f>
        <v>-289490</v>
      </c>
    </row>
    <row r="41" spans="1:7" ht="12" customHeight="1" x14ac:dyDescent="0.2">
      <c r="A41" s="999" t="s">
        <v>158</v>
      </c>
      <c r="B41" s="1000"/>
      <c r="C41" s="1001"/>
      <c r="D41" s="1828">
        <f>SUM(D19:D39)</f>
        <v>153964</v>
      </c>
      <c r="E41" s="1828">
        <f>SUM(E19:E40)</f>
        <v>12787353</v>
      </c>
      <c r="F41" s="1828">
        <f>SUM(F19:F39)</f>
        <v>1290261</v>
      </c>
      <c r="G41" s="1828">
        <f>SUM(G19:G40)</f>
        <v>11651056</v>
      </c>
    </row>
    <row r="42" spans="1:7" x14ac:dyDescent="0.2">
      <c r="A42" s="988"/>
      <c r="B42" s="162"/>
      <c r="C42" s="1002"/>
      <c r="D42" s="2304" t="s">
        <v>543</v>
      </c>
      <c r="E42" s="2305"/>
      <c r="F42" s="1003" t="s">
        <v>544</v>
      </c>
      <c r="G42" s="1004"/>
    </row>
    <row r="43" spans="1:7" ht="12" customHeight="1" x14ac:dyDescent="0.2">
      <c r="A43" s="988"/>
      <c r="B43" s="162"/>
      <c r="C43" s="1002"/>
      <c r="D43" s="1829" t="s">
        <v>493</v>
      </c>
      <c r="E43" s="1830">
        <f>D41</f>
        <v>153964</v>
      </c>
      <c r="F43" s="1829" t="s">
        <v>495</v>
      </c>
      <c r="G43" s="1830">
        <f>F41</f>
        <v>1290261</v>
      </c>
    </row>
    <row r="44" spans="1:7" ht="12" customHeight="1" x14ac:dyDescent="0.2">
      <c r="A44" s="988"/>
      <c r="B44" s="162"/>
      <c r="C44" s="1002"/>
      <c r="D44" s="1829" t="s">
        <v>494</v>
      </c>
      <c r="E44" s="1830">
        <f>E41</f>
        <v>12787353</v>
      </c>
      <c r="F44" s="1829" t="s">
        <v>494</v>
      </c>
      <c r="G44" s="1830">
        <f>G41</f>
        <v>11651056</v>
      </c>
    </row>
    <row r="45" spans="1:7" ht="12" customHeight="1" x14ac:dyDescent="0.2">
      <c r="A45" s="988"/>
      <c r="B45" s="162"/>
      <c r="C45" s="162"/>
      <c r="D45" s="1831" t="s">
        <v>1063</v>
      </c>
      <c r="E45" s="1832">
        <f>(E43/E44)</f>
        <v>1.2040333914297978E-2</v>
      </c>
      <c r="F45" s="1831" t="s">
        <v>1063</v>
      </c>
      <c r="G45" s="1832">
        <f>(G43/G44)</f>
        <v>0.11074197909614374</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B7" sqref="B7"/>
      <selection pane="bottomLeft" activeCell="B7" sqref="B7"/>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12" t="s">
        <v>1446</v>
      </c>
      <c r="B1" s="2312"/>
      <c r="C1" s="2312"/>
      <c r="D1" s="2312"/>
      <c r="E1" s="2312"/>
      <c r="F1" s="2312"/>
    </row>
    <row r="2" spans="1:10" x14ac:dyDescent="0.2">
      <c r="A2" s="1909" t="s">
        <v>2045</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13" t="s">
        <v>1627</v>
      </c>
      <c r="B5" s="2314"/>
      <c r="C5" s="2315"/>
      <c r="D5" s="2315"/>
      <c r="E5" s="2315"/>
      <c r="F5" s="2315"/>
    </row>
    <row r="6" spans="1:10" ht="12" customHeight="1" x14ac:dyDescent="0.25">
      <c r="A6" s="1872"/>
      <c r="B6" s="1873"/>
      <c r="C6" s="2316" t="str">
        <f>COVER!A17</f>
        <v>Monmouth-Roseville CUSD 238</v>
      </c>
      <c r="D6" s="2316"/>
      <c r="E6" s="2316"/>
      <c r="F6" s="1874"/>
    </row>
    <row r="7" spans="1:10" ht="11.25" customHeight="1" thickBot="1" x14ac:dyDescent="0.3">
      <c r="A7" s="1872"/>
      <c r="B7" s="1873"/>
      <c r="C7" s="2317">
        <f>COVER!A13</f>
        <v>3309438026</v>
      </c>
      <c r="D7" s="2317"/>
      <c r="E7" s="2317"/>
      <c r="F7" s="1874"/>
    </row>
    <row r="8" spans="1:10" ht="25.5" customHeight="1" thickBot="1" x14ac:dyDescent="0.25">
      <c r="A8" s="1915" t="s">
        <v>2022</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t="s">
        <v>2074</v>
      </c>
      <c r="D15" s="1887" t="s">
        <v>2074</v>
      </c>
      <c r="E15" s="1890"/>
      <c r="F15" s="1889" t="s">
        <v>2157</v>
      </c>
      <c r="H15" s="1900">
        <f t="shared" si="0"/>
        <v>5</v>
      </c>
      <c r="I15" s="1900">
        <f t="shared" si="1"/>
        <v>5</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2074</v>
      </c>
      <c r="D26" s="1887" t="s">
        <v>2074</v>
      </c>
      <c r="E26" s="1890"/>
      <c r="F26" s="1889" t="s">
        <v>2158</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t="s">
        <v>2074</v>
      </c>
      <c r="D28" s="1887" t="s">
        <v>2074</v>
      </c>
      <c r="E28" s="1890"/>
      <c r="F28" s="1889" t="s">
        <v>2159</v>
      </c>
      <c r="H28" s="1900">
        <f t="shared" si="0"/>
        <v>5</v>
      </c>
      <c r="I28" s="1900">
        <f t="shared" si="1"/>
        <v>5</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2074</v>
      </c>
      <c r="D30" s="1887" t="s">
        <v>2074</v>
      </c>
      <c r="E30" s="1890"/>
      <c r="F30" s="1889" t="s">
        <v>2160</v>
      </c>
      <c r="H30" s="1900">
        <f t="shared" si="0"/>
        <v>5</v>
      </c>
      <c r="I30" s="1900">
        <f t="shared" si="1"/>
        <v>5</v>
      </c>
      <c r="J30" s="1900">
        <f t="shared" si="2"/>
        <v>0</v>
      </c>
    </row>
    <row r="31" spans="1:12" ht="12" customHeight="1" x14ac:dyDescent="0.2">
      <c r="A31" s="1885" t="s">
        <v>1620</v>
      </c>
      <c r="B31" s="1886"/>
      <c r="C31" s="1887" t="s">
        <v>2074</v>
      </c>
      <c r="D31" s="1887" t="s">
        <v>2074</v>
      </c>
      <c r="E31" s="1890"/>
      <c r="F31" s="1889" t="s">
        <v>2161</v>
      </c>
      <c r="H31" s="1900">
        <f t="shared" si="0"/>
        <v>5</v>
      </c>
      <c r="I31" s="1900">
        <f t="shared" si="1"/>
        <v>5</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25</v>
      </c>
      <c r="I34" s="1900">
        <f>SUM(I11:I32)</f>
        <v>25</v>
      </c>
      <c r="J34" s="1900">
        <f>SUM(J11:J32)</f>
        <v>0</v>
      </c>
      <c r="K34" s="1900">
        <f>SUM(H34:J34)</f>
        <v>50</v>
      </c>
    </row>
    <row r="35" spans="1:11" ht="12" customHeight="1" x14ac:dyDescent="0.2">
      <c r="A35" s="1893" t="s">
        <v>1459</v>
      </c>
      <c r="B35" s="1894"/>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5"/>
      <c r="B39" s="1895"/>
      <c r="C39" s="1895"/>
      <c r="D39" s="1895"/>
      <c r="E39" s="1895"/>
      <c r="F39" s="1895"/>
    </row>
    <row r="40" spans="1:11" s="1892" customFormat="1" ht="12" customHeight="1" x14ac:dyDescent="0.25">
      <c r="A40" s="1896" t="s">
        <v>1458</v>
      </c>
      <c r="B40" s="1897"/>
      <c r="C40" s="2326"/>
      <c r="D40" s="2326"/>
      <c r="E40" s="2326"/>
      <c r="F40" s="2327"/>
      <c r="H40" s="1901"/>
      <c r="I40" s="1901"/>
      <c r="J40" s="1901"/>
      <c r="K40" s="1901"/>
    </row>
    <row r="41" spans="1:11" s="1892" customFormat="1" ht="12" customHeight="1" x14ac:dyDescent="0.25">
      <c r="A41" s="2328"/>
      <c r="B41" s="2329"/>
      <c r="C41" s="2329"/>
      <c r="D41" s="2329"/>
      <c r="E41" s="2329"/>
      <c r="F41" s="2330"/>
      <c r="H41" s="1901"/>
      <c r="I41" s="1901"/>
      <c r="J41" s="1901"/>
      <c r="K41" s="1901"/>
    </row>
    <row r="42" spans="1:11" s="1892" customFormat="1" ht="12" customHeight="1" x14ac:dyDescent="0.25">
      <c r="A42" s="2328"/>
      <c r="B42" s="2329"/>
      <c r="C42" s="2329"/>
      <c r="D42" s="2329"/>
      <c r="E42" s="2329"/>
      <c r="F42" s="2330"/>
      <c r="H42" s="1901"/>
      <c r="I42" s="1901"/>
      <c r="J42" s="1901"/>
      <c r="K42" s="1901"/>
    </row>
    <row r="43" spans="1:11" s="1892" customFormat="1" ht="15" x14ac:dyDescent="0.25">
      <c r="A43" s="2320"/>
      <c r="B43" s="2321"/>
      <c r="C43" s="2321"/>
      <c r="D43" s="2321"/>
      <c r="E43" s="2321"/>
      <c r="F43" s="2322"/>
      <c r="H43" s="1901"/>
      <c r="I43" s="1901"/>
      <c r="J43" s="1901"/>
      <c r="K43" s="1901"/>
    </row>
    <row r="44" spans="1:11" s="1892" customFormat="1" ht="12" hidden="1" customHeight="1" x14ac:dyDescent="0.25">
      <c r="A44" s="2320"/>
      <c r="B44" s="2321"/>
      <c r="C44" s="2321"/>
      <c r="D44" s="2321"/>
      <c r="E44" s="2321"/>
      <c r="F44" s="2322"/>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B7" sqref="B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36" t="str">
        <f>COVER!A17</f>
        <v>Monmouth-Roseville CUSD 238</v>
      </c>
      <c r="J6" s="2337"/>
      <c r="Q6" s="1685"/>
    </row>
    <row r="7" spans="1:17" x14ac:dyDescent="0.2">
      <c r="A7" s="2338" t="s">
        <v>924</v>
      </c>
      <c r="B7" s="2339"/>
      <c r="C7" s="2339"/>
      <c r="D7" s="2339"/>
      <c r="E7" s="2340"/>
      <c r="F7" s="1018"/>
      <c r="G7" s="1010"/>
      <c r="H7" s="1017" t="s">
        <v>390</v>
      </c>
      <c r="I7" s="2341">
        <f>COVER!A13</f>
        <v>3309438026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2" t="s">
        <v>502</v>
      </c>
      <c r="B11" s="2343"/>
      <c r="C11" s="2344"/>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254359</v>
      </c>
      <c r="F12" s="1040"/>
      <c r="G12" s="1833">
        <f t="shared" ref="G12:G18" si="0">SUM(E12:F12)</f>
        <v>254359</v>
      </c>
      <c r="H12" s="1041">
        <v>238253</v>
      </c>
      <c r="I12" s="1040"/>
      <c r="J12" s="1833">
        <f t="shared" ref="J12:J18" si="1">SUM(H12:I12)</f>
        <v>238253</v>
      </c>
    </row>
    <row r="13" spans="1:17" ht="15" customHeight="1" x14ac:dyDescent="0.2">
      <c r="A13" s="1036">
        <v>2</v>
      </c>
      <c r="B13" s="1037" t="s">
        <v>44</v>
      </c>
      <c r="C13" s="1038"/>
      <c r="D13" s="1039">
        <v>2330</v>
      </c>
      <c r="E13" s="1833">
        <f>'Expenditures 15-22'!K51</f>
        <v>599</v>
      </c>
      <c r="F13" s="1040"/>
      <c r="G13" s="1833">
        <f t="shared" si="0"/>
        <v>599</v>
      </c>
      <c r="H13" s="1041">
        <v>1600</v>
      </c>
      <c r="I13" s="1040"/>
      <c r="J13" s="1833">
        <f t="shared" si="1"/>
        <v>1600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5" t="s">
        <v>7</v>
      </c>
      <c r="C18" s="2346"/>
      <c r="D18" s="2347"/>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254958</v>
      </c>
      <c r="F19" s="1835">
        <f t="shared" si="2"/>
        <v>0</v>
      </c>
      <c r="G19" s="1835">
        <f t="shared" si="2"/>
        <v>254958</v>
      </c>
      <c r="H19" s="1835">
        <f t="shared" si="2"/>
        <v>239853</v>
      </c>
      <c r="I19" s="1835">
        <f t="shared" si="2"/>
        <v>0</v>
      </c>
      <c r="J19" s="1835">
        <f t="shared" si="2"/>
        <v>239853</v>
      </c>
    </row>
    <row r="20" spans="1:10" ht="13.5" thickTop="1" x14ac:dyDescent="0.2">
      <c r="A20" s="1036">
        <v>9</v>
      </c>
      <c r="B20" s="2348" t="s">
        <v>1703</v>
      </c>
      <c r="C20" s="2348"/>
      <c r="D20" s="2349"/>
      <c r="E20" s="1047"/>
      <c r="F20" s="1047"/>
      <c r="G20" s="1047"/>
      <c r="H20" s="1047"/>
      <c r="I20" s="1047"/>
      <c r="J20" s="1836">
        <f>IF(AND(G19&gt;0,J19&gt;0),(((J19-G19)/G19)),"Enter Budget Data")</f>
        <v>-5.9245052126232559E-2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1093</v>
      </c>
      <c r="D27" s="1053"/>
      <c r="E27" s="1054"/>
      <c r="F27" s="2350" t="s">
        <v>1589</v>
      </c>
      <c r="G27" s="2350"/>
    </row>
    <row r="28" spans="1:10" ht="28.5" customHeight="1" x14ac:dyDescent="0.2">
      <c r="B28" s="1048"/>
      <c r="C28" s="2352"/>
      <c r="D28" s="2352"/>
      <c r="E28" s="1055"/>
      <c r="F28" s="2352"/>
      <c r="G28" s="2352"/>
    </row>
    <row r="29" spans="1:10" x14ac:dyDescent="0.2">
      <c r="B29" s="1048"/>
      <c r="C29" s="1056" t="s">
        <v>1642</v>
      </c>
      <c r="E29" s="1057"/>
      <c r="F29" s="2351" t="s">
        <v>1590</v>
      </c>
      <c r="G29" s="2351"/>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1941</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937</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8"/>
  <sheetViews>
    <sheetView showGridLines="0" topLeftCell="A30" zoomScale="110" zoomScaleNormal="110" workbookViewId="0">
      <selection activeCell="B7" sqref="B7"/>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956" t="s">
        <v>66</v>
      </c>
    </row>
    <row r="6" spans="1:1" x14ac:dyDescent="0.2">
      <c r="A6" s="1070" t="s">
        <v>2162</v>
      </c>
    </row>
    <row r="7" spans="1:1" x14ac:dyDescent="0.2">
      <c r="A7" s="1070" t="s">
        <v>2163</v>
      </c>
    </row>
    <row r="8" spans="1:1" x14ac:dyDescent="0.2">
      <c r="A8" s="1069"/>
    </row>
    <row r="9" spans="1:1" x14ac:dyDescent="0.2">
      <c r="A9" s="1070" t="s">
        <v>2164</v>
      </c>
    </row>
    <row r="10" spans="1:1" x14ac:dyDescent="0.2">
      <c r="A10" s="1070" t="s">
        <v>2165</v>
      </c>
    </row>
    <row r="11" spans="1:1" x14ac:dyDescent="0.2">
      <c r="A11" s="1070"/>
    </row>
    <row r="12" spans="1:1" x14ac:dyDescent="0.2">
      <c r="A12" s="1070" t="s">
        <v>2166</v>
      </c>
    </row>
    <row r="13" spans="1:1" x14ac:dyDescent="0.2">
      <c r="A13" s="1070" t="s">
        <v>2167</v>
      </c>
    </row>
    <row r="14" spans="1:1" x14ac:dyDescent="0.2">
      <c r="A14" s="1070"/>
    </row>
    <row r="15" spans="1:1" x14ac:dyDescent="0.2">
      <c r="A15" s="1070" t="s">
        <v>2168</v>
      </c>
    </row>
    <row r="16" spans="1:1" x14ac:dyDescent="0.2">
      <c r="A16" s="1070" t="s">
        <v>2169</v>
      </c>
    </row>
    <row r="17" spans="1:1" x14ac:dyDescent="0.2">
      <c r="A17" s="1070"/>
    </row>
    <row r="18" spans="1:1" x14ac:dyDescent="0.2">
      <c r="A18" s="1070" t="s">
        <v>2170</v>
      </c>
    </row>
    <row r="19" spans="1:1" x14ac:dyDescent="0.2">
      <c r="A19" s="1070" t="s">
        <v>2171</v>
      </c>
    </row>
    <row r="20" spans="1:1" x14ac:dyDescent="0.2">
      <c r="A20" s="1070"/>
    </row>
    <row r="21" spans="1:1" x14ac:dyDescent="0.2">
      <c r="A21" s="1070" t="s">
        <v>2172</v>
      </c>
    </row>
    <row r="22" spans="1:1" x14ac:dyDescent="0.2">
      <c r="A22" s="1070" t="s">
        <v>2173</v>
      </c>
    </row>
    <row r="23" spans="1:1" x14ac:dyDescent="0.2">
      <c r="A23" s="1070"/>
    </row>
    <row r="24" spans="1:1" x14ac:dyDescent="0.2">
      <c r="A24" s="1956" t="s">
        <v>2174</v>
      </c>
    </row>
    <row r="25" spans="1:1" x14ac:dyDescent="0.2">
      <c r="A25" s="1070" t="s">
        <v>2168</v>
      </c>
    </row>
    <row r="26" spans="1:1" x14ac:dyDescent="0.2">
      <c r="A26" s="1070" t="s">
        <v>2175</v>
      </c>
    </row>
    <row r="27" spans="1:1" x14ac:dyDescent="0.2">
      <c r="A27" s="1070"/>
    </row>
    <row r="28" spans="1:1" x14ac:dyDescent="0.2">
      <c r="A28" s="1956" t="s">
        <v>2178</v>
      </c>
    </row>
    <row r="29" spans="1:1" x14ac:dyDescent="0.2">
      <c r="A29" s="1070" t="s">
        <v>2176</v>
      </c>
    </row>
    <row r="30" spans="1:1" x14ac:dyDescent="0.2">
      <c r="A30" s="1070" t="s">
        <v>2177</v>
      </c>
    </row>
    <row r="31" spans="1:1" x14ac:dyDescent="0.2">
      <c r="A31" s="1070"/>
    </row>
    <row r="32" spans="1:1" x14ac:dyDescent="0.2">
      <c r="A32" s="1956" t="s">
        <v>359</v>
      </c>
    </row>
    <row r="33" spans="1:1" x14ac:dyDescent="0.2">
      <c r="A33" s="1070" t="s">
        <v>2168</v>
      </c>
    </row>
    <row r="34" spans="1:1" x14ac:dyDescent="0.2">
      <c r="A34" s="1070" t="s">
        <v>2179</v>
      </c>
    </row>
    <row r="35" spans="1:1" x14ac:dyDescent="0.2">
      <c r="A35" s="1070"/>
    </row>
    <row r="36" spans="1:1" x14ac:dyDescent="0.2">
      <c r="A36" s="1070" t="s">
        <v>2180</v>
      </c>
    </row>
    <row r="37" spans="1:1" x14ac:dyDescent="0.2">
      <c r="A37" s="1070" t="s">
        <v>2181</v>
      </c>
    </row>
    <row r="38" spans="1:1" x14ac:dyDescent="0.2">
      <c r="A38" s="1070"/>
    </row>
    <row r="39" spans="1:1" x14ac:dyDescent="0.2">
      <c r="A39" s="1956" t="s">
        <v>2182</v>
      </c>
    </row>
    <row r="40" spans="1:1" x14ac:dyDescent="0.2">
      <c r="A40" s="1070" t="s">
        <v>2168</v>
      </c>
    </row>
    <row r="41" spans="1:1" x14ac:dyDescent="0.2">
      <c r="A41" s="1070" t="s">
        <v>2215</v>
      </c>
    </row>
    <row r="42" spans="1:1" x14ac:dyDescent="0.2">
      <c r="A42" s="1070"/>
    </row>
    <row r="43" spans="1:1" x14ac:dyDescent="0.2">
      <c r="A43" s="1070" t="s">
        <v>2183</v>
      </c>
    </row>
    <row r="44" spans="1:1" x14ac:dyDescent="0.2">
      <c r="A44" s="1070" t="s">
        <v>2184</v>
      </c>
    </row>
    <row r="45" spans="1:1" x14ac:dyDescent="0.2">
      <c r="A45" s="1070"/>
    </row>
    <row r="46" spans="1:1" x14ac:dyDescent="0.2">
      <c r="A46" s="1956" t="s">
        <v>2185</v>
      </c>
    </row>
    <row r="47" spans="1:1" x14ac:dyDescent="0.2">
      <c r="A47" s="1070" t="s">
        <v>2213</v>
      </c>
    </row>
    <row r="48" spans="1:1" x14ac:dyDescent="0.2">
      <c r="A48" s="1070" t="s">
        <v>2214</v>
      </c>
    </row>
    <row r="49" spans="1:1" x14ac:dyDescent="0.2">
      <c r="A49" s="1070"/>
    </row>
    <row r="50" spans="1:1" x14ac:dyDescent="0.2">
      <c r="A50" s="1070" t="s">
        <v>2216</v>
      </c>
    </row>
    <row r="51" spans="1:1" x14ac:dyDescent="0.2">
      <c r="A51" s="1070" t="s">
        <v>2186</v>
      </c>
    </row>
    <row r="52" spans="1:1" x14ac:dyDescent="0.2">
      <c r="A52" s="1070"/>
    </row>
    <row r="53" spans="1:1" x14ac:dyDescent="0.2">
      <c r="A53" s="1070" t="s">
        <v>2200</v>
      </c>
    </row>
    <row r="54" spans="1:1" x14ac:dyDescent="0.2">
      <c r="A54" s="1070" t="s">
        <v>2187</v>
      </c>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c r="B67" s="258" t="str">
        <f>COVER!A17</f>
        <v>Monmouth-Roseville CUSD 238</v>
      </c>
    </row>
    <row r="68" spans="1:2" x14ac:dyDescent="0.2">
      <c r="B68" s="1071">
        <f>COVER!A13</f>
        <v>3309438026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Z5" sqref="Z5"/>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8" t="s">
        <v>1709</v>
      </c>
    </row>
    <row r="23" spans="1:5" x14ac:dyDescent="0.2">
      <c r="A23" s="168"/>
      <c r="B23" s="162" t="s">
        <v>1966</v>
      </c>
      <c r="D23" s="167" t="s">
        <v>658</v>
      </c>
      <c r="E23" s="185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2" t="s">
        <v>1125</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715</v>
      </c>
      <c r="B40" s="2069"/>
      <c r="C40" s="2069"/>
      <c r="D40" s="2069"/>
      <c r="E40" s="2069"/>
    </row>
    <row r="41" spans="1:5" x14ac:dyDescent="0.2">
      <c r="A41" s="2070" t="s">
        <v>1706</v>
      </c>
      <c r="B41" s="2070"/>
      <c r="C41" s="2070"/>
      <c r="D41" s="2070"/>
      <c r="E41" s="2070"/>
    </row>
    <row r="42" spans="1:5" ht="12.75" customHeight="1" x14ac:dyDescent="0.2">
      <c r="A42" s="2071" t="s">
        <v>1080</v>
      </c>
      <c r="B42" s="2071"/>
      <c r="C42" s="2071"/>
      <c r="D42" s="2071"/>
      <c r="E42" s="2071"/>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B7" sqref="B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5" t="s">
        <v>1784</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8913" r:id="rId4"/>
      </mc:Fallback>
    </mc:AlternateContent>
    <mc:AlternateContent xmlns:mc="http://schemas.openxmlformats.org/markup-compatibility/2006">
      <mc:Choice Requires="x14">
        <oleObject progId="Acrobat Document" dvAspect="DVASPECT_ICON" shapeId="38915" r:id="rId6">
          <objectPr defaultSize="0" r:id="rId7">
            <anchor moveWithCells="1">
              <from>
                <xdr:col>1</xdr:col>
                <xdr:colOff>85725</xdr:colOff>
                <xdr:row>0</xdr:row>
                <xdr:rowOff>47625</xdr:rowOff>
              </from>
              <to>
                <xdr:col>1</xdr:col>
                <xdr:colOff>1000125</xdr:colOff>
                <xdr:row>4</xdr:row>
                <xdr:rowOff>85725</xdr:rowOff>
              </to>
            </anchor>
          </objectPr>
        </oleObject>
      </mc:Choice>
      <mc:Fallback>
        <oleObject progId="Acrobat Document" dvAspect="DVASPECT_ICON" shapeId="38915"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B7" sqref="B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1790</v>
      </c>
      <c r="B1" s="2357"/>
      <c r="C1" s="2357"/>
      <c r="D1" s="2357"/>
      <c r="E1" s="2357"/>
      <c r="F1" s="2358"/>
    </row>
    <row r="2" spans="1:8" ht="45" customHeight="1" x14ac:dyDescent="0.2">
      <c r="A2" s="2366" t="s">
        <v>1791</v>
      </c>
      <c r="B2" s="2367"/>
      <c r="C2" s="2367"/>
      <c r="D2" s="2367"/>
      <c r="E2" s="2367"/>
      <c r="F2" s="2368"/>
      <c r="G2" s="1075"/>
      <c r="H2" s="1075"/>
    </row>
    <row r="3" spans="1:8" ht="57" customHeight="1" x14ac:dyDescent="0.2">
      <c r="A3" s="2369" t="s">
        <v>1786</v>
      </c>
      <c r="B3" s="2370"/>
      <c r="C3" s="2370"/>
      <c r="D3" s="2370"/>
      <c r="E3" s="2370"/>
      <c r="F3" s="2371"/>
      <c r="G3" s="1075"/>
      <c r="H3" s="1075"/>
    </row>
    <row r="4" spans="1:8" ht="14.25" customHeight="1" x14ac:dyDescent="0.2">
      <c r="A4" s="2375" t="s">
        <v>2053</v>
      </c>
      <c r="B4" s="2376"/>
      <c r="C4" s="2376"/>
      <c r="D4" s="2376"/>
      <c r="E4" s="2376"/>
      <c r="F4" s="2377"/>
      <c r="G4" s="1075"/>
      <c r="H4" s="1075"/>
    </row>
    <row r="5" spans="1:8" ht="14.25" customHeight="1" x14ac:dyDescent="0.2">
      <c r="A5" s="2378" t="s">
        <v>2054</v>
      </c>
      <c r="B5" s="2379"/>
      <c r="C5" s="2379"/>
      <c r="D5" s="2379"/>
      <c r="E5" s="2379"/>
      <c r="F5" s="2380"/>
      <c r="G5" s="1075"/>
      <c r="H5" s="1075"/>
    </row>
    <row r="6" spans="1:8" s="1076" customFormat="1" ht="41.25" customHeight="1" x14ac:dyDescent="0.2">
      <c r="A6" s="2372" t="s">
        <v>1792</v>
      </c>
      <c r="B6" s="2373"/>
      <c r="C6" s="2373"/>
      <c r="D6" s="2373"/>
      <c r="E6" s="2373"/>
      <c r="F6" s="2374"/>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13994648</v>
      </c>
      <c r="C8" s="1837">
        <f>'Acct Summary 7-8'!D8</f>
        <v>1098275</v>
      </c>
      <c r="D8" s="1837">
        <f>'Acct Summary 7-8'!F8</f>
        <v>1470456</v>
      </c>
      <c r="E8" s="1837">
        <f>'Acct Summary 7-8'!I8</f>
        <v>74237</v>
      </c>
      <c r="F8" s="1837">
        <f>SUM(B8:E8)</f>
        <v>16637616</v>
      </c>
    </row>
    <row r="9" spans="1:8" s="1080" customFormat="1" ht="14.25" customHeight="1" thickBot="1" x14ac:dyDescent="0.25">
      <c r="A9" s="1079" t="s">
        <v>1436</v>
      </c>
      <c r="B9" s="1838">
        <f>'Acct Summary 7-8'!C17</f>
        <v>11365992</v>
      </c>
      <c r="C9" s="1838">
        <f>'Acct Summary 7-8'!D17</f>
        <v>842764</v>
      </c>
      <c r="D9" s="1838">
        <f>'Acct Summary 7-8'!F17</f>
        <v>990695</v>
      </c>
      <c r="E9" s="1837"/>
      <c r="F9" s="1837">
        <f>SUM(B9:E9)</f>
        <v>13199451</v>
      </c>
    </row>
    <row r="10" spans="1:8" s="1080" customFormat="1" ht="14.25" thickTop="1" thickBot="1" x14ac:dyDescent="0.25">
      <c r="A10" s="1081" t="s">
        <v>1437</v>
      </c>
      <c r="B10" s="1839">
        <f>(B8-B9)</f>
        <v>2628656</v>
      </c>
      <c r="C10" s="1839">
        <f>(C8-C9)</f>
        <v>255511</v>
      </c>
      <c r="D10" s="1839">
        <f>(D8-D9)</f>
        <v>479761</v>
      </c>
      <c r="E10" s="1838">
        <f>(E8-E9)</f>
        <v>74237</v>
      </c>
      <c r="F10" s="1840">
        <f>SUM(F8-F9)</f>
        <v>3438165</v>
      </c>
    </row>
    <row r="11" spans="1:8" s="1080" customFormat="1" ht="14.25" thickTop="1" thickBot="1" x14ac:dyDescent="0.25">
      <c r="A11" s="1082" t="s">
        <v>1785</v>
      </c>
      <c r="B11" s="1841">
        <f>'Acct Summary 7-8'!C81</f>
        <v>5928081</v>
      </c>
      <c r="C11" s="1841">
        <f>'Acct Summary 7-8'!D81</f>
        <v>1069673</v>
      </c>
      <c r="D11" s="1841">
        <f>'Acct Summary 7-8'!F81</f>
        <v>1191095</v>
      </c>
      <c r="E11" s="1841">
        <f>'Acct Summary 7-8'!I81</f>
        <v>2089275</v>
      </c>
      <c r="F11" s="1842">
        <f>SUM(B11:E11)</f>
        <v>10278124</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1787</v>
      </c>
      <c r="B16" s="2359"/>
      <c r="C16" s="2359"/>
      <c r="D16" s="2359"/>
      <c r="E16" s="2359"/>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B7" sqref="B7"/>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81" t="s">
        <v>686</v>
      </c>
      <c r="B3" s="2382"/>
      <c r="C3" s="2382"/>
      <c r="D3" s="2383"/>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2" t="s">
        <v>1584</v>
      </c>
      <c r="D7" s="2393"/>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4" t="s">
        <v>1065</v>
      </c>
      <c r="B15" s="2385"/>
      <c r="C15" s="2385"/>
      <c r="D15" s="2386"/>
    </row>
    <row r="16" spans="1:4" s="669" customFormat="1" ht="24" customHeight="1" x14ac:dyDescent="0.2">
      <c r="A16" s="2387" t="s">
        <v>684</v>
      </c>
      <c r="B16" s="2388"/>
      <c r="C16" s="2388"/>
      <c r="D16" s="2389"/>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6" t="s">
        <v>332</v>
      </c>
      <c r="D21" s="2397"/>
    </row>
    <row r="22" spans="1:10" ht="12.75" x14ac:dyDescent="0.2">
      <c r="A22" s="1140"/>
      <c r="B22" s="1141">
        <v>2</v>
      </c>
      <c r="C22" s="2394" t="s">
        <v>1605</v>
      </c>
      <c r="D22" s="2395"/>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8" t="s">
        <v>557</v>
      </c>
      <c r="D43" s="2399"/>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0" t="s">
        <v>817</v>
      </c>
      <c r="D56" s="2391"/>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ERROR!</v>
      </c>
    </row>
    <row r="70" spans="1:4" x14ac:dyDescent="0.2">
      <c r="A70" s="1099"/>
      <c r="B70" s="1121">
        <f>B66+1</f>
        <v>9</v>
      </c>
      <c r="C70" s="2390" t="s">
        <v>1797</v>
      </c>
      <c r="D70" s="2391"/>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29'!D29&gt;0,"OK","PLEASE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3309438026</v>
      </c>
    </row>
    <row r="3" spans="1:2" x14ac:dyDescent="0.2">
      <c r="A3" t="s">
        <v>1013</v>
      </c>
      <c r="B3" s="138" t="str">
        <f>COVER!A15</f>
        <v>Warren</v>
      </c>
    </row>
    <row r="4" spans="1:2" x14ac:dyDescent="0.2">
      <c r="A4" t="s">
        <v>1064</v>
      </c>
      <c r="B4" s="138" t="str">
        <f>COVER!A17</f>
        <v>Monmouth-Roseville CUSD 238</v>
      </c>
    </row>
    <row r="5" spans="1:2" x14ac:dyDescent="0.2">
      <c r="A5" t="s">
        <v>728</v>
      </c>
      <c r="B5" s="138" t="str">
        <f>COVER!A38</f>
        <v>Mr. Edward Fletcher</v>
      </c>
    </row>
    <row r="6" spans="1:2" x14ac:dyDescent="0.2">
      <c r="A6" t="s">
        <v>733</v>
      </c>
      <c r="B6" s="138">
        <f>COVER!P35</f>
        <v>0</v>
      </c>
    </row>
    <row r="7" spans="1:2" x14ac:dyDescent="0.2">
      <c r="A7" t="s">
        <v>729</v>
      </c>
      <c r="B7" s="138">
        <f>COVER!I38</f>
        <v>0</v>
      </c>
    </row>
    <row r="8" spans="1:2" x14ac:dyDescent="0.2">
      <c r="A8" t="s">
        <v>730</v>
      </c>
      <c r="B8" s="138" t="str">
        <f>COVER!T38</f>
        <v>Mrs. Jodi Scott</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f>COVER!T23</f>
        <v>60.008476000000002</v>
      </c>
    </row>
    <row r="16" spans="1:2" x14ac:dyDescent="0.2">
      <c r="A16" t="s">
        <v>442</v>
      </c>
      <c r="B16" s="138" t="str">
        <f>COVER!T13</f>
        <v>Cavanaugh, Davies, Blackman &amp; Cramblet</v>
      </c>
    </row>
    <row r="17" spans="1:2" x14ac:dyDescent="0.2">
      <c r="A17" t="s">
        <v>939</v>
      </c>
      <c r="B17" s="138" t="str">
        <f>COVER!T15</f>
        <v>Rod Davies</v>
      </c>
    </row>
    <row r="18" spans="1:2" x14ac:dyDescent="0.2">
      <c r="A18" t="s">
        <v>1212</v>
      </c>
      <c r="B18" s="138" t="str">
        <f>COVER!T17</f>
        <v>1021 North Main St., PO Box 318</v>
      </c>
    </row>
    <row r="19" spans="1:2" x14ac:dyDescent="0.2">
      <c r="A19" t="s">
        <v>941</v>
      </c>
      <c r="B19" s="138" t="str">
        <f>COVER!T25</f>
        <v>cdbccpas@monmouthcpa.com</v>
      </c>
    </row>
    <row r="20" spans="1:2" x14ac:dyDescent="0.2">
      <c r="A20" t="s">
        <v>942</v>
      </c>
      <c r="B20" s="138" t="str">
        <f>COVER!T19</f>
        <v>Monmouth</v>
      </c>
    </row>
    <row r="21" spans="1:2" x14ac:dyDescent="0.2">
      <c r="A21" t="s">
        <v>500</v>
      </c>
      <c r="B21" s="138" t="str">
        <f>COVER!X19</f>
        <v>IL</v>
      </c>
    </row>
    <row r="22" spans="1:2" x14ac:dyDescent="0.2">
      <c r="A22" t="s">
        <v>943</v>
      </c>
      <c r="B22" s="138">
        <f>COVER!Z19</f>
        <v>61462</v>
      </c>
    </row>
    <row r="23" spans="1:2" x14ac:dyDescent="0.2">
      <c r="A23" t="s">
        <v>1214</v>
      </c>
      <c r="B23" s="138" t="str">
        <f>COVER!T21</f>
        <v>309-734-2330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Yes</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5928081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5928081</v>
      </c>
      <c r="D92" s="2" t="str">
        <f t="shared" si="0"/>
        <v>Error?</v>
      </c>
    </row>
    <row r="93" spans="1:4" x14ac:dyDescent="0.2">
      <c r="A93" s="5">
        <v>32</v>
      </c>
      <c r="B93" s="138">
        <f>'Assets-Liab 5-6'!C41</f>
        <v>5928081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1069673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1069673</v>
      </c>
      <c r="D123" s="2" t="str">
        <f t="shared" si="0"/>
        <v>Error?</v>
      </c>
    </row>
    <row r="124" spans="1:4" x14ac:dyDescent="0.2">
      <c r="A124" s="5">
        <v>63</v>
      </c>
      <c r="B124" s="138">
        <f>'Assets-Liab 5-6'!D41</f>
        <v>1069673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13728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20000</v>
      </c>
      <c r="C139" s="2" t="s">
        <v>594</v>
      </c>
      <c r="D139" s="2" t="str">
        <f t="shared" si="1"/>
        <v>Error?</v>
      </c>
    </row>
    <row r="140" spans="1:4" x14ac:dyDescent="0.2">
      <c r="A140" s="5">
        <v>79</v>
      </c>
      <c r="B140" s="138">
        <f>'Assets-Liab 5-6'!E39</f>
        <v>-6272</v>
      </c>
      <c r="D140" s="2" t="str">
        <f t="shared" si="1"/>
        <v>Error?</v>
      </c>
    </row>
    <row r="141" spans="1:4" x14ac:dyDescent="0.2">
      <c r="A141" s="5">
        <v>80</v>
      </c>
      <c r="B141" s="138">
        <f>'Assets-Liab 5-6'!E41</f>
        <v>13728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1191095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1191095</v>
      </c>
      <c r="D170" s="2" t="str">
        <f t="shared" si="1"/>
        <v>Error?</v>
      </c>
    </row>
    <row r="171" spans="1:4" x14ac:dyDescent="0.2">
      <c r="A171" s="5">
        <v>110</v>
      </c>
      <c r="B171" s="138">
        <f>'Assets-Liab 5-6'!F41</f>
        <v>1191095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744820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532386</v>
      </c>
      <c r="D189" s="2" t="str">
        <f t="shared" si="1"/>
        <v>Error?</v>
      </c>
    </row>
    <row r="190" spans="1:4" x14ac:dyDescent="0.2">
      <c r="A190" s="5">
        <v>129</v>
      </c>
      <c r="B190" s="138">
        <f>'Assets-Liab 5-6'!G41</f>
        <v>744820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147217</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147217</v>
      </c>
      <c r="D212" s="2" t="str">
        <f t="shared" si="2"/>
        <v>Error?</v>
      </c>
    </row>
    <row r="213" spans="1:4" x14ac:dyDescent="0.2">
      <c r="A213" s="12">
        <v>152</v>
      </c>
      <c r="B213" s="138">
        <f>'Assets-Liab 5-6'!H41</f>
        <v>147217</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468103</v>
      </c>
      <c r="D273" s="2" t="str">
        <f t="shared" si="3"/>
        <v>Error?</v>
      </c>
    </row>
    <row r="274" spans="1:4" x14ac:dyDescent="0.2">
      <c r="A274" s="5">
        <v>213</v>
      </c>
      <c r="B274" s="138">
        <f>'Assets-Liab 5-6'!M17</f>
        <v>7567245</v>
      </c>
      <c r="D274" s="2" t="str">
        <f t="shared" si="3"/>
        <v>Error?</v>
      </c>
    </row>
    <row r="275" spans="1:4" x14ac:dyDescent="0.2">
      <c r="A275" s="5">
        <v>214</v>
      </c>
      <c r="B275" s="138">
        <f>'Assets-Liab 5-6'!M18</f>
        <v>11996630</v>
      </c>
      <c r="D275" s="2" t="str">
        <f t="shared" si="3"/>
        <v>Error?</v>
      </c>
    </row>
    <row r="276" spans="1:4" x14ac:dyDescent="0.2">
      <c r="A276" s="5">
        <v>215</v>
      </c>
      <c r="B276" s="138">
        <f>'Assets-Liab 5-6'!M19</f>
        <v>2345642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22377620</v>
      </c>
      <c r="C279" s="2" t="s">
        <v>594</v>
      </c>
      <c r="D279" s="2" t="str">
        <f t="shared" si="3"/>
        <v>Error?</v>
      </c>
    </row>
    <row r="280" spans="1:4" x14ac:dyDescent="0.2">
      <c r="A280" s="5">
        <v>219</v>
      </c>
      <c r="B280" s="138">
        <f>'Assets-Liab 5-6'!M40</f>
        <v>22377620</v>
      </c>
      <c r="D280" s="2" t="str">
        <f t="shared" si="3"/>
        <v>Error?</v>
      </c>
    </row>
    <row r="281" spans="1:4" x14ac:dyDescent="0.2">
      <c r="A281" s="5">
        <v>220</v>
      </c>
      <c r="B281" s="138">
        <f>'Assets-Liab 5-6'!M41</f>
        <v>22377620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5006000</v>
      </c>
      <c r="D283" s="2" t="str">
        <f t="shared" si="3"/>
        <v>Error?</v>
      </c>
    </row>
    <row r="284" spans="1:4" x14ac:dyDescent="0.2">
      <c r="A284" s="5">
        <v>223</v>
      </c>
      <c r="B284" s="138">
        <f>'Assets-Liab 5-6'!N23</f>
        <v>5006000</v>
      </c>
      <c r="C284" s="2" t="s">
        <v>594</v>
      </c>
      <c r="D284" s="2" t="str">
        <f t="shared" si="3"/>
        <v>Error?</v>
      </c>
    </row>
    <row r="285" spans="1:4" x14ac:dyDescent="0.2">
      <c r="A285" s="5">
        <v>224</v>
      </c>
      <c r="B285" s="138">
        <f>'Assets-Liab 5-6'!N36</f>
        <v>5006000</v>
      </c>
      <c r="D285" s="2" t="str">
        <f t="shared" si="3"/>
        <v>Error?</v>
      </c>
    </row>
    <row r="286" spans="1:4" x14ac:dyDescent="0.2">
      <c r="A286" s="10">
        <v>225</v>
      </c>
      <c r="D286" s="2" t="str">
        <f t="shared" si="3"/>
        <v>OK</v>
      </c>
    </row>
    <row r="287" spans="1:4" x14ac:dyDescent="0.2">
      <c r="A287" s="5">
        <v>226</v>
      </c>
      <c r="B287" s="138">
        <f>'Assets-Liab 5-6'!N37</f>
        <v>5006000</v>
      </c>
      <c r="C287" s="2" t="s">
        <v>594</v>
      </c>
      <c r="D287" s="2" t="str">
        <f t="shared" si="3"/>
        <v>Error?</v>
      </c>
    </row>
    <row r="288" spans="1:4" x14ac:dyDescent="0.2">
      <c r="A288" s="5">
        <v>227</v>
      </c>
      <c r="B288" s="138">
        <f>'Assets-Liab 5-6'!N41</f>
        <v>5006000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4461696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8107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217391</v>
      </c>
      <c r="D717" s="2" t="str">
        <f t="shared" si="10"/>
        <v>Error?</v>
      </c>
    </row>
    <row r="718" spans="1:4" x14ac:dyDescent="0.2">
      <c r="A718" s="5">
        <v>657</v>
      </c>
      <c r="B718" s="138">
        <f>'Expenditures 15-22'!C14</f>
        <v>203923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5942905</v>
      </c>
      <c r="C720" s="2" t="s">
        <v>594</v>
      </c>
      <c r="D720" s="2" t="str">
        <f t="shared" si="10"/>
        <v>Error?</v>
      </c>
    </row>
    <row r="721" spans="1:4" x14ac:dyDescent="0.2">
      <c r="A721" s="5">
        <v>660</v>
      </c>
      <c r="B721" s="138">
        <f>'Expenditures 15-22'!C36</f>
        <v>32728</v>
      </c>
      <c r="D721" s="2" t="str">
        <f t="shared" si="10"/>
        <v>Error?</v>
      </c>
    </row>
    <row r="722" spans="1:4" x14ac:dyDescent="0.2">
      <c r="A722" s="5">
        <v>661</v>
      </c>
      <c r="B722" s="138">
        <f>'Expenditures 15-22'!C37</f>
        <v>251635</v>
      </c>
      <c r="D722" s="2" t="str">
        <f t="shared" si="10"/>
        <v>Error?</v>
      </c>
    </row>
    <row r="723" spans="1:4" x14ac:dyDescent="0.2">
      <c r="A723" s="5">
        <v>662</v>
      </c>
      <c r="B723" s="138">
        <f>'Expenditures 15-22'!C38</f>
        <v>17624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301987</v>
      </c>
      <c r="C727" s="2" t="s">
        <v>594</v>
      </c>
      <c r="D727" s="2" t="str">
        <f t="shared" si="10"/>
        <v>Error?</v>
      </c>
    </row>
    <row r="728" spans="1:4" x14ac:dyDescent="0.2">
      <c r="A728" s="5">
        <v>667</v>
      </c>
      <c r="B728" s="138">
        <f>'Expenditures 15-22'!C44</f>
        <v>6975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6975</v>
      </c>
      <c r="C731" s="2" t="s">
        <v>594</v>
      </c>
      <c r="D731" s="2" t="str">
        <f t="shared" si="10"/>
        <v>Error?</v>
      </c>
    </row>
    <row r="732" spans="1:4" x14ac:dyDescent="0.2">
      <c r="A732" s="5">
        <v>671</v>
      </c>
      <c r="B732" s="138">
        <f>'Expenditures 15-22'!C49</f>
        <v>6500</v>
      </c>
      <c r="D732" s="2" t="str">
        <f t="shared" si="10"/>
        <v>Error?</v>
      </c>
    </row>
    <row r="733" spans="1:4" x14ac:dyDescent="0.2">
      <c r="A733" s="5">
        <v>672</v>
      </c>
      <c r="B733" s="138">
        <f>'Expenditures 15-22'!C50</f>
        <v>205651</v>
      </c>
      <c r="D733" s="2" t="str">
        <f t="shared" si="10"/>
        <v>Error?</v>
      </c>
    </row>
    <row r="734" spans="1:4" x14ac:dyDescent="0.2">
      <c r="A734" s="5">
        <v>673</v>
      </c>
      <c r="B734" s="138">
        <f>'Expenditures 15-22'!C53</f>
        <v>212151</v>
      </c>
      <c r="C734" s="2" t="s">
        <v>594</v>
      </c>
      <c r="D734" s="2" t="str">
        <f t="shared" si="10"/>
        <v>Error?</v>
      </c>
    </row>
    <row r="735" spans="1:4" x14ac:dyDescent="0.2">
      <c r="A735" s="5">
        <v>674</v>
      </c>
      <c r="B735" s="138">
        <f>'Expenditures 15-22'!C55</f>
        <v>834377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834377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73960</v>
      </c>
      <c r="D739" s="2" t="str">
        <f t="shared" si="10"/>
        <v>Error?</v>
      </c>
    </row>
    <row r="740" spans="1:4" x14ac:dyDescent="0.2">
      <c r="A740" s="5">
        <v>679</v>
      </c>
      <c r="B740" s="138">
        <f>'Expenditures 15-22'!C61</f>
        <v>286806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303585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664351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83689</v>
      </c>
      <c r="D754" s="2" t="str">
        <f t="shared" si="10"/>
        <v>Error?</v>
      </c>
    </row>
    <row r="755" spans="1:4" x14ac:dyDescent="0.2">
      <c r="A755" s="5">
        <v>694</v>
      </c>
      <c r="B755" s="138">
        <f>'Expenditures 15-22'!C74</f>
        <v>2103530</v>
      </c>
      <c r="C755" s="2" t="s">
        <v>594</v>
      </c>
      <c r="D755" s="2" t="str">
        <f t="shared" si="10"/>
        <v>Error?</v>
      </c>
    </row>
    <row r="756" spans="1:4" x14ac:dyDescent="0.2">
      <c r="A756" s="5">
        <v>695</v>
      </c>
      <c r="B756" s="138">
        <f>'Expenditures 15-22'!C75</f>
        <v>9315</v>
      </c>
      <c r="D756" s="2" t="str">
        <f t="shared" si="10"/>
        <v>Error?</v>
      </c>
    </row>
    <row r="757" spans="1:4" x14ac:dyDescent="0.2">
      <c r="A757" s="5">
        <v>696</v>
      </c>
      <c r="B757" s="138">
        <f>'Expenditures 15-22'!C114</f>
        <v>8055750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596707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31645</v>
      </c>
      <c r="D775" s="2" t="str">
        <f t="shared" si="11"/>
        <v>Error?</v>
      </c>
    </row>
    <row r="776" spans="1:4" x14ac:dyDescent="0.2">
      <c r="A776" s="5">
        <v>715</v>
      </c>
      <c r="B776" s="138">
        <f>'Expenditures 15-22'!D14</f>
        <v>2241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781865</v>
      </c>
      <c r="C778" s="2" t="s">
        <v>594</v>
      </c>
      <c r="D778" s="2" t="str">
        <f t="shared" si="11"/>
        <v>Error?</v>
      </c>
    </row>
    <row r="779" spans="1:4" x14ac:dyDescent="0.2">
      <c r="A779" s="5">
        <v>718</v>
      </c>
      <c r="B779" s="138">
        <f>'Expenditures 15-22'!D36</f>
        <v>5406</v>
      </c>
      <c r="D779" s="2" t="str">
        <f t="shared" si="11"/>
        <v>Error?</v>
      </c>
    </row>
    <row r="780" spans="1:4" x14ac:dyDescent="0.2">
      <c r="A780" s="5">
        <v>719</v>
      </c>
      <c r="B780" s="138">
        <f>'Expenditures 15-22'!D37</f>
        <v>44231</v>
      </c>
      <c r="D780" s="2" t="str">
        <f t="shared" si="11"/>
        <v>Error?</v>
      </c>
    </row>
    <row r="781" spans="1:4" x14ac:dyDescent="0.2">
      <c r="A781" s="5">
        <v>720</v>
      </c>
      <c r="B781" s="138">
        <f>'Expenditures 15-22'!D38</f>
        <v>3196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52833</v>
      </c>
      <c r="C785" s="2" t="s">
        <v>594</v>
      </c>
      <c r="D785" s="2" t="str">
        <f t="shared" si="11"/>
        <v>Error?</v>
      </c>
    </row>
    <row r="786" spans="1:4" x14ac:dyDescent="0.2">
      <c r="A786" s="5">
        <v>725</v>
      </c>
      <c r="B786" s="138">
        <f>'Expenditures 15-22'!D44</f>
        <v>610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610</v>
      </c>
      <c r="C789" s="2" t="s">
        <v>594</v>
      </c>
      <c r="D789" s="2" t="str">
        <f t="shared" si="11"/>
        <v>Error?</v>
      </c>
    </row>
    <row r="790" spans="1:4" x14ac:dyDescent="0.2">
      <c r="A790" s="5">
        <v>729</v>
      </c>
      <c r="B790" s="138">
        <f>'Expenditures 15-22'!D49</f>
        <v>18628</v>
      </c>
      <c r="D790" s="2" t="str">
        <f t="shared" si="11"/>
        <v>Error?</v>
      </c>
    </row>
    <row r="791" spans="1:4" x14ac:dyDescent="0.2">
      <c r="A791" s="5">
        <v>730</v>
      </c>
      <c r="B791" s="138">
        <f>'Expenditures 15-22'!D50</f>
        <v>24742</v>
      </c>
      <c r="D791" s="2" t="str">
        <f t="shared" si="11"/>
        <v>Error?</v>
      </c>
    </row>
    <row r="792" spans="1:4" x14ac:dyDescent="0.2">
      <c r="A792" s="5">
        <v>731</v>
      </c>
      <c r="B792" s="138">
        <f>'Expenditures 15-22'!D53</f>
        <v>43370</v>
      </c>
      <c r="C792" s="2" t="s">
        <v>594</v>
      </c>
      <c r="D792" s="2" t="str">
        <f t="shared" si="11"/>
        <v>Error?</v>
      </c>
    </row>
    <row r="793" spans="1:4" x14ac:dyDescent="0.2">
      <c r="A793" s="5">
        <v>732</v>
      </c>
      <c r="B793" s="138">
        <f>'Expenditures 15-22'!D55</f>
        <v>87802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87802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7156</v>
      </c>
      <c r="D797" s="2" t="str">
        <f t="shared" si="11"/>
        <v>Error?</v>
      </c>
    </row>
    <row r="798" spans="1:4" x14ac:dyDescent="0.2">
      <c r="A798" s="5">
        <v>737</v>
      </c>
      <c r="B798" s="138">
        <f>'Expenditures 15-22'!D61</f>
        <v>34774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12895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54825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7156</v>
      </c>
      <c r="D812" s="2" t="str">
        <f t="shared" si="11"/>
        <v>Error?</v>
      </c>
    </row>
    <row r="813" spans="1:4" x14ac:dyDescent="0.2">
      <c r="A813" s="5">
        <v>752</v>
      </c>
      <c r="B813" s="138">
        <f>'Expenditures 15-22'!D74</f>
        <v>246596</v>
      </c>
      <c r="C813" s="2" t="s">
        <v>594</v>
      </c>
      <c r="D813" s="2" t="str">
        <f t="shared" si="11"/>
        <v>Error?</v>
      </c>
    </row>
    <row r="814" spans="1:4" x14ac:dyDescent="0.2">
      <c r="A814" s="5">
        <v>753</v>
      </c>
      <c r="B814" s="138">
        <f>'Expenditures 15-22'!D75</f>
        <v>709</v>
      </c>
      <c r="D814" s="2" t="str">
        <f t="shared" si="11"/>
        <v>Error?</v>
      </c>
    </row>
    <row r="815" spans="1:4" x14ac:dyDescent="0.2">
      <c r="A815" s="5">
        <v>754</v>
      </c>
      <c r="B815" s="138">
        <f>'Expenditures 15-22'!D114</f>
        <v>1029170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70375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38626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183546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615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615</v>
      </c>
      <c r="C843" s="2" t="s">
        <v>594</v>
      </c>
      <c r="D843" s="2" t="str">
        <f t="shared" si="12"/>
        <v>Error?</v>
      </c>
    </row>
    <row r="844" spans="1:4" x14ac:dyDescent="0.2">
      <c r="A844" s="5">
        <v>783</v>
      </c>
      <c r="B844" s="138">
        <f>'Expenditures 15-22'!E44</f>
        <v>65704</v>
      </c>
      <c r="D844" s="2" t="str">
        <f t="shared" si="12"/>
        <v>Error?</v>
      </c>
    </row>
    <row r="845" spans="1:4" x14ac:dyDescent="0.2">
      <c r="A845" s="5">
        <v>784</v>
      </c>
      <c r="B845" s="138">
        <f>'Expenditures 15-22'!E45</f>
        <v>51624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117328</v>
      </c>
      <c r="C847" s="2" t="s">
        <v>594</v>
      </c>
      <c r="D847" s="2" t="str">
        <f t="shared" si="12"/>
        <v>Error?</v>
      </c>
    </row>
    <row r="848" spans="1:4" x14ac:dyDescent="0.2">
      <c r="A848" s="5">
        <v>787</v>
      </c>
      <c r="B848" s="138">
        <f>'Expenditures 15-22'!E49</f>
        <v>37224</v>
      </c>
      <c r="D848" s="2" t="str">
        <f t="shared" si="12"/>
        <v>Error?</v>
      </c>
    </row>
    <row r="849" spans="1:4" x14ac:dyDescent="0.2">
      <c r="A849" s="5">
        <v>788</v>
      </c>
      <c r="B849" s="138">
        <f>'Expenditures 15-22'!E50</f>
        <v>10787</v>
      </c>
      <c r="D849" s="2" t="str">
        <f t="shared" si="12"/>
        <v>Error?</v>
      </c>
    </row>
    <row r="850" spans="1:4" x14ac:dyDescent="0.2">
      <c r="A850" s="5">
        <v>789</v>
      </c>
      <c r="B850" s="138">
        <f>'Expenditures 15-22'!E53</f>
        <v>48610</v>
      </c>
      <c r="C850" s="2" t="s">
        <v>594</v>
      </c>
      <c r="D850" s="2" t="str">
        <f t="shared" si="12"/>
        <v>Error?</v>
      </c>
    </row>
    <row r="851" spans="1:4" x14ac:dyDescent="0.2">
      <c r="A851" s="5">
        <v>790</v>
      </c>
      <c r="B851" s="138">
        <f>'Expenditures 15-22'!E55</f>
        <v>1389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1389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3681</v>
      </c>
      <c r="D855" s="2" t="str">
        <f t="shared" si="12"/>
        <v>Error?</v>
      </c>
    </row>
    <row r="856" spans="1:4" x14ac:dyDescent="0.2">
      <c r="A856" s="5">
        <v>795</v>
      </c>
      <c r="B856" s="138">
        <f>'Expenditures 15-22'!E61</f>
        <v>4234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14985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22900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8907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8907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199749</v>
      </c>
      <c r="C871" s="2" t="s">
        <v>594</v>
      </c>
      <c r="D871" s="2" t="str">
        <f t="shared" si="12"/>
        <v>Error?</v>
      </c>
    </row>
    <row r="872" spans="1:4" x14ac:dyDescent="0.2">
      <c r="A872" s="5">
        <v>811</v>
      </c>
      <c r="B872" s="138">
        <f>'Expenditures 15-22'!E75</f>
        <v>24249</v>
      </c>
      <c r="D872" s="2" t="str">
        <f t="shared" si="12"/>
        <v>Error?</v>
      </c>
    </row>
    <row r="873" spans="1:4" x14ac:dyDescent="0.2">
      <c r="A873" s="5">
        <v>812</v>
      </c>
      <c r="B873" s="138">
        <f>'Expenditures 15-22'!E114</f>
        <v>844504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258683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26603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42912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409581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2212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2212</v>
      </c>
      <c r="C901" s="2" t="s">
        <v>594</v>
      </c>
      <c r="D901" s="2" t="str">
        <f t="shared" si="13"/>
        <v>Error?</v>
      </c>
    </row>
    <row r="902" spans="1:4" x14ac:dyDescent="0.2">
      <c r="A902" s="5">
        <v>841</v>
      </c>
      <c r="B902" s="138">
        <f>'Expenditures 15-22'!F44</f>
        <v>150</v>
      </c>
      <c r="D902" s="2" t="str">
        <f t="shared" si="13"/>
        <v>Error?</v>
      </c>
    </row>
    <row r="903" spans="1:4" x14ac:dyDescent="0.2">
      <c r="A903" s="5">
        <v>842</v>
      </c>
      <c r="B903" s="138">
        <f>'Expenditures 15-22'!F45</f>
        <v>118348</v>
      </c>
      <c r="D903" s="2" t="str">
        <f t="shared" si="13"/>
        <v>Error?</v>
      </c>
    </row>
    <row r="904" spans="1:4" x14ac:dyDescent="0.2">
      <c r="A904" s="5">
        <v>843</v>
      </c>
      <c r="B904" s="138">
        <f>'Expenditures 15-22'!F46</f>
        <v>9475</v>
      </c>
      <c r="D904" s="2" t="str">
        <f t="shared" si="13"/>
        <v>Error?</v>
      </c>
    </row>
    <row r="905" spans="1:4" x14ac:dyDescent="0.2">
      <c r="A905" s="5">
        <v>844</v>
      </c>
      <c r="B905" s="138">
        <f>'Expenditures 15-22'!F47</f>
        <v>127973</v>
      </c>
      <c r="C905" s="2" t="s">
        <v>594</v>
      </c>
      <c r="D905" s="2" t="str">
        <f t="shared" si="13"/>
        <v>Error?</v>
      </c>
    </row>
    <row r="906" spans="1:4" x14ac:dyDescent="0.2">
      <c r="A906" s="5">
        <v>845</v>
      </c>
      <c r="B906" s="138">
        <f>'Expenditures 15-22'!F49</f>
        <v>5129</v>
      </c>
      <c r="D906" s="2" t="str">
        <f t="shared" si="13"/>
        <v>Error?</v>
      </c>
    </row>
    <row r="907" spans="1:4" x14ac:dyDescent="0.2">
      <c r="A907" s="5">
        <v>846</v>
      </c>
      <c r="B907" s="138">
        <f>'Expenditures 15-22'!F50</f>
        <v>8588</v>
      </c>
      <c r="D907" s="2" t="str">
        <f t="shared" si="13"/>
        <v>Error?</v>
      </c>
    </row>
    <row r="908" spans="1:4" x14ac:dyDescent="0.2">
      <c r="A908" s="5">
        <v>847</v>
      </c>
      <c r="B908" s="138">
        <f>'Expenditures 15-22'!F53</f>
        <v>13717</v>
      </c>
      <c r="C908" s="2" t="s">
        <v>594</v>
      </c>
      <c r="D908" s="2" t="str">
        <f t="shared" si="13"/>
        <v>Error?</v>
      </c>
    </row>
    <row r="909" spans="1:4" x14ac:dyDescent="0.2">
      <c r="A909" s="5">
        <v>848</v>
      </c>
      <c r="B909" s="138">
        <f>'Expenditures 15-22'!F55</f>
        <v>43444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43444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696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350371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351067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538413</v>
      </c>
      <c r="C929" s="2" t="s">
        <v>594</v>
      </c>
      <c r="D929" s="2" t="str">
        <f t="shared" si="13"/>
        <v>Error?</v>
      </c>
    </row>
    <row r="930" spans="1:4" x14ac:dyDescent="0.2">
      <c r="A930" s="5">
        <v>869</v>
      </c>
      <c r="B930" s="138">
        <f>'Expenditures 15-22'!F75</f>
        <v>3495</v>
      </c>
      <c r="D930" s="2" t="str">
        <f t="shared" si="13"/>
        <v>Error?</v>
      </c>
    </row>
    <row r="931" spans="1:4" x14ac:dyDescent="0.2">
      <c r="A931" s="5">
        <v>870</v>
      </c>
      <c r="B931" s="138">
        <f>'Expenditures 15-22'!F114</f>
        <v>951489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3536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7070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50298</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50298</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88100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788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88888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139186</v>
      </c>
      <c r="C987" s="2" t="s">
        <v>594</v>
      </c>
      <c r="D987" s="2" t="str">
        <f t="shared" si="14"/>
        <v>Error?</v>
      </c>
    </row>
    <row r="988" spans="1:4" x14ac:dyDescent="0.2">
      <c r="A988" s="5">
        <v>927</v>
      </c>
      <c r="B988" s="138">
        <f>'Expenditures 15-22'!G75</f>
        <v>1724</v>
      </c>
      <c r="D988" s="2" t="str">
        <f t="shared" si="14"/>
        <v>Error?</v>
      </c>
    </row>
    <row r="989" spans="1:4" x14ac:dyDescent="0.2">
      <c r="A989" s="5">
        <v>928</v>
      </c>
      <c r="B989" s="138">
        <f>'Expenditures 15-22'!G114</f>
        <v>147980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21350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293512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5155</v>
      </c>
      <c r="D1022" s="2" t="str">
        <f t="shared" si="14"/>
        <v>Error?</v>
      </c>
    </row>
    <row r="1023" spans="1:4" x14ac:dyDescent="0.2">
      <c r="A1023" s="5">
        <v>962</v>
      </c>
      <c r="B1023" s="138">
        <f>'Expenditures 15-22'!H50</f>
        <v>4591</v>
      </c>
      <c r="D1023" s="2" t="str">
        <f t="shared" ref="D1023:D1086" si="15">IF(ISBLANK(B1023),"OK",IF(A1023-B1023=0,"OK","Error?"))</f>
        <v>Error?</v>
      </c>
    </row>
    <row r="1024" spans="1:4" x14ac:dyDescent="0.2">
      <c r="A1024" s="5">
        <v>963</v>
      </c>
      <c r="B1024" s="138">
        <f>'Expenditures 15-22'!H53</f>
        <v>9746</v>
      </c>
      <c r="C1024" s="2" t="s">
        <v>594</v>
      </c>
      <c r="D1024" s="2" t="str">
        <f t="shared" si="15"/>
        <v>Error?</v>
      </c>
    </row>
    <row r="1025" spans="1:4" x14ac:dyDescent="0.2">
      <c r="A1025" s="5">
        <v>964</v>
      </c>
      <c r="B1025" s="138">
        <f>'Expenditures 15-22'!H55</f>
        <v>5144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5144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725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725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15615</v>
      </c>
      <c r="C1045" s="2" t="s">
        <v>594</v>
      </c>
      <c r="D1045" s="2" t="str">
        <f t="shared" si="15"/>
        <v>Error?</v>
      </c>
    </row>
    <row r="1046" spans="1:4" x14ac:dyDescent="0.2">
      <c r="A1046" s="5">
        <v>985</v>
      </c>
      <c r="B1046" s="138">
        <f>'Expenditures 15-22'!H75</f>
        <v>280</v>
      </c>
      <c r="D1046" s="2" t="str">
        <f t="shared" si="15"/>
        <v>Error?</v>
      </c>
    </row>
    <row r="1047" spans="1:4" x14ac:dyDescent="0.2">
      <c r="A1047" s="5">
        <v>986</v>
      </c>
      <c r="B1047" s="138">
        <f>'Expenditures 15-22'!H102</f>
        <v>27126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337099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5390997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34719</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249036</v>
      </c>
      <c r="C1105" s="2" t="s">
        <v>594</v>
      </c>
      <c r="D1105" s="2" t="str">
        <f t="shared" si="16"/>
        <v>Error?</v>
      </c>
    </row>
    <row r="1106" spans="1:4" x14ac:dyDescent="0.2">
      <c r="A1106" s="5">
        <v>1045</v>
      </c>
      <c r="B1106" s="138">
        <f>'Expenditures 15-22'!K14</f>
        <v>309052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7618479</v>
      </c>
      <c r="C1108" s="2" t="s">
        <v>594</v>
      </c>
      <c r="D1108" s="2" t="str">
        <f t="shared" si="16"/>
        <v>Error?</v>
      </c>
    </row>
    <row r="1109" spans="1:4" x14ac:dyDescent="0.2">
      <c r="A1109" s="5">
        <v>1048</v>
      </c>
      <c r="B1109" s="138">
        <f>'Expenditures 15-22'!K36</f>
        <v>38134</v>
      </c>
      <c r="C1109" s="2" t="s">
        <v>594</v>
      </c>
      <c r="D1109" s="2" t="str">
        <f t="shared" si="16"/>
        <v>Error?</v>
      </c>
    </row>
    <row r="1110" spans="1:4" x14ac:dyDescent="0.2">
      <c r="A1110" s="5">
        <v>1049</v>
      </c>
      <c r="B1110" s="138">
        <f>'Expenditures 15-22'!K37</f>
        <v>295866</v>
      </c>
      <c r="C1110" s="2" t="s">
        <v>594</v>
      </c>
      <c r="D1110" s="2" t="str">
        <f t="shared" si="16"/>
        <v>Error?</v>
      </c>
    </row>
    <row r="1111" spans="1:4" x14ac:dyDescent="0.2">
      <c r="A1111" s="5">
        <v>1050</v>
      </c>
      <c r="B1111" s="138">
        <f>'Expenditures 15-22'!K38</f>
        <v>23647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357647</v>
      </c>
      <c r="C1115" s="2" t="s">
        <v>594</v>
      </c>
      <c r="D1115" s="2" t="str">
        <f t="shared" si="16"/>
        <v>Error?</v>
      </c>
    </row>
    <row r="1116" spans="1:4" x14ac:dyDescent="0.2">
      <c r="A1116" s="5">
        <v>1055</v>
      </c>
      <c r="B1116" s="138">
        <f>'Expenditures 15-22'!K44</f>
        <v>73439</v>
      </c>
      <c r="C1116" s="2" t="s">
        <v>594</v>
      </c>
      <c r="D1116" s="2" t="str">
        <f t="shared" si="16"/>
        <v>Error?</v>
      </c>
    </row>
    <row r="1117" spans="1:4" x14ac:dyDescent="0.2">
      <c r="A1117" s="5">
        <v>1056</v>
      </c>
      <c r="B1117" s="138">
        <f>'Expenditures 15-22'!K45</f>
        <v>220270</v>
      </c>
      <c r="C1117" s="2" t="s">
        <v>594</v>
      </c>
      <c r="D1117" s="2" t="str">
        <f t="shared" si="16"/>
        <v>Error?</v>
      </c>
    </row>
    <row r="1118" spans="1:4" x14ac:dyDescent="0.2">
      <c r="A1118" s="5">
        <v>1057</v>
      </c>
      <c r="B1118" s="138">
        <f>'Expenditures 15-22'!K46</f>
        <v>9475</v>
      </c>
      <c r="C1118" s="2" t="s">
        <v>594</v>
      </c>
      <c r="D1118" s="2" t="str">
        <f t="shared" si="16"/>
        <v>Error?</v>
      </c>
    </row>
    <row r="1119" spans="1:4" x14ac:dyDescent="0.2">
      <c r="A1119" s="5">
        <v>1058</v>
      </c>
      <c r="B1119" s="138">
        <f>'Expenditures 15-22'!K47</f>
        <v>303184</v>
      </c>
      <c r="C1119" s="2" t="s">
        <v>594</v>
      </c>
      <c r="D1119" s="2" t="str">
        <f t="shared" si="16"/>
        <v>Error?</v>
      </c>
    </row>
    <row r="1120" spans="1:4" x14ac:dyDescent="0.2">
      <c r="A1120" s="5">
        <v>1059</v>
      </c>
      <c r="B1120" s="138">
        <f>'Expenditures 15-22'!K49</f>
        <v>72636</v>
      </c>
      <c r="C1120" s="2" t="s">
        <v>594</v>
      </c>
      <c r="D1120" s="2" t="str">
        <f t="shared" si="16"/>
        <v>Error?</v>
      </c>
    </row>
    <row r="1121" spans="1:4" x14ac:dyDescent="0.2">
      <c r="A1121" s="5">
        <v>1060</v>
      </c>
      <c r="B1121" s="138">
        <f>'Expenditures 15-22'!K50</f>
        <v>254359</v>
      </c>
      <c r="C1121" s="2" t="s">
        <v>594</v>
      </c>
      <c r="D1121" s="2" t="str">
        <f t="shared" si="16"/>
        <v>Error?</v>
      </c>
    </row>
    <row r="1122" spans="1:4" x14ac:dyDescent="0.2">
      <c r="A1122" s="5">
        <v>1061</v>
      </c>
      <c r="B1122" s="138">
        <f>'Expenditures 15-22'!K53</f>
        <v>327594</v>
      </c>
      <c r="C1122" s="2" t="s">
        <v>594</v>
      </c>
      <c r="D1122" s="2" t="str">
        <f t="shared" si="16"/>
        <v>Error?</v>
      </c>
    </row>
    <row r="1123" spans="1:4" x14ac:dyDescent="0.2">
      <c r="A1123" s="5">
        <v>1062</v>
      </c>
      <c r="B1123" s="138">
        <f>'Expenditures 15-22'!K55</f>
        <v>972156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972156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85493</v>
      </c>
      <c r="C1127" s="2" t="s">
        <v>594</v>
      </c>
      <c r="D1127" s="2" t="str">
        <f t="shared" si="16"/>
        <v>Error?</v>
      </c>
    </row>
    <row r="1128" spans="1:4" x14ac:dyDescent="0.2">
      <c r="A1128" s="5">
        <v>1067</v>
      </c>
      <c r="B1128" s="138">
        <f>'Expenditures 15-22'!K61</f>
        <v>413914</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683349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1182756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8907</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8907</v>
      </c>
      <c r="C1141" s="2" t="s">
        <v>594</v>
      </c>
      <c r="D1141" s="2" t="str">
        <f t="shared" si="16"/>
        <v>Error?</v>
      </c>
    </row>
    <row r="1142" spans="1:4" x14ac:dyDescent="0.2">
      <c r="A1142" s="5">
        <v>1081</v>
      </c>
      <c r="B1142" s="138">
        <f>'Expenditures 15-22'!K73</f>
        <v>90845</v>
      </c>
      <c r="C1142" s="2" t="s">
        <v>594</v>
      </c>
      <c r="D1142" s="2" t="str">
        <f t="shared" si="16"/>
        <v>Error?</v>
      </c>
    </row>
    <row r="1143" spans="1:4" x14ac:dyDescent="0.2">
      <c r="A1143" s="5">
        <v>1082</v>
      </c>
      <c r="B1143" s="138">
        <f>'Expenditures 15-22'!K74</f>
        <v>3243089</v>
      </c>
      <c r="C1143" s="2" t="s">
        <v>594</v>
      </c>
      <c r="D1143" s="2" t="str">
        <f t="shared" si="16"/>
        <v>Error?</v>
      </c>
    </row>
    <row r="1144" spans="1:4" x14ac:dyDescent="0.2">
      <c r="A1144" s="5">
        <v>1083</v>
      </c>
      <c r="B1144" s="138">
        <f>'Expenditures 15-22'!K75</f>
        <v>39772</v>
      </c>
      <c r="C1144" s="2" t="s">
        <v>594</v>
      </c>
      <c r="D1144" s="2" t="str">
        <f t="shared" si="16"/>
        <v>Error?</v>
      </c>
    </row>
    <row r="1145" spans="1:4" x14ac:dyDescent="0.2">
      <c r="A1145" s="5">
        <v>1084</v>
      </c>
      <c r="B1145" s="138">
        <f>'Expenditures 15-22'!K102</f>
        <v>464086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11365992</v>
      </c>
      <c r="C1152" s="2" t="s">
        <v>594</v>
      </c>
      <c r="D1152" s="2" t="str">
        <f t="shared" si="17"/>
        <v>Error?</v>
      </c>
    </row>
    <row r="1153" spans="1:4" x14ac:dyDescent="0.2">
      <c r="A1153" s="5">
        <v>1092</v>
      </c>
      <c r="B1153" s="138">
        <f>'Expenditures 15-22'!K115</f>
        <v>2628656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41645</v>
      </c>
      <c r="D1221" s="2" t="str">
        <f t="shared" si="18"/>
        <v>Error?</v>
      </c>
    </row>
    <row r="1222" spans="1:4" x14ac:dyDescent="0.2">
      <c r="A1222" s="10">
        <v>1161</v>
      </c>
      <c r="D1222" s="2" t="str">
        <f t="shared" si="18"/>
        <v>OK</v>
      </c>
    </row>
    <row r="1223" spans="1:4" x14ac:dyDescent="0.2">
      <c r="A1223" s="5">
        <v>1162</v>
      </c>
      <c r="B1223" s="138">
        <f>'Expenditures 15-22'!C127</f>
        <v>41645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41645</v>
      </c>
      <c r="C1225" s="2" t="s">
        <v>594</v>
      </c>
      <c r="D1225" s="2" t="str">
        <f t="shared" si="18"/>
        <v>Error?</v>
      </c>
    </row>
    <row r="1226" spans="1:4" x14ac:dyDescent="0.2">
      <c r="A1226" s="5">
        <v>1165</v>
      </c>
      <c r="B1226" s="138">
        <f>'Expenditures 15-22'!C151</f>
        <v>41645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5682</v>
      </c>
      <c r="D1229" s="2" t="str">
        <f t="shared" si="18"/>
        <v>Error?</v>
      </c>
    </row>
    <row r="1230" spans="1:4" x14ac:dyDescent="0.2">
      <c r="A1230" s="10">
        <v>1169</v>
      </c>
      <c r="D1230" s="2" t="str">
        <f t="shared" si="18"/>
        <v>OK</v>
      </c>
    </row>
    <row r="1231" spans="1:4" x14ac:dyDescent="0.2">
      <c r="A1231" s="5">
        <v>1170</v>
      </c>
      <c r="B1231" s="138">
        <f>'Expenditures 15-22'!D127</f>
        <v>5682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5682</v>
      </c>
      <c r="C1233" s="2" t="s">
        <v>594</v>
      </c>
      <c r="D1233" s="2" t="str">
        <f t="shared" si="18"/>
        <v>Error?</v>
      </c>
    </row>
    <row r="1234" spans="1:4" x14ac:dyDescent="0.2">
      <c r="A1234" s="5">
        <v>1173</v>
      </c>
      <c r="B1234" s="138">
        <f>'Expenditures 15-22'!D151</f>
        <v>5682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345632</v>
      </c>
      <c r="D1237" s="2" t="str">
        <f t="shared" si="18"/>
        <v>Error?</v>
      </c>
    </row>
    <row r="1238" spans="1:4" x14ac:dyDescent="0.2">
      <c r="A1238" s="10">
        <v>1177</v>
      </c>
      <c r="D1238" s="2" t="str">
        <f t="shared" si="18"/>
        <v>OK</v>
      </c>
    </row>
    <row r="1239" spans="1:4" x14ac:dyDescent="0.2">
      <c r="A1239" s="5">
        <v>1178</v>
      </c>
      <c r="B1239" s="138">
        <f>'Expenditures 15-22'!E127</f>
        <v>346773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346773</v>
      </c>
      <c r="C1241" s="2" t="s">
        <v>594</v>
      </c>
      <c r="D1241" s="2" t="str">
        <f t="shared" si="18"/>
        <v>Error?</v>
      </c>
    </row>
    <row r="1242" spans="1:4" x14ac:dyDescent="0.2">
      <c r="A1242" s="5">
        <v>1181</v>
      </c>
      <c r="B1242" s="138">
        <f>'Expenditures 15-22'!E151</f>
        <v>346773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353234</v>
      </c>
      <c r="D1245" s="2" t="str">
        <f t="shared" si="18"/>
        <v>Error?</v>
      </c>
    </row>
    <row r="1246" spans="1:4" x14ac:dyDescent="0.2">
      <c r="A1246" s="10">
        <v>1185</v>
      </c>
      <c r="D1246" s="2" t="str">
        <f t="shared" si="18"/>
        <v>OK</v>
      </c>
    </row>
    <row r="1247" spans="1:4" x14ac:dyDescent="0.2">
      <c r="A1247" s="5">
        <v>1186</v>
      </c>
      <c r="B1247" s="138">
        <f>'Expenditures 15-22'!F127</f>
        <v>353234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353234</v>
      </c>
      <c r="C1249" s="2" t="s">
        <v>594</v>
      </c>
      <c r="D1249" s="2" t="str">
        <f t="shared" si="18"/>
        <v>Error?</v>
      </c>
    </row>
    <row r="1250" spans="1:4" x14ac:dyDescent="0.2">
      <c r="A1250" s="5">
        <v>1189</v>
      </c>
      <c r="B1250" s="138">
        <f>'Expenditures 15-22'!F151</f>
        <v>353234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90042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90042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90042</v>
      </c>
      <c r="C1258" s="2" t="s">
        <v>594</v>
      </c>
      <c r="D1258" s="2" t="str">
        <f t="shared" si="18"/>
        <v>Error?</v>
      </c>
    </row>
    <row r="1259" spans="1:4" x14ac:dyDescent="0.2">
      <c r="A1259" s="5">
        <v>1198</v>
      </c>
      <c r="B1259" s="138">
        <f>'Expenditures 15-22'!G151</f>
        <v>90042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5388</v>
      </c>
      <c r="D1262" s="2" t="str">
        <f t="shared" si="18"/>
        <v>Error?</v>
      </c>
    </row>
    <row r="1263" spans="1:4" x14ac:dyDescent="0.2">
      <c r="A1263" s="10">
        <v>1202</v>
      </c>
      <c r="D1263" s="2" t="str">
        <f t="shared" si="18"/>
        <v>OK</v>
      </c>
    </row>
    <row r="1264" spans="1:4" x14ac:dyDescent="0.2">
      <c r="A1264" s="5">
        <v>1203</v>
      </c>
      <c r="B1264" s="138">
        <f>'Expenditures 15-22'!H127</f>
        <v>5388</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5388</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5388</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841623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842764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842764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842764</v>
      </c>
      <c r="C1288" s="2" t="s">
        <v>594</v>
      </c>
      <c r="D1288" s="2" t="str">
        <f t="shared" si="19"/>
        <v>Error?</v>
      </c>
    </row>
    <row r="1289" spans="1:4" x14ac:dyDescent="0.2">
      <c r="A1289" s="5">
        <v>1228</v>
      </c>
      <c r="B1289" s="138">
        <f>'Expenditures 15-22'!K152</f>
        <v>255511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203000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759000</v>
      </c>
      <c r="D1315" s="2" t="str">
        <f t="shared" si="19"/>
        <v>Error?</v>
      </c>
    </row>
    <row r="1316" spans="1:4" x14ac:dyDescent="0.2">
      <c r="A1316" s="5">
        <v>1255</v>
      </c>
      <c r="B1316" s="138">
        <f>'Expenditures 15-22'!H171</f>
        <v>1118</v>
      </c>
      <c r="D1316" s="2" t="str">
        <f t="shared" si="19"/>
        <v>Error?</v>
      </c>
    </row>
    <row r="1317" spans="1:4" x14ac:dyDescent="0.2">
      <c r="A1317" s="5">
        <v>1256</v>
      </c>
      <c r="B1317" s="138">
        <f>'Expenditures 15-22'!H172</f>
        <v>963118</v>
      </c>
      <c r="C1317" s="2" t="s">
        <v>594</v>
      </c>
      <c r="D1317" s="2" t="str">
        <f t="shared" si="19"/>
        <v>Error?</v>
      </c>
    </row>
    <row r="1318" spans="1:4" x14ac:dyDescent="0.2">
      <c r="A1318" s="5">
        <v>1257</v>
      </c>
      <c r="B1318" s="138">
        <f>'Expenditures 15-22'!H174</f>
        <v>963118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203000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759000</v>
      </c>
      <c r="C1329" s="2" t="s">
        <v>594</v>
      </c>
      <c r="D1329" s="2" t="str">
        <f t="shared" si="19"/>
        <v>Error?</v>
      </c>
    </row>
    <row r="1330" spans="1:4" x14ac:dyDescent="0.2">
      <c r="A1330" s="5">
        <v>1269</v>
      </c>
      <c r="B1330" s="138">
        <f>'Expenditures 15-22'!K171</f>
        <v>1118</v>
      </c>
      <c r="C1330" s="2" t="s">
        <v>594</v>
      </c>
      <c r="D1330" s="2" t="str">
        <f t="shared" si="19"/>
        <v>Error?</v>
      </c>
    </row>
    <row r="1331" spans="1:4" x14ac:dyDescent="0.2">
      <c r="A1331" s="5">
        <v>1270</v>
      </c>
      <c r="B1331" s="138">
        <f>'Expenditures 15-22'!K172</f>
        <v>963118</v>
      </c>
      <c r="C1331" s="2" t="s">
        <v>594</v>
      </c>
      <c r="D1331" s="2" t="str">
        <f t="shared" si="19"/>
        <v>Error?</v>
      </c>
    </row>
    <row r="1332" spans="1:4" x14ac:dyDescent="0.2">
      <c r="A1332" s="5">
        <v>1271</v>
      </c>
      <c r="B1332" s="138">
        <f>'Expenditures 15-22'!K174</f>
        <v>963118</v>
      </c>
      <c r="C1332" s="2" t="s">
        <v>594</v>
      </c>
      <c r="D1332" s="2" t="str">
        <f t="shared" si="19"/>
        <v>Error?</v>
      </c>
    </row>
    <row r="1333" spans="1:4" x14ac:dyDescent="0.2">
      <c r="A1333" s="5">
        <v>1272</v>
      </c>
      <c r="B1333" s="138">
        <f>'Expenditures 15-22'!K175</f>
        <v>-57099</v>
      </c>
      <c r="C1333" s="2" t="s">
        <v>594</v>
      </c>
      <c r="D1333" s="2" t="str">
        <f t="shared" si="19"/>
        <v>Error?</v>
      </c>
    </row>
    <row r="1334" spans="1:4" x14ac:dyDescent="0.2">
      <c r="A1334" s="10">
        <v>1273</v>
      </c>
      <c r="D1334" s="2" t="str">
        <f t="shared" si="19"/>
        <v>OK</v>
      </c>
    </row>
    <row r="1335" spans="1:4" x14ac:dyDescent="0.2">
      <c r="A1335" s="5">
        <v>1274</v>
      </c>
      <c r="B1335" s="138">
        <f>'Expenditures 15-22'!C182</f>
        <v>434219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434219</v>
      </c>
      <c r="C1339" s="2" t="s">
        <v>594</v>
      </c>
      <c r="D1339" s="2" t="str">
        <f t="shared" si="19"/>
        <v>Error?</v>
      </c>
    </row>
    <row r="1340" spans="1:4" x14ac:dyDescent="0.2">
      <c r="A1340" s="5">
        <v>1279</v>
      </c>
      <c r="B1340" s="138">
        <f>'Expenditures 15-22'!C210</f>
        <v>434219</v>
      </c>
      <c r="C1340" s="2" t="s">
        <v>594</v>
      </c>
      <c r="D1340" s="2" t="str">
        <f t="shared" si="19"/>
        <v>Error?</v>
      </c>
    </row>
    <row r="1341" spans="1:4" x14ac:dyDescent="0.2">
      <c r="A1341" s="5">
        <v>1280</v>
      </c>
      <c r="B1341" s="138">
        <f>'Expenditures 15-22'!D182</f>
        <v>18466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18466</v>
      </c>
      <c r="C1345" s="2" t="s">
        <v>594</v>
      </c>
      <c r="D1345" s="2" t="str">
        <f t="shared" si="20"/>
        <v>Error?</v>
      </c>
    </row>
    <row r="1346" spans="1:4" x14ac:dyDescent="0.2">
      <c r="A1346" s="5">
        <v>1285</v>
      </c>
      <c r="B1346" s="138">
        <f>'Expenditures 15-22'!D210</f>
        <v>18466</v>
      </c>
      <c r="C1346" s="2" t="s">
        <v>594</v>
      </c>
      <c r="D1346" s="2" t="str">
        <f t="shared" si="20"/>
        <v>Error?</v>
      </c>
    </row>
    <row r="1347" spans="1:4" x14ac:dyDescent="0.2">
      <c r="A1347" s="5">
        <v>1286</v>
      </c>
      <c r="B1347" s="138">
        <f>'Expenditures 15-22'!E182</f>
        <v>320407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449</v>
      </c>
      <c r="D1350" s="2" t="str">
        <f t="shared" si="20"/>
        <v>Error?</v>
      </c>
    </row>
    <row r="1351" spans="1:4" x14ac:dyDescent="0.2">
      <c r="A1351" s="5">
        <v>1290</v>
      </c>
      <c r="B1351" s="138">
        <f>'Expenditures 15-22'!E184</f>
        <v>320856</v>
      </c>
      <c r="C1351" s="2" t="s">
        <v>594</v>
      </c>
      <c r="D1351" s="2" t="str">
        <f t="shared" si="20"/>
        <v>Error?</v>
      </c>
    </row>
    <row r="1352" spans="1:4" x14ac:dyDescent="0.2">
      <c r="A1352" s="5">
        <v>1291</v>
      </c>
      <c r="B1352" s="138">
        <f>'Expenditures 15-22'!E196</f>
        <v>115742</v>
      </c>
      <c r="C1352" s="2" t="s">
        <v>594</v>
      </c>
      <c r="D1352" s="2" t="str">
        <f t="shared" si="20"/>
        <v>Error?</v>
      </c>
    </row>
    <row r="1353" spans="1:4" x14ac:dyDescent="0.2">
      <c r="A1353" s="5">
        <v>1292</v>
      </c>
      <c r="B1353" s="138">
        <f>'Expenditures 15-22'!E210</f>
        <v>436598</v>
      </c>
      <c r="C1353" s="2" t="s">
        <v>594</v>
      </c>
      <c r="D1353" s="2" t="str">
        <f t="shared" si="20"/>
        <v>Error?</v>
      </c>
    </row>
    <row r="1354" spans="1:4" x14ac:dyDescent="0.2">
      <c r="A1354" s="5">
        <v>1293</v>
      </c>
      <c r="B1354" s="138">
        <f>'Expenditures 15-22'!F182</f>
        <v>99807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99807</v>
      </c>
      <c r="C1358" s="2" t="s">
        <v>594</v>
      </c>
      <c r="D1358" s="2" t="str">
        <f t="shared" si="20"/>
        <v>Error?</v>
      </c>
    </row>
    <row r="1359" spans="1:4" x14ac:dyDescent="0.2">
      <c r="A1359" s="5">
        <v>1298</v>
      </c>
      <c r="B1359" s="138">
        <f>'Expenditures 15-22'!F210</f>
        <v>99807</v>
      </c>
      <c r="C1359" s="2" t="s">
        <v>594</v>
      </c>
      <c r="D1359" s="2" t="str">
        <f t="shared" si="20"/>
        <v>Error?</v>
      </c>
    </row>
    <row r="1360" spans="1:4" x14ac:dyDescent="0.2">
      <c r="A1360" s="5">
        <v>1299</v>
      </c>
      <c r="B1360" s="138">
        <f>'Expenditures 15-22'!G182</f>
        <v>1605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1605</v>
      </c>
      <c r="C1364" s="2" t="s">
        <v>594</v>
      </c>
      <c r="D1364" s="2" t="str">
        <f t="shared" si="20"/>
        <v>Error?</v>
      </c>
    </row>
    <row r="1365" spans="1:4" x14ac:dyDescent="0.2">
      <c r="A1365" s="5">
        <v>1304</v>
      </c>
      <c r="B1365" s="138">
        <f>'Expenditures 15-22'!G210</f>
        <v>1605</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874504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449</v>
      </c>
      <c r="C1380" s="2" t="s">
        <v>594</v>
      </c>
      <c r="D1380" s="2" t="str">
        <f t="shared" si="20"/>
        <v>Error?</v>
      </c>
    </row>
    <row r="1381" spans="1:4" x14ac:dyDescent="0.2">
      <c r="A1381" s="5">
        <v>1320</v>
      </c>
      <c r="B1381" s="138">
        <f>'Expenditures 15-22'!K184</f>
        <v>874953</v>
      </c>
      <c r="C1381" s="2" t="s">
        <v>594</v>
      </c>
      <c r="D1381" s="2" t="str">
        <f t="shared" si="20"/>
        <v>Error?</v>
      </c>
    </row>
    <row r="1382" spans="1:4" x14ac:dyDescent="0.2">
      <c r="A1382" s="5">
        <v>1321</v>
      </c>
      <c r="B1382" s="138">
        <f>'Expenditures 15-22'!K196</f>
        <v>115742</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990695</v>
      </c>
      <c r="C1388" s="2" t="s">
        <v>594</v>
      </c>
      <c r="D1388" s="2" t="str">
        <f t="shared" si="20"/>
        <v>Error?</v>
      </c>
    </row>
    <row r="1389" spans="1:4" x14ac:dyDescent="0.2">
      <c r="A1389" s="5">
        <v>1328</v>
      </c>
      <c r="B1389" s="138">
        <f>'Expenditures 15-22'!K211</f>
        <v>479761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117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3107</v>
      </c>
      <c r="D1407" s="2" t="str">
        <f t="shared" ref="D1407:D1470" si="21">IF(ISBLANK(B1407),"OK",IF(A1407-B1407=0,"OK","Error?"))</f>
        <v>Error?</v>
      </c>
    </row>
    <row r="1408" spans="1:4" x14ac:dyDescent="0.2">
      <c r="A1408" s="5">
        <v>1347</v>
      </c>
      <c r="B1408" s="138">
        <f>'Expenditures 15-22'!D223</f>
        <v>6474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156775</v>
      </c>
      <c r="C1410" s="2" t="s">
        <v>594</v>
      </c>
      <c r="D1410" s="2" t="str">
        <f t="shared" si="21"/>
        <v>Error?</v>
      </c>
    </row>
    <row r="1411" spans="1:4" x14ac:dyDescent="0.2">
      <c r="A1411" s="5">
        <v>1350</v>
      </c>
      <c r="B1411" s="138">
        <f>'Expenditures 15-22'!D232</f>
        <v>5728</v>
      </c>
      <c r="D1411" s="2" t="str">
        <f t="shared" si="21"/>
        <v>Error?</v>
      </c>
    </row>
    <row r="1412" spans="1:4" x14ac:dyDescent="0.2">
      <c r="A1412" s="5">
        <v>1351</v>
      </c>
      <c r="B1412" s="138">
        <f>'Expenditures 15-22'!D233</f>
        <v>3584</v>
      </c>
      <c r="D1412" s="2" t="str">
        <f t="shared" si="21"/>
        <v>Error?</v>
      </c>
    </row>
    <row r="1413" spans="1:4" x14ac:dyDescent="0.2">
      <c r="A1413" s="5">
        <v>1352</v>
      </c>
      <c r="B1413" s="138">
        <f>'Expenditures 15-22'!D234</f>
        <v>3089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12401</v>
      </c>
      <c r="C1417" s="2" t="s">
        <v>594</v>
      </c>
      <c r="D1417" s="2" t="str">
        <f t="shared" si="21"/>
        <v>Error?</v>
      </c>
    </row>
    <row r="1418" spans="1:4" x14ac:dyDescent="0.2">
      <c r="A1418" s="5">
        <v>1357</v>
      </c>
      <c r="B1418" s="138">
        <f>'Expenditures 15-22'!D240</f>
        <v>101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101</v>
      </c>
      <c r="C1421" s="2" t="s">
        <v>594</v>
      </c>
      <c r="D1421" s="2" t="str">
        <f t="shared" si="21"/>
        <v>Error?</v>
      </c>
    </row>
    <row r="1422" spans="1:4" x14ac:dyDescent="0.2">
      <c r="A1422" s="5">
        <v>1361</v>
      </c>
      <c r="B1422" s="138">
        <f>'Expenditures 15-22'!D245</f>
        <v>1101</v>
      </c>
      <c r="D1422" s="2" t="str">
        <f t="shared" si="21"/>
        <v>Error?</v>
      </c>
    </row>
    <row r="1423" spans="1:4" x14ac:dyDescent="0.2">
      <c r="A1423" s="5">
        <v>1362</v>
      </c>
      <c r="B1423" s="138">
        <f>'Expenditures 15-22'!D246</f>
        <v>11309</v>
      </c>
      <c r="D1423" s="2" t="str">
        <f t="shared" si="21"/>
        <v>Error?</v>
      </c>
    </row>
    <row r="1424" spans="1:4" x14ac:dyDescent="0.2">
      <c r="A1424" s="5">
        <v>1363</v>
      </c>
      <c r="B1424" s="138">
        <f>'Expenditures 15-22'!D257</f>
        <v>64455</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46548</v>
      </c>
      <c r="D1428" s="2" t="str">
        <f t="shared" si="21"/>
        <v>Error?</v>
      </c>
    </row>
    <row r="1429" spans="1:4" x14ac:dyDescent="0.2">
      <c r="A1429" s="5">
        <v>1368</v>
      </c>
      <c r="B1429" s="138">
        <f>'Expenditures 15-22'!D264</f>
        <v>13016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58902</v>
      </c>
      <c r="D1431" s="2" t="str">
        <f t="shared" si="21"/>
        <v>Error?</v>
      </c>
    </row>
    <row r="1432" spans="1:4" x14ac:dyDescent="0.2">
      <c r="A1432" s="5">
        <v>1371</v>
      </c>
      <c r="B1432" s="138">
        <f>'Expenditures 15-22'!D267</f>
        <v>65311</v>
      </c>
      <c r="D1432" s="2" t="str">
        <f t="shared" si="21"/>
        <v>Error?</v>
      </c>
    </row>
    <row r="1433" spans="1:4" x14ac:dyDescent="0.2">
      <c r="A1433" s="5">
        <v>1372</v>
      </c>
      <c r="B1433" s="138">
        <f>'Expenditures 15-22'!D268</f>
        <v>50085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233862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14736</v>
      </c>
      <c r="D1445" s="2" t="str">
        <f t="shared" si="21"/>
        <v>Error?</v>
      </c>
    </row>
    <row r="1446" spans="1:4" x14ac:dyDescent="0.2">
      <c r="A1446" s="5">
        <v>1385</v>
      </c>
      <c r="B1446" s="138">
        <f>'Expenditures 15-22'!D279</f>
        <v>325555</v>
      </c>
      <c r="C1446" s="2" t="s">
        <v>594</v>
      </c>
      <c r="D1446" s="2" t="str">
        <f t="shared" si="21"/>
        <v>Error?</v>
      </c>
    </row>
    <row r="1447" spans="1:4" x14ac:dyDescent="0.2">
      <c r="A1447" s="5">
        <v>1386</v>
      </c>
      <c r="B1447" s="138">
        <f>'Expenditures 15-22'!D280</f>
        <v>566</v>
      </c>
      <c r="D1447" s="2" t="str">
        <f t="shared" si="21"/>
        <v>Error?</v>
      </c>
    </row>
    <row r="1448" spans="1:4" x14ac:dyDescent="0.2">
      <c r="A1448" s="5">
        <v>1387</v>
      </c>
      <c r="B1448" s="138">
        <f>'Expenditures 15-22'!D295</f>
        <v>482896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117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3107</v>
      </c>
      <c r="C1471" s="2" t="s">
        <v>594</v>
      </c>
      <c r="D1471" s="2" t="str">
        <f t="shared" ref="D1471:D1534" si="22">IF(ISBLANK(B1471),"OK",IF(A1471-B1471=0,"OK","Error?"))</f>
        <v>Error?</v>
      </c>
    </row>
    <row r="1472" spans="1:4" x14ac:dyDescent="0.2">
      <c r="A1472" s="5">
        <v>1411</v>
      </c>
      <c r="B1472" s="138">
        <f>'Expenditures 15-22'!K223</f>
        <v>6474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156775</v>
      </c>
      <c r="C1474" s="2" t="s">
        <v>594</v>
      </c>
      <c r="D1474" s="2" t="str">
        <f t="shared" si="22"/>
        <v>Error?</v>
      </c>
    </row>
    <row r="1475" spans="1:4" x14ac:dyDescent="0.2">
      <c r="A1475" s="5">
        <v>1414</v>
      </c>
      <c r="B1475" s="138">
        <f>'Expenditures 15-22'!K232</f>
        <v>5728</v>
      </c>
      <c r="C1475" s="2" t="s">
        <v>594</v>
      </c>
      <c r="D1475" s="2" t="str">
        <f t="shared" si="22"/>
        <v>Error?</v>
      </c>
    </row>
    <row r="1476" spans="1:4" x14ac:dyDescent="0.2">
      <c r="A1476" s="5">
        <v>1415</v>
      </c>
      <c r="B1476" s="138">
        <f>'Expenditures 15-22'!K233</f>
        <v>3584</v>
      </c>
      <c r="C1476" s="2" t="s">
        <v>594</v>
      </c>
      <c r="D1476" s="2" t="str">
        <f t="shared" si="22"/>
        <v>Error?</v>
      </c>
    </row>
    <row r="1477" spans="1:4" x14ac:dyDescent="0.2">
      <c r="A1477" s="5">
        <v>1416</v>
      </c>
      <c r="B1477" s="138">
        <f>'Expenditures 15-22'!K234</f>
        <v>3089</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12401</v>
      </c>
      <c r="C1481" s="2" t="s">
        <v>594</v>
      </c>
      <c r="D1481" s="2" t="str">
        <f t="shared" si="22"/>
        <v>Error?</v>
      </c>
    </row>
    <row r="1482" spans="1:4" x14ac:dyDescent="0.2">
      <c r="A1482" s="5">
        <v>1421</v>
      </c>
      <c r="B1482" s="138">
        <f>'Expenditures 15-22'!K240</f>
        <v>101</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101</v>
      </c>
      <c r="C1485" s="2" t="s">
        <v>594</v>
      </c>
      <c r="D1485" s="2" t="str">
        <f t="shared" si="22"/>
        <v>Error?</v>
      </c>
    </row>
    <row r="1486" spans="1:4" x14ac:dyDescent="0.2">
      <c r="A1486" s="5">
        <v>1425</v>
      </c>
      <c r="B1486" s="138">
        <f>'Expenditures 15-22'!K245</f>
        <v>1101</v>
      </c>
      <c r="C1486" s="2" t="s">
        <v>594</v>
      </c>
      <c r="D1486" s="2" t="str">
        <f t="shared" si="22"/>
        <v>Error?</v>
      </c>
    </row>
    <row r="1487" spans="1:4" x14ac:dyDescent="0.2">
      <c r="A1487" s="5">
        <v>1426</v>
      </c>
      <c r="B1487" s="138">
        <f>'Expenditures 15-22'!K246</f>
        <v>11309</v>
      </c>
      <c r="C1487" s="2" t="s">
        <v>594</v>
      </c>
      <c r="D1487" s="2" t="str">
        <f t="shared" si="22"/>
        <v>Error?</v>
      </c>
    </row>
    <row r="1488" spans="1:4" x14ac:dyDescent="0.2">
      <c r="A1488" s="5">
        <v>1427</v>
      </c>
      <c r="B1488" s="138">
        <f>'Expenditures 15-22'!K257</f>
        <v>64455</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46548</v>
      </c>
      <c r="C1492" s="2" t="s">
        <v>594</v>
      </c>
      <c r="D1492" s="2" t="str">
        <f t="shared" si="22"/>
        <v>Error?</v>
      </c>
    </row>
    <row r="1493" spans="1:4" x14ac:dyDescent="0.2">
      <c r="A1493" s="5">
        <v>1432</v>
      </c>
      <c r="B1493" s="138">
        <f>'Expenditures 15-22'!K264</f>
        <v>13016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58902</v>
      </c>
      <c r="C1495" s="2" t="s">
        <v>594</v>
      </c>
      <c r="D1495" s="2" t="str">
        <f t="shared" si="22"/>
        <v>Error?</v>
      </c>
    </row>
    <row r="1496" spans="1:4" x14ac:dyDescent="0.2">
      <c r="A1496" s="5">
        <v>1435</v>
      </c>
      <c r="B1496" s="138">
        <f>'Expenditures 15-22'!K267</f>
        <v>65311</v>
      </c>
      <c r="C1496" s="2" t="s">
        <v>594</v>
      </c>
      <c r="D1496" s="2" t="str">
        <f t="shared" si="22"/>
        <v>Error?</v>
      </c>
    </row>
    <row r="1497" spans="1:4" x14ac:dyDescent="0.2">
      <c r="A1497" s="5">
        <v>1436</v>
      </c>
      <c r="B1497" s="138">
        <f>'Expenditures 15-22'!K268</f>
        <v>50085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233862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14736</v>
      </c>
      <c r="C1509" s="2" t="s">
        <v>594</v>
      </c>
      <c r="D1509" s="2" t="str">
        <f t="shared" si="22"/>
        <v>Error?</v>
      </c>
    </row>
    <row r="1510" spans="1:4" x14ac:dyDescent="0.2">
      <c r="A1510" s="5">
        <v>1449</v>
      </c>
      <c r="B1510" s="138">
        <f>'Expenditures 15-22'!K279</f>
        <v>325555</v>
      </c>
      <c r="C1510" s="2" t="s">
        <v>594</v>
      </c>
      <c r="D1510" s="2" t="str">
        <f t="shared" si="22"/>
        <v>Error?</v>
      </c>
    </row>
    <row r="1511" spans="1:4" x14ac:dyDescent="0.2">
      <c r="A1511" s="5">
        <v>1450</v>
      </c>
      <c r="B1511" s="138">
        <f>'Expenditures 15-22'!K280</f>
        <v>566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482896</v>
      </c>
      <c r="C1517" s="2" t="s">
        <v>594</v>
      </c>
      <c r="D1517" s="2" t="str">
        <f t="shared" si="22"/>
        <v>Error?</v>
      </c>
    </row>
    <row r="1518" spans="1:4" x14ac:dyDescent="0.2">
      <c r="A1518" s="5">
        <v>1457</v>
      </c>
      <c r="B1518" s="138">
        <f>'Expenditures 15-22'!K296</f>
        <v>3467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1368556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1368556</v>
      </c>
      <c r="C1547" s="2" t="s">
        <v>594</v>
      </c>
      <c r="D1547" s="2" t="str">
        <f t="shared" si="23"/>
        <v>Error?</v>
      </c>
    </row>
    <row r="1548" spans="1:4" x14ac:dyDescent="0.2">
      <c r="A1548" s="5">
        <v>1487</v>
      </c>
      <c r="B1548" s="138">
        <f>'Expenditures 15-22'!G312</f>
        <v>1368556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1368556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1368556</v>
      </c>
      <c r="C1559" s="2" t="s">
        <v>594</v>
      </c>
      <c r="D1559" s="2" t="str">
        <f t="shared" si="23"/>
        <v>Error?</v>
      </c>
    </row>
    <row r="1560" spans="1:4" x14ac:dyDescent="0.2">
      <c r="A1560" s="5">
        <v>1499</v>
      </c>
      <c r="B1560" s="138">
        <f>'Expenditures 15-22'!K312</f>
        <v>1368556</v>
      </c>
      <c r="C1560" s="2" t="s">
        <v>594</v>
      </c>
      <c r="D1560" s="2" t="str">
        <f t="shared" si="23"/>
        <v>Error?</v>
      </c>
    </row>
    <row r="1561" spans="1:4" x14ac:dyDescent="0.2">
      <c r="A1561" s="5">
        <v>1500</v>
      </c>
      <c r="B1561" s="138">
        <f>'Expenditures 15-22'!K313</f>
        <v>-352948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3353405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5928081</v>
      </c>
      <c r="C1630" s="2" t="s">
        <v>594</v>
      </c>
      <c r="D1630" s="2" t="str">
        <f t="shared" si="24"/>
        <v>Error?</v>
      </c>
    </row>
    <row r="1631" spans="1:4" x14ac:dyDescent="0.2">
      <c r="A1631" s="5">
        <v>1570</v>
      </c>
      <c r="B1631" s="138">
        <f>'Acct Summary 7-8'!D79</f>
        <v>807842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1069673</v>
      </c>
      <c r="C1644" s="2" t="s">
        <v>594</v>
      </c>
      <c r="D1644" s="2" t="str">
        <f t="shared" si="24"/>
        <v>Error?</v>
      </c>
    </row>
    <row r="1645" spans="1:4" x14ac:dyDescent="0.2">
      <c r="A1645" s="5">
        <v>1584</v>
      </c>
      <c r="B1645" s="138">
        <f>'Acct Summary 7-8'!E79</f>
        <v>-3153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-6272</v>
      </c>
      <c r="C1658" s="2" t="s">
        <v>594</v>
      </c>
      <c r="D1658" s="2" t="str">
        <f t="shared" si="24"/>
        <v>Error?</v>
      </c>
    </row>
    <row r="1659" spans="1:4" x14ac:dyDescent="0.2">
      <c r="A1659" s="5">
        <v>1598</v>
      </c>
      <c r="B1659" s="138">
        <f>'Acct Summary 7-8'!F79</f>
        <v>710034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1191095</v>
      </c>
      <c r="C1672" s="2" t="s">
        <v>594</v>
      </c>
      <c r="D1672" s="2" t="str">
        <f t="shared" si="25"/>
        <v>Error?</v>
      </c>
    </row>
    <row r="1673" spans="1:4" x14ac:dyDescent="0.2">
      <c r="A1673" s="5">
        <v>1612</v>
      </c>
      <c r="B1673" s="138">
        <f>'Acct Summary 7-8'!G79</f>
        <v>741353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744820</v>
      </c>
      <c r="C1686" s="2" t="s">
        <v>594</v>
      </c>
      <c r="D1686" s="2" t="str">
        <f t="shared" si="25"/>
        <v>Error?</v>
      </c>
    </row>
    <row r="1687" spans="1:4" x14ac:dyDescent="0.2">
      <c r="A1687" s="5">
        <v>1626</v>
      </c>
      <c r="B1687" s="138">
        <f>'Acct Summary 7-8'!H79</f>
        <v>500165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147217</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2907463</v>
      </c>
      <c r="C1744" s="2" t="s">
        <v>594</v>
      </c>
      <c r="D1744" s="2" t="str">
        <f t="shared" si="26"/>
        <v>Error?</v>
      </c>
    </row>
    <row r="1745" spans="1:5" x14ac:dyDescent="0.2">
      <c r="A1745" s="5">
        <v>1684</v>
      </c>
      <c r="B1745" s="138">
        <f>'Tax Sched 23'!B5</f>
        <v>904544</v>
      </c>
      <c r="C1745" s="2" t="s">
        <v>594</v>
      </c>
      <c r="D1745" s="2" t="str">
        <f t="shared" si="26"/>
        <v>Error?</v>
      </c>
    </row>
    <row r="1746" spans="1:5" x14ac:dyDescent="0.2">
      <c r="A1746" s="5">
        <v>1685</v>
      </c>
      <c r="B1746" s="138">
        <f>'Tax Sched 23'!B6</f>
        <v>905061</v>
      </c>
      <c r="C1746" s="2" t="s">
        <v>594</v>
      </c>
      <c r="D1746" s="2" t="str">
        <f t="shared" si="26"/>
        <v>Error?</v>
      </c>
    </row>
    <row r="1747" spans="1:5" x14ac:dyDescent="0.2">
      <c r="A1747" s="5">
        <v>1686</v>
      </c>
      <c r="B1747" s="138">
        <f>'Tax Sched 23'!B7</f>
        <v>258441</v>
      </c>
      <c r="C1747" s="2" t="s">
        <v>594</v>
      </c>
      <c r="D1747" s="2" t="str">
        <f t="shared" si="26"/>
        <v>Error?</v>
      </c>
    </row>
    <row r="1748" spans="1:5" x14ac:dyDescent="0.2">
      <c r="A1748" s="5">
        <v>1687</v>
      </c>
      <c r="B1748" s="138">
        <f>'Tax Sched 23'!B8</f>
        <v>224327</v>
      </c>
      <c r="C1748" s="2" t="s">
        <v>594</v>
      </c>
      <c r="D1748" s="2" t="str">
        <f t="shared" si="26"/>
        <v>Error?</v>
      </c>
    </row>
    <row r="1749" spans="1:5" x14ac:dyDescent="0.2">
      <c r="A1749" s="5">
        <v>1688</v>
      </c>
      <c r="B1749" s="138">
        <f>'Tax Sched 23'!B10</f>
        <v>64610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697662</v>
      </c>
      <c r="C1752" s="2" t="s">
        <v>594</v>
      </c>
      <c r="D1752" s="2" t="str">
        <f t="shared" si="26"/>
        <v>Error?</v>
      </c>
    </row>
    <row r="1753" spans="1:5" x14ac:dyDescent="0.2">
      <c r="A1753" s="5">
        <v>1692</v>
      </c>
      <c r="B1753" s="138">
        <f>'Tax Sched 23'!B12</f>
        <v>64610</v>
      </c>
      <c r="C1753" s="2" t="s">
        <v>594</v>
      </c>
      <c r="D1753" s="2" t="str">
        <f t="shared" si="26"/>
        <v>Error?</v>
      </c>
    </row>
    <row r="1754" spans="1:5" x14ac:dyDescent="0.2">
      <c r="A1754" s="5">
        <v>1693</v>
      </c>
      <c r="B1754" s="138">
        <f>'Tax Sched 23'!B14</f>
        <v>51688</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6342403</v>
      </c>
      <c r="C1759" s="2" t="s">
        <v>594</v>
      </c>
      <c r="D1759" s="2" t="str">
        <f t="shared" si="26"/>
        <v>Error?</v>
      </c>
    </row>
    <row r="1760" spans="1:5" x14ac:dyDescent="0.2">
      <c r="A1760" s="5">
        <v>1699</v>
      </c>
      <c r="B1760" s="138">
        <f>'Tax Sched 23'!D4</f>
        <v>2907463</v>
      </c>
      <c r="C1760" s="2" t="s">
        <v>594</v>
      </c>
      <c r="D1760" s="2" t="str">
        <f t="shared" si="26"/>
        <v>Error?</v>
      </c>
    </row>
    <row r="1761" spans="1:5" x14ac:dyDescent="0.2">
      <c r="A1761" s="5">
        <v>1700</v>
      </c>
      <c r="B1761" s="138">
        <f>'Tax Sched 23'!D5</f>
        <v>904544</v>
      </c>
      <c r="C1761" s="2" t="s">
        <v>594</v>
      </c>
      <c r="D1761" s="2" t="str">
        <f t="shared" si="26"/>
        <v>Error?</v>
      </c>
    </row>
    <row r="1762" spans="1:5" s="8" customFormat="1" x14ac:dyDescent="0.2">
      <c r="A1762" s="5">
        <v>1701</v>
      </c>
      <c r="B1762" s="138">
        <f>'Tax Sched 23'!D6</f>
        <v>905061</v>
      </c>
      <c r="C1762" s="2" t="s">
        <v>594</v>
      </c>
      <c r="D1762" s="2" t="str">
        <f t="shared" si="26"/>
        <v>Error?</v>
      </c>
      <c r="E1762" s="9"/>
    </row>
    <row r="1763" spans="1:5" x14ac:dyDescent="0.2">
      <c r="A1763" s="5">
        <v>1702</v>
      </c>
      <c r="B1763" s="138">
        <f>'Tax Sched 23'!D7</f>
        <v>258441</v>
      </c>
      <c r="C1763" s="2" t="s">
        <v>594</v>
      </c>
      <c r="D1763" s="2" t="str">
        <f t="shared" si="26"/>
        <v>Error?</v>
      </c>
    </row>
    <row r="1764" spans="1:5" x14ac:dyDescent="0.2">
      <c r="A1764" s="5">
        <v>1703</v>
      </c>
      <c r="B1764" s="138">
        <f>'Tax Sched 23'!D8</f>
        <v>224327</v>
      </c>
      <c r="C1764" s="2" t="s">
        <v>594</v>
      </c>
      <c r="D1764" s="2" t="str">
        <f t="shared" si="26"/>
        <v>Error?</v>
      </c>
    </row>
    <row r="1765" spans="1:5" x14ac:dyDescent="0.2">
      <c r="A1765" s="5">
        <v>1704</v>
      </c>
      <c r="B1765" s="138">
        <f>'Tax Sched 23'!D10</f>
        <v>64610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697662</v>
      </c>
      <c r="C1768" s="2" t="s">
        <v>594</v>
      </c>
      <c r="D1768" s="2" t="str">
        <f t="shared" si="26"/>
        <v>Error?</v>
      </c>
    </row>
    <row r="1769" spans="1:5" x14ac:dyDescent="0.2">
      <c r="A1769" s="5">
        <v>1708</v>
      </c>
      <c r="B1769" s="138">
        <f>'Tax Sched 23'!D12</f>
        <v>64610</v>
      </c>
      <c r="C1769" s="2" t="s">
        <v>594</v>
      </c>
      <c r="D1769" s="2" t="str">
        <f t="shared" si="26"/>
        <v>Error?</v>
      </c>
    </row>
    <row r="1770" spans="1:5" x14ac:dyDescent="0.2">
      <c r="A1770" s="5">
        <v>1709</v>
      </c>
      <c r="B1770" s="138">
        <f>'Tax Sched 23'!D14</f>
        <v>51688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6342403</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2977571</v>
      </c>
      <c r="C1792" s="2" t="s">
        <v>594</v>
      </c>
      <c r="D1792" s="2" t="str">
        <f t="shared" si="27"/>
        <v>Error?</v>
      </c>
    </row>
    <row r="1793" spans="1:4" x14ac:dyDescent="0.2">
      <c r="A1793" s="5">
        <v>1732</v>
      </c>
      <c r="B1793" s="138">
        <f>'Tax Sched 23'!F5</f>
        <v>926355</v>
      </c>
      <c r="C1793" s="2" t="s">
        <v>594</v>
      </c>
      <c r="D1793" s="2" t="str">
        <f t="shared" si="27"/>
        <v>Error?</v>
      </c>
    </row>
    <row r="1794" spans="1:4" x14ac:dyDescent="0.2">
      <c r="A1794" s="5">
        <v>1733</v>
      </c>
      <c r="B1794" s="138">
        <f>'Tax Sched 23'!F6</f>
        <v>903845</v>
      </c>
      <c r="C1794" s="2" t="s">
        <v>594</v>
      </c>
      <c r="D1794" s="2" t="str">
        <f t="shared" si="27"/>
        <v>Error?</v>
      </c>
    </row>
    <row r="1795" spans="1:4" x14ac:dyDescent="0.2">
      <c r="A1795" s="5">
        <v>1734</v>
      </c>
      <c r="B1795" s="138">
        <f>'Tax Sched 23'!F7</f>
        <v>264673</v>
      </c>
      <c r="C1795" s="2" t="s">
        <v>594</v>
      </c>
      <c r="D1795" s="2" t="str">
        <f t="shared" si="27"/>
        <v>Error?</v>
      </c>
    </row>
    <row r="1796" spans="1:4" x14ac:dyDescent="0.2">
      <c r="A1796" s="5">
        <v>1735</v>
      </c>
      <c r="B1796" s="138">
        <f>'Tax Sched 23'!F8</f>
        <v>74995</v>
      </c>
      <c r="C1796" s="2" t="s">
        <v>594</v>
      </c>
      <c r="D1796" s="2" t="str">
        <f t="shared" si="27"/>
        <v>Error?</v>
      </c>
    </row>
    <row r="1797" spans="1:4" x14ac:dyDescent="0.2">
      <c r="A1797" s="5">
        <v>1736</v>
      </c>
      <c r="B1797" s="138">
        <f>'Tax Sched 23'!F10</f>
        <v>66168</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725005</v>
      </c>
      <c r="C1800" s="2" t="s">
        <v>594</v>
      </c>
      <c r="D1800" s="2" t="str">
        <f t="shared" si="27"/>
        <v>Error?</v>
      </c>
    </row>
    <row r="1801" spans="1:4" x14ac:dyDescent="0.2">
      <c r="A1801" s="5">
        <v>1740</v>
      </c>
      <c r="B1801" s="138">
        <f>'Tax Sched 23'!F12</f>
        <v>66168</v>
      </c>
      <c r="C1801" s="2" t="s">
        <v>594</v>
      </c>
      <c r="D1801" s="2" t="str">
        <f t="shared" si="27"/>
        <v>Error?</v>
      </c>
    </row>
    <row r="1802" spans="1:4" x14ac:dyDescent="0.2">
      <c r="A1802" s="5">
        <v>1741</v>
      </c>
      <c r="B1802" s="138">
        <f>'Tax Sched 23'!F14</f>
        <v>52935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6273886</v>
      </c>
      <c r="C1807" s="2" t="s">
        <v>594</v>
      </c>
      <c r="D1807" s="2" t="str">
        <f t="shared" si="27"/>
        <v>Error?</v>
      </c>
    </row>
    <row r="1808" spans="1:4" x14ac:dyDescent="0.2">
      <c r="A1808" s="5">
        <v>1747</v>
      </c>
      <c r="B1808" s="138">
        <f>'Tax Sched 23'!E4</f>
        <v>2977571</v>
      </c>
      <c r="D1808" s="2" t="str">
        <f t="shared" si="27"/>
        <v>Error?</v>
      </c>
    </row>
    <row r="1809" spans="1:4" x14ac:dyDescent="0.2">
      <c r="A1809" s="5">
        <v>1748</v>
      </c>
      <c r="B1809" s="138">
        <f>'Tax Sched 23'!E5</f>
        <v>926355</v>
      </c>
      <c r="D1809" s="2" t="str">
        <f t="shared" si="27"/>
        <v>Error?</v>
      </c>
    </row>
    <row r="1810" spans="1:4" x14ac:dyDescent="0.2">
      <c r="A1810" s="5">
        <v>1749</v>
      </c>
      <c r="B1810" s="138">
        <f>'Tax Sched 23'!E6</f>
        <v>903845</v>
      </c>
      <c r="D1810" s="2" t="str">
        <f t="shared" si="27"/>
        <v>Error?</v>
      </c>
    </row>
    <row r="1811" spans="1:4" x14ac:dyDescent="0.2">
      <c r="A1811" s="5">
        <v>1750</v>
      </c>
      <c r="B1811" s="138">
        <f>'Tax Sched 23'!E7</f>
        <v>264673</v>
      </c>
      <c r="D1811" s="2" t="str">
        <f t="shared" si="27"/>
        <v>Error?</v>
      </c>
    </row>
    <row r="1812" spans="1:4" x14ac:dyDescent="0.2">
      <c r="A1812" s="5">
        <v>1751</v>
      </c>
      <c r="B1812" s="138">
        <f>'Tax Sched 23'!E8</f>
        <v>74995</v>
      </c>
      <c r="D1812" s="2" t="str">
        <f t="shared" si="27"/>
        <v>Error?</v>
      </c>
    </row>
    <row r="1813" spans="1:4" x14ac:dyDescent="0.2">
      <c r="A1813" s="5">
        <v>1752</v>
      </c>
      <c r="B1813" s="138">
        <f>'Tax Sched 23'!E10</f>
        <v>66168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725005</v>
      </c>
      <c r="D1816" s="2" t="str">
        <f t="shared" si="27"/>
        <v>Error?</v>
      </c>
    </row>
    <row r="1817" spans="1:4" x14ac:dyDescent="0.2">
      <c r="A1817" s="5">
        <v>1756</v>
      </c>
      <c r="B1817" s="138">
        <f>'Tax Sched 23'!E12</f>
        <v>66168</v>
      </c>
      <c r="D1817" s="2" t="str">
        <f t="shared" si="27"/>
        <v>Error?</v>
      </c>
    </row>
    <row r="1818" spans="1:4" x14ac:dyDescent="0.2">
      <c r="A1818" s="5">
        <v>1757</v>
      </c>
      <c r="B1818" s="138">
        <f>'Tax Sched 23'!E14</f>
        <v>52935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6273886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5768536</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51688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51688</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51688</v>
      </c>
      <c r="D1980" s="2" t="str">
        <f t="shared" si="29"/>
        <v>Error?</v>
      </c>
    </row>
    <row r="1981" spans="1:5" x14ac:dyDescent="0.2">
      <c r="A1981" s="10">
        <v>1920</v>
      </c>
      <c r="D1981" s="2" t="str">
        <f t="shared" si="29"/>
        <v>OK</v>
      </c>
      <c r="E1981" s="2" t="s">
        <v>137</v>
      </c>
    </row>
    <row r="1982" spans="1:5" x14ac:dyDescent="0.2">
      <c r="A1982" s="5">
        <v>1921</v>
      </c>
      <c r="B1982" s="138">
        <f>'Rest Tax Levies-Tort Im 25'!H23</f>
        <v>51688</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441492</v>
      </c>
      <c r="D2008" s="2" t="str">
        <f t="shared" si="30"/>
        <v>Error?</v>
      </c>
    </row>
    <row r="2009" spans="1:4" x14ac:dyDescent="0.2">
      <c r="A2009" s="5">
        <v>1948</v>
      </c>
      <c r="B2009" s="138">
        <f>'Cap Outlay Deprec 26'!C8</f>
        <v>7567245</v>
      </c>
      <c r="D2009" s="2" t="str">
        <f t="shared" si="30"/>
        <v>Error?</v>
      </c>
    </row>
    <row r="2010" spans="1:4" x14ac:dyDescent="0.2">
      <c r="A2010" s="5">
        <v>1949</v>
      </c>
      <c r="B2010" s="138">
        <f>'Cap Outlay Deprec 26'!C10</f>
        <v>9608557</v>
      </c>
      <c r="D2010" s="2" t="str">
        <f t="shared" si="30"/>
        <v>Error?</v>
      </c>
    </row>
    <row r="2011" spans="1:4" x14ac:dyDescent="0.2">
      <c r="A2011" s="5">
        <v>1950</v>
      </c>
      <c r="B2011" s="138">
        <f>'Cap Outlay Deprec 26'!C12</f>
        <v>2070902</v>
      </c>
      <c r="D2011" s="2" t="str">
        <f t="shared" si="30"/>
        <v>Error?</v>
      </c>
    </row>
    <row r="2012" spans="1:4" x14ac:dyDescent="0.2">
      <c r="A2012" s="5">
        <v>1951</v>
      </c>
      <c r="B2012" s="138">
        <f>'Cap Outlay Deprec 26'!C13</f>
        <v>286653</v>
      </c>
      <c r="D2012" s="2" t="str">
        <f t="shared" si="30"/>
        <v>Error?</v>
      </c>
    </row>
    <row r="2013" spans="1:4" x14ac:dyDescent="0.2">
      <c r="A2013" s="5">
        <v>1952</v>
      </c>
      <c r="B2013" s="138">
        <f>'Cap Outlay Deprec 26'!C16</f>
        <v>19974849</v>
      </c>
      <c r="C2013" s="2" t="s">
        <v>594</v>
      </c>
      <c r="D2013" s="2" t="str">
        <f t="shared" si="30"/>
        <v>Error?</v>
      </c>
    </row>
    <row r="2014" spans="1:4" x14ac:dyDescent="0.2">
      <c r="A2014" s="5">
        <v>1953</v>
      </c>
      <c r="B2014" s="138">
        <f>'Cap Outlay Deprec 26'!D5</f>
        <v>26611</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2554717</v>
      </c>
      <c r="D2016" s="2" t="str">
        <f t="shared" si="30"/>
        <v>Error?</v>
      </c>
    </row>
    <row r="2017" spans="1:4" x14ac:dyDescent="0.2">
      <c r="A2017" s="5">
        <v>1956</v>
      </c>
      <c r="B2017" s="138">
        <f>'Cap Outlay Deprec 26'!D12</f>
        <v>226408</v>
      </c>
      <c r="D2017" s="2" t="str">
        <f t="shared" si="30"/>
        <v>Error?</v>
      </c>
    </row>
    <row r="2018" spans="1:4" x14ac:dyDescent="0.2">
      <c r="A2018" s="5">
        <v>1957</v>
      </c>
      <c r="B2018" s="138">
        <f>'Cap Outlay Deprec 26'!D13</f>
        <v>1605</v>
      </c>
      <c r="D2018" s="2" t="str">
        <f t="shared" si="30"/>
        <v>Error?</v>
      </c>
    </row>
    <row r="2019" spans="1:4" x14ac:dyDescent="0.2">
      <c r="A2019" s="5">
        <v>1958</v>
      </c>
      <c r="B2019" s="138">
        <f>'Cap Outlay Deprec 26'!D16</f>
        <v>2809341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166644</v>
      </c>
      <c r="D2022" s="2" t="str">
        <f t="shared" si="30"/>
        <v>Error?</v>
      </c>
    </row>
    <row r="2023" spans="1:4" x14ac:dyDescent="0.2">
      <c r="A2023" s="5">
        <v>1962</v>
      </c>
      <c r="B2023" s="138">
        <f>'Cap Outlay Deprec 26'!E12</f>
        <v>114098</v>
      </c>
      <c r="D2023" s="2" t="str">
        <f t="shared" si="30"/>
        <v>Error?</v>
      </c>
    </row>
    <row r="2024" spans="1:4" x14ac:dyDescent="0.2">
      <c r="A2024" s="5">
        <v>1963</v>
      </c>
      <c r="B2024" s="138">
        <f>'Cap Outlay Deprec 26'!E13</f>
        <v>125828</v>
      </c>
      <c r="D2024" s="2" t="str">
        <f t="shared" si="30"/>
        <v>Error?</v>
      </c>
    </row>
    <row r="2025" spans="1:4" x14ac:dyDescent="0.2">
      <c r="A2025" s="5">
        <v>1964</v>
      </c>
      <c r="B2025" s="138">
        <f>'Cap Outlay Deprec 26'!E16</f>
        <v>406570</v>
      </c>
      <c r="C2025" s="2" t="s">
        <v>594</v>
      </c>
      <c r="D2025" s="2" t="str">
        <f t="shared" si="30"/>
        <v>Error?</v>
      </c>
    </row>
    <row r="2026" spans="1:4" x14ac:dyDescent="0.2">
      <c r="A2026" s="5">
        <v>1965</v>
      </c>
      <c r="B2026" s="138">
        <f>'Cap Outlay Deprec 26'!F5</f>
        <v>468103</v>
      </c>
      <c r="C2026" s="2" t="s">
        <v>594</v>
      </c>
      <c r="D2026" s="2" t="str">
        <f t="shared" si="30"/>
        <v>Error?</v>
      </c>
    </row>
    <row r="2027" spans="1:4" x14ac:dyDescent="0.2">
      <c r="A2027" s="5">
        <v>1966</v>
      </c>
      <c r="B2027" s="138">
        <f>'Cap Outlay Deprec 26'!F8</f>
        <v>7567245</v>
      </c>
      <c r="C2027" s="2" t="s">
        <v>594</v>
      </c>
      <c r="D2027" s="2" t="str">
        <f t="shared" si="30"/>
        <v>Error?</v>
      </c>
    </row>
    <row r="2028" spans="1:4" x14ac:dyDescent="0.2">
      <c r="A2028" s="5">
        <v>1967</v>
      </c>
      <c r="B2028" s="138">
        <f>'Cap Outlay Deprec 26'!F10</f>
        <v>11996630</v>
      </c>
      <c r="C2028" s="2" t="s">
        <v>594</v>
      </c>
      <c r="D2028" s="2" t="str">
        <f t="shared" si="30"/>
        <v>Error?</v>
      </c>
    </row>
    <row r="2029" spans="1:4" x14ac:dyDescent="0.2">
      <c r="A2029" s="5">
        <v>1968</v>
      </c>
      <c r="B2029" s="138">
        <f>'Cap Outlay Deprec 26'!F12</f>
        <v>2183212</v>
      </c>
      <c r="C2029" s="2" t="s">
        <v>594</v>
      </c>
      <c r="D2029" s="2" t="str">
        <f t="shared" si="30"/>
        <v>Error?</v>
      </c>
    </row>
    <row r="2030" spans="1:4" x14ac:dyDescent="0.2">
      <c r="A2030" s="5">
        <v>1969</v>
      </c>
      <c r="B2030" s="138">
        <f>'Cap Outlay Deprec 26'!F13</f>
        <v>162430</v>
      </c>
      <c r="C2030" s="2" t="s">
        <v>594</v>
      </c>
      <c r="D2030" s="2" t="str">
        <f t="shared" si="30"/>
        <v>Error?</v>
      </c>
    </row>
    <row r="2031" spans="1:4" x14ac:dyDescent="0.2">
      <c r="A2031" s="5">
        <v>1970</v>
      </c>
      <c r="B2031" s="138">
        <f>'Cap Outlay Deprec 26'!F16</f>
        <v>22377620</v>
      </c>
      <c r="C2031" s="2" t="s">
        <v>594</v>
      </c>
      <c r="D2031" s="2" t="str">
        <f t="shared" si="30"/>
        <v>Error?</v>
      </c>
    </row>
    <row r="2032" spans="1:4" x14ac:dyDescent="0.2">
      <c r="A2032" s="10">
        <v>1971</v>
      </c>
      <c r="D2032" s="2" t="str">
        <f t="shared" si="30"/>
        <v>OK</v>
      </c>
    </row>
    <row r="2033" spans="1:4" x14ac:dyDescent="0.2">
      <c r="A2033" s="5">
        <v>1972</v>
      </c>
      <c r="B2033" s="138">
        <f>'Cap Outlay Deprec 26'!H8</f>
        <v>6096717</v>
      </c>
      <c r="D2033" s="2" t="str">
        <f t="shared" si="30"/>
        <v>Error?</v>
      </c>
    </row>
    <row r="2034" spans="1:4" x14ac:dyDescent="0.2">
      <c r="A2034" s="5">
        <v>1973</v>
      </c>
      <c r="B2034" s="138">
        <f>'Cap Outlay Deprec 26'!H10</f>
        <v>3029648</v>
      </c>
      <c r="D2034" s="2" t="str">
        <f t="shared" si="30"/>
        <v>Error?</v>
      </c>
    </row>
    <row r="2035" spans="1:4" x14ac:dyDescent="0.2">
      <c r="A2035" s="5">
        <v>1974</v>
      </c>
      <c r="B2035" s="138">
        <f>'Cap Outlay Deprec 26'!H12</f>
        <v>1229618</v>
      </c>
      <c r="D2035" s="2" t="str">
        <f t="shared" si="30"/>
        <v>Error?</v>
      </c>
    </row>
    <row r="2036" spans="1:4" x14ac:dyDescent="0.2">
      <c r="A2036" s="5">
        <v>1975</v>
      </c>
      <c r="B2036" s="138">
        <f>'Cap Outlay Deprec 26'!H13</f>
        <v>274658</v>
      </c>
      <c r="D2036" s="2" t="str">
        <f t="shared" si="30"/>
        <v>Error?</v>
      </c>
    </row>
    <row r="2037" spans="1:4" x14ac:dyDescent="0.2">
      <c r="A2037" s="5">
        <v>1976</v>
      </c>
      <c r="B2037" s="138">
        <f>'Cap Outlay Deprec 26'!H16</f>
        <v>10630641</v>
      </c>
      <c r="C2037" s="2" t="s">
        <v>594</v>
      </c>
      <c r="D2037" s="2" t="str">
        <f t="shared" si="30"/>
        <v>Error?</v>
      </c>
    </row>
    <row r="2038" spans="1:4" x14ac:dyDescent="0.2">
      <c r="A2038" s="10">
        <v>1977</v>
      </c>
      <c r="D2038" s="2" t="str">
        <f t="shared" si="30"/>
        <v>OK</v>
      </c>
    </row>
    <row r="2039" spans="1:4" x14ac:dyDescent="0.2">
      <c r="A2039" s="5">
        <v>1978</v>
      </c>
      <c r="B2039" s="138">
        <f>'Cap Outlay Deprec 26'!I8</f>
        <v>54507</v>
      </c>
      <c r="D2039" s="2" t="str">
        <f t="shared" si="30"/>
        <v>Error?</v>
      </c>
    </row>
    <row r="2040" spans="1:4" x14ac:dyDescent="0.2">
      <c r="A2040" s="5">
        <v>1979</v>
      </c>
      <c r="B2040" s="138">
        <f>'Cap Outlay Deprec 26'!I10</f>
        <v>546954</v>
      </c>
      <c r="D2040" s="2" t="str">
        <f t="shared" si="30"/>
        <v>Error?</v>
      </c>
    </row>
    <row r="2041" spans="1:4" x14ac:dyDescent="0.2">
      <c r="A2041" s="5">
        <v>1980</v>
      </c>
      <c r="B2041" s="138">
        <f>'Cap Outlay Deprec 26'!I12</f>
        <v>198158</v>
      </c>
      <c r="D2041" s="2" t="str">
        <f t="shared" si="30"/>
        <v>Error?</v>
      </c>
    </row>
    <row r="2042" spans="1:4" x14ac:dyDescent="0.2">
      <c r="A2042" s="5">
        <v>1981</v>
      </c>
      <c r="B2042" s="138">
        <f>'Cap Outlay Deprec 26'!I13</f>
        <v>5923</v>
      </c>
      <c r="D2042" s="2" t="str">
        <f t="shared" si="30"/>
        <v>Error?</v>
      </c>
    </row>
    <row r="2043" spans="1:4" x14ac:dyDescent="0.2">
      <c r="A2043" s="5">
        <v>1982</v>
      </c>
      <c r="B2043" s="138">
        <f>'Cap Outlay Deprec 26'!I16</f>
        <v>805542</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166644</v>
      </c>
      <c r="D2046" s="2" t="str">
        <f t="shared" si="30"/>
        <v>Error?</v>
      </c>
    </row>
    <row r="2047" spans="1:4" x14ac:dyDescent="0.2">
      <c r="A2047" s="5">
        <v>1986</v>
      </c>
      <c r="B2047" s="138">
        <f>'Cap Outlay Deprec 26'!J12</f>
        <v>114098</v>
      </c>
      <c r="D2047" s="2" t="str">
        <f t="shared" ref="D2047:D2110" si="31">IF(ISBLANK(B2047),"OK",IF(A2047-B2047=0,"OK","Error?"))</f>
        <v>Error?</v>
      </c>
    </row>
    <row r="2048" spans="1:4" x14ac:dyDescent="0.2">
      <c r="A2048" s="5">
        <v>1987</v>
      </c>
      <c r="B2048" s="138">
        <f>'Cap Outlay Deprec 26'!J13</f>
        <v>125828</v>
      </c>
      <c r="D2048" s="2" t="str">
        <f t="shared" si="31"/>
        <v>Error?</v>
      </c>
    </row>
    <row r="2049" spans="1:4" x14ac:dyDescent="0.2">
      <c r="A2049" s="5">
        <v>1988</v>
      </c>
      <c r="B2049" s="138">
        <f>'Cap Outlay Deprec 26'!J16</f>
        <v>406570</v>
      </c>
      <c r="C2049" s="2" t="s">
        <v>594</v>
      </c>
      <c r="D2049" s="2" t="str">
        <f t="shared" si="31"/>
        <v>Error?</v>
      </c>
    </row>
    <row r="2050" spans="1:4" x14ac:dyDescent="0.2">
      <c r="A2050" s="10">
        <v>1989</v>
      </c>
      <c r="D2050" s="2" t="str">
        <f t="shared" si="31"/>
        <v>OK</v>
      </c>
    </row>
    <row r="2051" spans="1:4" x14ac:dyDescent="0.2">
      <c r="A2051" s="5">
        <v>1990</v>
      </c>
      <c r="B2051" s="138">
        <f>'Cap Outlay Deprec 26'!K8</f>
        <v>6151224</v>
      </c>
      <c r="C2051" s="2" t="s">
        <v>594</v>
      </c>
      <c r="D2051" s="2" t="str">
        <f t="shared" si="31"/>
        <v>Error?</v>
      </c>
    </row>
    <row r="2052" spans="1:4" x14ac:dyDescent="0.2">
      <c r="A2052" s="5">
        <v>1991</v>
      </c>
      <c r="B2052" s="138">
        <f>'Cap Outlay Deprec 26'!K10</f>
        <v>3409958</v>
      </c>
      <c r="C2052" s="2" t="s">
        <v>594</v>
      </c>
      <c r="D2052" s="2" t="str">
        <f t="shared" si="31"/>
        <v>Error?</v>
      </c>
    </row>
    <row r="2053" spans="1:4" x14ac:dyDescent="0.2">
      <c r="A2053" s="5">
        <v>1992</v>
      </c>
      <c r="B2053" s="138">
        <f>'Cap Outlay Deprec 26'!K12</f>
        <v>1313678</v>
      </c>
      <c r="C2053" s="2" t="s">
        <v>594</v>
      </c>
      <c r="D2053" s="2" t="str">
        <f t="shared" si="31"/>
        <v>Error?</v>
      </c>
    </row>
    <row r="2054" spans="1:4" x14ac:dyDescent="0.2">
      <c r="A2054" s="5">
        <v>1993</v>
      </c>
      <c r="B2054" s="138">
        <f>'Cap Outlay Deprec 26'!K13</f>
        <v>154753</v>
      </c>
      <c r="C2054" s="2" t="s">
        <v>594</v>
      </c>
      <c r="D2054" s="2" t="str">
        <f t="shared" si="31"/>
        <v>Error?</v>
      </c>
    </row>
    <row r="2055" spans="1:4" x14ac:dyDescent="0.2">
      <c r="A2055" s="5">
        <v>1994</v>
      </c>
      <c r="B2055" s="138">
        <f>'Cap Outlay Deprec 26'!K16</f>
        <v>11029613</v>
      </c>
      <c r="C2055" s="2" t="s">
        <v>594</v>
      </c>
      <c r="D2055" s="2" t="str">
        <f t="shared" si="31"/>
        <v>Error?</v>
      </c>
    </row>
    <row r="2056" spans="1:4" x14ac:dyDescent="0.2">
      <c r="A2056" s="5">
        <v>1995</v>
      </c>
      <c r="B2056" s="138">
        <f>'Cap Outlay Deprec 26'!L5</f>
        <v>468103</v>
      </c>
      <c r="C2056" s="2" t="s">
        <v>594</v>
      </c>
      <c r="D2056" s="2" t="str">
        <f t="shared" si="31"/>
        <v>Error?</v>
      </c>
    </row>
    <row r="2057" spans="1:4" x14ac:dyDescent="0.2">
      <c r="A2057" s="5">
        <v>1996</v>
      </c>
      <c r="B2057" s="138">
        <f>'Cap Outlay Deprec 26'!L8</f>
        <v>1416021</v>
      </c>
      <c r="C2057" s="2" t="s">
        <v>594</v>
      </c>
      <c r="D2057" s="2" t="str">
        <f t="shared" si="31"/>
        <v>Error?</v>
      </c>
    </row>
    <row r="2058" spans="1:4" x14ac:dyDescent="0.2">
      <c r="A2058" s="5">
        <v>1997</v>
      </c>
      <c r="B2058" s="138">
        <f>'Cap Outlay Deprec 26'!L10</f>
        <v>8586672</v>
      </c>
      <c r="C2058" s="2" t="s">
        <v>594</v>
      </c>
      <c r="D2058" s="2" t="str">
        <f t="shared" si="31"/>
        <v>Error?</v>
      </c>
    </row>
    <row r="2059" spans="1:4" x14ac:dyDescent="0.2">
      <c r="A2059" s="5">
        <v>1998</v>
      </c>
      <c r="B2059" s="138">
        <f>'Cap Outlay Deprec 26'!L12</f>
        <v>869534</v>
      </c>
      <c r="C2059" s="2" t="s">
        <v>594</v>
      </c>
      <c r="D2059" s="2" t="str">
        <f t="shared" si="31"/>
        <v>Error?</v>
      </c>
    </row>
    <row r="2060" spans="1:4" x14ac:dyDescent="0.2">
      <c r="A2060" s="5">
        <v>1999</v>
      </c>
      <c r="B2060" s="138">
        <f>'Cap Outlay Deprec 26'!L13</f>
        <v>7677</v>
      </c>
      <c r="C2060" s="2" t="s">
        <v>594</v>
      </c>
      <c r="D2060" s="2" t="str">
        <f t="shared" si="31"/>
        <v>Error?</v>
      </c>
    </row>
    <row r="2061" spans="1:4" x14ac:dyDescent="0.2">
      <c r="A2061" s="5">
        <v>2000</v>
      </c>
      <c r="B2061" s="138">
        <f>'Cap Outlay Deprec 26'!L16</f>
        <v>11348007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7793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444753</v>
      </c>
      <c r="C2088" s="2" t="s">
        <v>594</v>
      </c>
      <c r="D2088" s="2" t="str">
        <f t="shared" si="31"/>
        <v>Error?</v>
      </c>
    </row>
    <row r="2089" spans="1:4" x14ac:dyDescent="0.2">
      <c r="A2089" s="5">
        <v>2028</v>
      </c>
      <c r="B2089" s="138">
        <f>'Expenditures 15-22'!K92</f>
        <v>19333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212434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3475099</v>
      </c>
      <c r="C2551" s="2" t="s">
        <v>594</v>
      </c>
      <c r="D2551" s="2" t="str">
        <f t="shared" si="38"/>
        <v>Error?</v>
      </c>
    </row>
    <row r="2552" spans="1:4" x14ac:dyDescent="0.2">
      <c r="A2552" s="10">
        <v>2491</v>
      </c>
      <c r="D2552" s="2" t="str">
        <f t="shared" si="38"/>
        <v>OK</v>
      </c>
    </row>
    <row r="2553" spans="1:4" x14ac:dyDescent="0.2">
      <c r="A2553" s="5">
        <v>2492</v>
      </c>
      <c r="B2553" s="138">
        <f>'Acct Summary 7-8'!C6</f>
        <v>9100571</v>
      </c>
      <c r="C2553" s="2" t="s">
        <v>594</v>
      </c>
      <c r="D2553" s="2" t="str">
        <f t="shared" si="38"/>
        <v>Error?</v>
      </c>
    </row>
    <row r="2554" spans="1:4" x14ac:dyDescent="0.2">
      <c r="A2554" s="5">
        <v>2493</v>
      </c>
      <c r="B2554" s="138">
        <f>'Acct Summary 7-8'!C7</f>
        <v>1418978</v>
      </c>
      <c r="C2554" s="2" t="s">
        <v>594</v>
      </c>
      <c r="D2554" s="2" t="str">
        <f t="shared" si="38"/>
        <v>Error?</v>
      </c>
    </row>
    <row r="2555" spans="1:4" x14ac:dyDescent="0.2">
      <c r="A2555" s="5">
        <v>2494</v>
      </c>
      <c r="B2555" s="138">
        <f>'Acct Summary 7-8'!C8</f>
        <v>13994648</v>
      </c>
      <c r="C2555" s="2" t="s">
        <v>594</v>
      </c>
      <c r="D2555" s="2" t="str">
        <f t="shared" si="38"/>
        <v>Error?</v>
      </c>
    </row>
    <row r="2556" spans="1:4" x14ac:dyDescent="0.2">
      <c r="A2556" s="5">
        <v>2495</v>
      </c>
      <c r="B2556" s="138">
        <f>'Acct Summary 7-8'!C12</f>
        <v>7618479</v>
      </c>
      <c r="C2556" s="2" t="s">
        <v>594</v>
      </c>
      <c r="D2556" s="2" t="str">
        <f t="shared" si="38"/>
        <v>Error?</v>
      </c>
    </row>
    <row r="2557" spans="1:4" x14ac:dyDescent="0.2">
      <c r="A2557" s="5">
        <v>2496</v>
      </c>
      <c r="B2557" s="138">
        <f>'Acct Summary 7-8'!C13</f>
        <v>3243089</v>
      </c>
      <c r="C2557" s="2" t="s">
        <v>594</v>
      </c>
      <c r="D2557" s="2" t="str">
        <f t="shared" si="38"/>
        <v>Error?</v>
      </c>
    </row>
    <row r="2558" spans="1:4" x14ac:dyDescent="0.2">
      <c r="A2558" s="5">
        <v>2497</v>
      </c>
      <c r="B2558" s="138">
        <f>'Acct Summary 7-8'!C14</f>
        <v>39772</v>
      </c>
      <c r="C2558" s="2" t="s">
        <v>594</v>
      </c>
      <c r="D2558" s="2" t="str">
        <f t="shared" si="38"/>
        <v>Error?</v>
      </c>
    </row>
    <row r="2559" spans="1:4" x14ac:dyDescent="0.2">
      <c r="A2559" s="5">
        <v>2498</v>
      </c>
      <c r="B2559" s="138">
        <f>'Acct Summary 7-8'!C15</f>
        <v>464086</v>
      </c>
      <c r="C2559" s="2" t="s">
        <v>594</v>
      </c>
      <c r="D2559" s="2" t="str">
        <f t="shared" ref="D2559:D2622" si="39">IF(ISBLANK(B2559),"OK",IF(A2559-B2559=0,"OK","Error?"))</f>
        <v>Error?</v>
      </c>
    </row>
    <row r="2560" spans="1:4" x14ac:dyDescent="0.2">
      <c r="A2560" s="5">
        <v>2499</v>
      </c>
      <c r="B2560" s="138">
        <f>'Acct Summary 7-8'!C16</f>
        <v>566</v>
      </c>
      <c r="C2560" s="2" t="s">
        <v>594</v>
      </c>
      <c r="D2560" s="2" t="str">
        <f t="shared" si="39"/>
        <v>Error?</v>
      </c>
    </row>
    <row r="2561" spans="1:4" x14ac:dyDescent="0.2">
      <c r="A2561" s="5">
        <v>2500</v>
      </c>
      <c r="B2561" s="138">
        <f>'Acct Summary 7-8'!C17</f>
        <v>11365992</v>
      </c>
      <c r="C2561" s="2" t="s">
        <v>594</v>
      </c>
      <c r="D2561" s="2" t="str">
        <f t="shared" si="39"/>
        <v>Error?</v>
      </c>
    </row>
    <row r="2562" spans="1:4" x14ac:dyDescent="0.2">
      <c r="A2562" s="5">
        <v>2501</v>
      </c>
      <c r="B2562" s="138">
        <f>'Acct Summary 7-8'!C20</f>
        <v>2628656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985492</v>
      </c>
      <c r="C2564" s="2" t="s">
        <v>594</v>
      </c>
      <c r="D2564" s="2" t="str">
        <f t="shared" si="39"/>
        <v>Error?</v>
      </c>
    </row>
    <row r="2565" spans="1:4" x14ac:dyDescent="0.2">
      <c r="A2565" s="10">
        <v>2504</v>
      </c>
      <c r="D2565" s="2" t="str">
        <f t="shared" si="39"/>
        <v>OK</v>
      </c>
    </row>
    <row r="2566" spans="1:4" x14ac:dyDescent="0.2">
      <c r="A2566" s="5">
        <v>2505</v>
      </c>
      <c r="B2566" s="138">
        <f>'Acct Summary 7-8'!D6</f>
        <v>112783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1098275</v>
      </c>
      <c r="C2568" s="2" t="s">
        <v>594</v>
      </c>
      <c r="D2568" s="2" t="str">
        <f t="shared" si="39"/>
        <v>Error?</v>
      </c>
    </row>
    <row r="2569" spans="1:4" x14ac:dyDescent="0.2">
      <c r="A2569" s="5">
        <v>2508</v>
      </c>
      <c r="B2569" s="138">
        <f>'Acct Summary 7-8'!D13</f>
        <v>842764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842764</v>
      </c>
      <c r="C2573" s="2" t="s">
        <v>594</v>
      </c>
      <c r="D2573" s="2" t="str">
        <f t="shared" si="39"/>
        <v>Error?</v>
      </c>
    </row>
    <row r="2574" spans="1:4" x14ac:dyDescent="0.2">
      <c r="A2574" s="5">
        <v>2513</v>
      </c>
      <c r="B2574" s="138">
        <f>'Acct Summary 7-8'!D20</f>
        <v>255511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552328</v>
      </c>
      <c r="C2591" s="2" t="s">
        <v>594</v>
      </c>
      <c r="D2591" s="2" t="str">
        <f t="shared" si="39"/>
        <v>Error?</v>
      </c>
    </row>
    <row r="2592" spans="1:4" x14ac:dyDescent="0.2">
      <c r="A2592" s="10">
        <v>2531</v>
      </c>
      <c r="D2592" s="2" t="str">
        <f t="shared" si="39"/>
        <v>OK</v>
      </c>
    </row>
    <row r="2593" spans="1:4" x14ac:dyDescent="0.2">
      <c r="A2593" s="5">
        <v>2532</v>
      </c>
      <c r="B2593" s="138">
        <f>'Acct Summary 7-8'!F6</f>
        <v>900522</v>
      </c>
      <c r="C2593" s="2" t="s">
        <v>594</v>
      </c>
      <c r="D2593" s="2" t="str">
        <f t="shared" si="39"/>
        <v>Error?</v>
      </c>
    </row>
    <row r="2594" spans="1:4" x14ac:dyDescent="0.2">
      <c r="A2594" s="5">
        <v>2533</v>
      </c>
      <c r="B2594" s="138">
        <f>'Acct Summary 7-8'!F7</f>
        <v>17606</v>
      </c>
      <c r="C2594" s="2" t="s">
        <v>594</v>
      </c>
      <c r="D2594" s="2" t="str">
        <f t="shared" si="39"/>
        <v>Error?</v>
      </c>
    </row>
    <row r="2595" spans="1:4" x14ac:dyDescent="0.2">
      <c r="A2595" s="5">
        <v>2534</v>
      </c>
      <c r="B2595" s="138">
        <f>'Acct Summary 7-8'!F8</f>
        <v>1470456</v>
      </c>
      <c r="C2595" s="2" t="s">
        <v>594</v>
      </c>
      <c r="D2595" s="2" t="str">
        <f t="shared" si="39"/>
        <v>Error?</v>
      </c>
    </row>
    <row r="2596" spans="1:4" x14ac:dyDescent="0.2">
      <c r="A2596" s="5">
        <v>2535</v>
      </c>
      <c r="B2596" s="138">
        <f>'Acct Summary 7-8'!F13</f>
        <v>874953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115742</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990695</v>
      </c>
      <c r="C2600" s="2" t="s">
        <v>594</v>
      </c>
      <c r="D2600" s="2" t="str">
        <f t="shared" si="39"/>
        <v>Error?</v>
      </c>
    </row>
    <row r="2601" spans="1:4" x14ac:dyDescent="0.2">
      <c r="A2601" s="5">
        <v>2540</v>
      </c>
      <c r="B2601" s="138">
        <f>'Acct Summary 7-8'!F20</f>
        <v>479761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448048</v>
      </c>
      <c r="C2603" s="2" t="s">
        <v>594</v>
      </c>
      <c r="D2603" s="2" t="str">
        <f t="shared" si="39"/>
        <v>Error?</v>
      </c>
    </row>
    <row r="2604" spans="1:4" x14ac:dyDescent="0.2">
      <c r="A2604" s="5">
        <v>2543</v>
      </c>
      <c r="B2604" s="138">
        <f>'Acct Summary 7-8'!G6</f>
        <v>28295</v>
      </c>
      <c r="C2604" s="2" t="s">
        <v>594</v>
      </c>
      <c r="D2604" s="2" t="str">
        <f t="shared" si="39"/>
        <v>Error?</v>
      </c>
    </row>
    <row r="2605" spans="1:4" x14ac:dyDescent="0.2">
      <c r="A2605" s="5">
        <v>2544</v>
      </c>
      <c r="B2605" s="138">
        <f>'Acct Summary 7-8'!G7</f>
        <v>10020</v>
      </c>
      <c r="C2605" s="2" t="s">
        <v>594</v>
      </c>
      <c r="D2605" s="2" t="str">
        <f t="shared" si="39"/>
        <v>Error?</v>
      </c>
    </row>
    <row r="2606" spans="1:4" x14ac:dyDescent="0.2">
      <c r="A2606" s="5">
        <v>2545</v>
      </c>
      <c r="B2606" s="138">
        <f>'Acct Summary 7-8'!G8</f>
        <v>486363</v>
      </c>
      <c r="C2606" s="2" t="s">
        <v>594</v>
      </c>
      <c r="D2606" s="2" t="str">
        <f t="shared" si="39"/>
        <v>Error?</v>
      </c>
    </row>
    <row r="2607" spans="1:4" x14ac:dyDescent="0.2">
      <c r="A2607" s="5">
        <v>2546</v>
      </c>
      <c r="B2607" s="138">
        <f>'Acct Summary 7-8'!G12</f>
        <v>156775</v>
      </c>
      <c r="C2607" s="2" t="s">
        <v>594</v>
      </c>
      <c r="D2607" s="2" t="str">
        <f t="shared" si="39"/>
        <v>Error?</v>
      </c>
    </row>
    <row r="2608" spans="1:4" x14ac:dyDescent="0.2">
      <c r="A2608" s="5">
        <v>2547</v>
      </c>
      <c r="B2608" s="138">
        <f>'Acct Summary 7-8'!G13</f>
        <v>325555</v>
      </c>
      <c r="C2608" s="2" t="s">
        <v>594</v>
      </c>
      <c r="D2608" s="2" t="str">
        <f t="shared" si="39"/>
        <v>Error?</v>
      </c>
    </row>
    <row r="2609" spans="1:4" x14ac:dyDescent="0.2">
      <c r="A2609" s="5">
        <v>2548</v>
      </c>
      <c r="B2609" s="138">
        <f>'Acct Summary 7-8'!G14</f>
        <v>566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482896</v>
      </c>
      <c r="C2612" s="2" t="s">
        <v>594</v>
      </c>
      <c r="D2612" s="2" t="str">
        <f t="shared" si="39"/>
        <v>Error?</v>
      </c>
    </row>
    <row r="2613" spans="1:4" x14ac:dyDescent="0.2">
      <c r="A2613" s="5">
        <v>2552</v>
      </c>
      <c r="B2613" s="138">
        <f>'Acct Summary 7-8'!G20</f>
        <v>3467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906019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906019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963118</v>
      </c>
      <c r="C2634" s="2" t="s">
        <v>594</v>
      </c>
      <c r="D2634" s="2" t="str">
        <f t="shared" si="40"/>
        <v>Error?</v>
      </c>
    </row>
    <row r="2635" spans="1:4" x14ac:dyDescent="0.2">
      <c r="A2635" s="5">
        <v>2574</v>
      </c>
      <c r="B2635" s="138">
        <f>'Acct Summary 7-8'!E17</f>
        <v>963118</v>
      </c>
      <c r="C2635" s="2" t="s">
        <v>594</v>
      </c>
      <c r="D2635" s="2" t="str">
        <f t="shared" si="40"/>
        <v>Error?</v>
      </c>
    </row>
    <row r="2636" spans="1:4" x14ac:dyDescent="0.2">
      <c r="A2636" s="5">
        <v>2575</v>
      </c>
      <c r="B2636" s="138">
        <f>'Acct Summary 7-8'!E20</f>
        <v>-57099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1015608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1015608</v>
      </c>
      <c r="C2658" s="2" t="s">
        <v>594</v>
      </c>
      <c r="D2658" s="2" t="str">
        <f t="shared" si="40"/>
        <v>Error?</v>
      </c>
    </row>
    <row r="2659" spans="1:4" x14ac:dyDescent="0.2">
      <c r="A2659" s="5">
        <v>2598</v>
      </c>
      <c r="B2659" s="138">
        <f>'Acct Summary 7-8'!H13</f>
        <v>1368556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1368556</v>
      </c>
      <c r="C2661" s="2" t="s">
        <v>594</v>
      </c>
      <c r="D2661" s="2" t="str">
        <f t="shared" si="40"/>
        <v>Error?</v>
      </c>
    </row>
    <row r="2662" spans="1:4" x14ac:dyDescent="0.2">
      <c r="A2662" s="5">
        <v>2601</v>
      </c>
      <c r="B2662" s="138">
        <f>'Acct Summary 7-8'!H20</f>
        <v>-352948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599</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599</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436960</v>
      </c>
      <c r="C2789" s="2" t="s">
        <v>594</v>
      </c>
      <c r="D2789" s="2" t="str">
        <f t="shared" si="42"/>
        <v>Error?</v>
      </c>
    </row>
    <row r="2790" spans="1:4" x14ac:dyDescent="0.2">
      <c r="A2790" s="5">
        <v>2729</v>
      </c>
      <c r="B2790" s="138">
        <f>'Expenditures 15-22'!E102</f>
        <v>436960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115742</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115742</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2089275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1453193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2089275</v>
      </c>
      <c r="D2912" s="2" t="str">
        <f t="shared" si="44"/>
        <v>Error?</v>
      </c>
    </row>
    <row r="2913" spans="1:4" x14ac:dyDescent="0.2">
      <c r="A2913" s="5">
        <v>2852</v>
      </c>
      <c r="B2913" s="138">
        <f>'Assets-Liab 5-6'!I41</f>
        <v>2089275</v>
      </c>
      <c r="C2913" s="2" t="s">
        <v>594</v>
      </c>
      <c r="D2913" s="2" t="str">
        <f t="shared" si="44"/>
        <v>Error?</v>
      </c>
    </row>
    <row r="2914" spans="1:4" x14ac:dyDescent="0.2">
      <c r="A2914" s="5">
        <v>2853</v>
      </c>
      <c r="B2914" s="138">
        <f>'Assets-Liab 5-6'!L33</f>
        <v>141503</v>
      </c>
      <c r="D2914" s="2" t="str">
        <f t="shared" si="44"/>
        <v>Error?</v>
      </c>
    </row>
    <row r="2915" spans="1:4" x14ac:dyDescent="0.2">
      <c r="A2915" s="10">
        <v>2854</v>
      </c>
      <c r="D2915" s="2" t="str">
        <f t="shared" si="44"/>
        <v>OK</v>
      </c>
    </row>
    <row r="2916" spans="1:4" x14ac:dyDescent="0.2">
      <c r="A2916" s="5">
        <v>2855</v>
      </c>
      <c r="B2916" s="138">
        <f>'Assets-Liab 5-6'!L34</f>
        <v>141503</v>
      </c>
      <c r="C2916" s="2" t="s">
        <v>594</v>
      </c>
      <c r="D2916" s="2" t="str">
        <f t="shared" si="44"/>
        <v>Error?</v>
      </c>
    </row>
    <row r="2917" spans="1:4" x14ac:dyDescent="0.2">
      <c r="A2917" s="5">
        <v>2856</v>
      </c>
      <c r="B2917" s="138">
        <f>'Assets-Liab 5-6'!L41</f>
        <v>1453193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436960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5000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2793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5000</v>
      </c>
      <c r="C2973" s="2" t="s">
        <v>594</v>
      </c>
      <c r="D2973" s="2" t="str">
        <f t="shared" si="45"/>
        <v>Error?</v>
      </c>
    </row>
    <row r="2974" spans="1:4" x14ac:dyDescent="0.2">
      <c r="A2974" s="5">
        <v>2913</v>
      </c>
      <c r="B2974" s="138">
        <f>'Expenditures 15-22'!K79</f>
        <v>436960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2793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115742</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115742</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213533</v>
      </c>
      <c r="D3055" s="2" t="str">
        <f t="shared" si="46"/>
        <v>Error?</v>
      </c>
    </row>
    <row r="3056" spans="1:4" x14ac:dyDescent="0.2">
      <c r="A3056" s="5">
        <v>2995</v>
      </c>
      <c r="B3056" s="138">
        <f>'Expenditures 15-22'!D10</f>
        <v>53316</v>
      </c>
      <c r="D3056" s="2" t="str">
        <f t="shared" si="46"/>
        <v>Error?</v>
      </c>
    </row>
    <row r="3057" spans="1:4" x14ac:dyDescent="0.2">
      <c r="A3057" s="5">
        <v>2996</v>
      </c>
      <c r="B3057" s="138">
        <f>'Expenditures 15-22'!E10</f>
        <v>48666</v>
      </c>
      <c r="D3057" s="2" t="str">
        <f t="shared" si="46"/>
        <v>Error?</v>
      </c>
    </row>
    <row r="3058" spans="1:4" x14ac:dyDescent="0.2">
      <c r="A3058" s="5">
        <v>2997</v>
      </c>
      <c r="B3058" s="138">
        <f>'Expenditures 15-22'!F10</f>
        <v>24646</v>
      </c>
      <c r="D3058" s="2" t="str">
        <f t="shared" si="46"/>
        <v>Error?</v>
      </c>
    </row>
    <row r="3059" spans="1:4" x14ac:dyDescent="0.2">
      <c r="A3059" s="5">
        <v>2998</v>
      </c>
      <c r="B3059" s="138">
        <f>'Expenditures 15-22'!G10</f>
        <v>2084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342245</v>
      </c>
      <c r="C3062" s="2" t="s">
        <v>594</v>
      </c>
      <c r="D3062" s="2" t="str">
        <f t="shared" si="46"/>
        <v>Error?</v>
      </c>
    </row>
    <row r="3063" spans="1:4" x14ac:dyDescent="0.2">
      <c r="A3063" s="10">
        <v>3002</v>
      </c>
      <c r="D3063" s="2" t="str">
        <f t="shared" si="46"/>
        <v>OK</v>
      </c>
    </row>
    <row r="3064" spans="1:4" x14ac:dyDescent="0.2">
      <c r="A3064" s="5">
        <v>3003</v>
      </c>
      <c r="B3064" s="138">
        <f>'Expenditures 15-22'!D219</f>
        <v>3014</v>
      </c>
      <c r="D3064" s="2" t="str">
        <f t="shared" si="46"/>
        <v>Error?</v>
      </c>
    </row>
    <row r="3065" spans="1:4" x14ac:dyDescent="0.2">
      <c r="A3065" s="5">
        <v>3004</v>
      </c>
      <c r="B3065" s="138">
        <f>'Expenditures 15-22'!K219</f>
        <v>3014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1311690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74237</v>
      </c>
      <c r="C3225" s="2" t="s">
        <v>594</v>
      </c>
      <c r="D3225" s="2" t="str">
        <f t="shared" si="49"/>
        <v>Error?</v>
      </c>
    </row>
    <row r="3226" spans="1:4" x14ac:dyDescent="0.2">
      <c r="A3226" s="5">
        <v>3165</v>
      </c>
      <c r="B3226" s="138">
        <f>'Acct Summary 7-8'!I8</f>
        <v>74237</v>
      </c>
      <c r="C3226" s="2" t="s">
        <v>594</v>
      </c>
      <c r="D3226" s="2" t="str">
        <f t="shared" si="49"/>
        <v>Error?</v>
      </c>
    </row>
    <row r="3227" spans="1:4" x14ac:dyDescent="0.2">
      <c r="A3227" s="5">
        <v>3166</v>
      </c>
      <c r="B3227" s="138">
        <f>'Acct Summary 7-8'!I20</f>
        <v>74237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53980</v>
      </c>
      <c r="C3231" s="2" t="s">
        <v>594</v>
      </c>
      <c r="D3231" s="2" t="str">
        <f t="shared" si="49"/>
        <v>Error?</v>
      </c>
    </row>
    <row r="3232" spans="1:4" x14ac:dyDescent="0.2">
      <c r="A3232" s="5">
        <v>3171</v>
      </c>
      <c r="B3232" s="138">
        <f>'Acct Summary 7-8'!C77</f>
        <v>-53980</v>
      </c>
      <c r="C3232" s="2" t="s">
        <v>594</v>
      </c>
      <c r="D3232" s="2" t="str">
        <f t="shared" si="49"/>
        <v>Error?</v>
      </c>
    </row>
    <row r="3233" spans="1:4" x14ac:dyDescent="0.2">
      <c r="A3233" s="5">
        <v>3172</v>
      </c>
      <c r="B3233" s="138">
        <f>'Acct Summary 7-8'!C78</f>
        <v>2574676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6320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6320</v>
      </c>
      <c r="C3238" s="2" t="s">
        <v>594</v>
      </c>
      <c r="D3238" s="2" t="str">
        <f t="shared" si="49"/>
        <v>Error?</v>
      </c>
    </row>
    <row r="3239" spans="1:4" x14ac:dyDescent="0.2">
      <c r="A3239" s="5">
        <v>3178</v>
      </c>
      <c r="B3239" s="138">
        <f>'Acct Summary 7-8'!D78</f>
        <v>261831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1300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1300</v>
      </c>
      <c r="C3255" s="2" t="s">
        <v>594</v>
      </c>
      <c r="D3255" s="2" t="str">
        <f t="shared" si="49"/>
        <v>Error?</v>
      </c>
    </row>
    <row r="3256" spans="1:4" x14ac:dyDescent="0.2">
      <c r="A3256" s="5">
        <v>3195</v>
      </c>
      <c r="B3256" s="138">
        <f>'Acct Summary 7-8'!F78</f>
        <v>481061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3467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53980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53980</v>
      </c>
      <c r="C3277" s="2" t="s">
        <v>594</v>
      </c>
      <c r="D3277" s="2" t="str">
        <f t="shared" si="50"/>
        <v>Error?</v>
      </c>
    </row>
    <row r="3278" spans="1:4" x14ac:dyDescent="0.2">
      <c r="A3278" s="5">
        <v>3217</v>
      </c>
      <c r="B3278" s="138">
        <f>'Acct Summary 7-8'!E78</f>
        <v>-3119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-352948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74237</v>
      </c>
      <c r="C3320" s="2" t="s">
        <v>594</v>
      </c>
      <c r="D3320" s="2" t="str">
        <f t="shared" si="50"/>
        <v>Error?</v>
      </c>
    </row>
    <row r="3321" spans="1:4" x14ac:dyDescent="0.2">
      <c r="A3321" s="5">
        <v>3260</v>
      </c>
      <c r="B3321" s="138">
        <f>'Acct Summary 7-8'!I79</f>
        <v>2015038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2089275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563672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65984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21456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35219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686331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88198</v>
      </c>
      <c r="D3387" s="2" t="str">
        <f t="shared" si="51"/>
        <v>Error?</v>
      </c>
    </row>
    <row r="3388" spans="1:4" x14ac:dyDescent="0.2">
      <c r="A3388" s="5">
        <v>3327</v>
      </c>
      <c r="B3388" s="138">
        <f>'Expenditures 15-22'!D217</f>
        <v>40786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88198</v>
      </c>
      <c r="C3390" s="2" t="s">
        <v>594</v>
      </c>
      <c r="D3390" s="2" t="str">
        <f t="shared" si="51"/>
        <v>Error?</v>
      </c>
    </row>
    <row r="3391" spans="1:4" x14ac:dyDescent="0.2">
      <c r="A3391" s="5">
        <v>3330</v>
      </c>
      <c r="B3391" s="138">
        <f>'Expenditures 15-22'!K217</f>
        <v>40786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5928081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1069673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13728</v>
      </c>
      <c r="D3417" s="2" t="str">
        <f t="shared" si="52"/>
        <v>Error?</v>
      </c>
    </row>
    <row r="3418" spans="1:4" x14ac:dyDescent="0.2">
      <c r="A3418" s="10">
        <v>3357</v>
      </c>
      <c r="D3418" s="2" t="str">
        <f t="shared" si="52"/>
        <v>OK</v>
      </c>
    </row>
    <row r="3419" spans="1:4" x14ac:dyDescent="0.2">
      <c r="A3419" s="5">
        <v>3358</v>
      </c>
      <c r="B3419" s="138">
        <f>'Assets-Liab 5-6'!F4</f>
        <v>1191095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744820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147217</v>
      </c>
      <c r="D3425" s="2" t="str">
        <f t="shared" si="52"/>
        <v>Error?</v>
      </c>
    </row>
    <row r="3426" spans="1:4" x14ac:dyDescent="0.2">
      <c r="A3426" s="10">
        <v>3365</v>
      </c>
      <c r="D3426" s="2" t="str">
        <f t="shared" si="52"/>
        <v>OK</v>
      </c>
    </row>
    <row r="3427" spans="1:4" x14ac:dyDescent="0.2">
      <c r="A3427" s="5">
        <v>3366</v>
      </c>
      <c r="B3427" s="138">
        <f>'Assets-Liab 5-6'!I4</f>
        <v>2069275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1453193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199387</v>
      </c>
      <c r="C3446" s="2" t="s">
        <v>594</v>
      </c>
      <c r="D3446" s="2" t="str">
        <f t="shared" si="52"/>
        <v>Error?</v>
      </c>
    </row>
    <row r="3447" spans="1:4" x14ac:dyDescent="0.2">
      <c r="A3447" s="5">
        <v>3386</v>
      </c>
      <c r="B3447" s="138">
        <f>'Tax Sched 23'!D16</f>
        <v>199387</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150003</v>
      </c>
      <c r="C3449" s="2" t="s">
        <v>594</v>
      </c>
      <c r="D3449" s="2" t="str">
        <f t="shared" si="52"/>
        <v>Error?</v>
      </c>
    </row>
    <row r="3450" spans="1:4" x14ac:dyDescent="0.2">
      <c r="A3450" s="5">
        <v>3389</v>
      </c>
      <c r="B3450" s="138">
        <f>'Tax Sched 23'!E16</f>
        <v>150003</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1141</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1141</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6320</v>
      </c>
      <c r="D3531" s="2" t="str">
        <f t="shared" si="54"/>
        <v>Error?</v>
      </c>
    </row>
    <row r="3532" spans="1:4" x14ac:dyDescent="0.2">
      <c r="A3532" s="5">
        <v>3471</v>
      </c>
      <c r="B3532" s="138">
        <f>'Acct Summary 7-8'!F36</f>
        <v>1300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1545348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1545348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1545348</v>
      </c>
      <c r="D3567" s="2" t="str">
        <f t="shared" si="54"/>
        <v>Error?</v>
      </c>
    </row>
    <row r="3568" spans="1:4" x14ac:dyDescent="0.2">
      <c r="A3568" s="5">
        <v>3507</v>
      </c>
      <c r="B3568" s="138">
        <f>'Assets-Liab 5-6'!K41</f>
        <v>1545348</v>
      </c>
      <c r="C3568" s="2" t="s">
        <v>594</v>
      </c>
      <c r="D3568" s="2" t="str">
        <f t="shared" si="54"/>
        <v>Error?</v>
      </c>
    </row>
    <row r="3569" spans="1:4" x14ac:dyDescent="0.2">
      <c r="A3569" s="5">
        <v>3508</v>
      </c>
      <c r="B3569" s="138">
        <f>'Acct Summary 7-8'!K4</f>
        <v>73271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73271</v>
      </c>
      <c r="C3571" s="2" t="s">
        <v>594</v>
      </c>
      <c r="D3571" s="2" t="str">
        <f t="shared" si="54"/>
        <v>Error?</v>
      </c>
    </row>
    <row r="3572" spans="1:4" x14ac:dyDescent="0.2">
      <c r="A3572" s="5">
        <v>3511</v>
      </c>
      <c r="B3572" s="138">
        <f>'Acct Summary 7-8'!K13</f>
        <v>1186161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1186161</v>
      </c>
      <c r="C3575" s="2" t="s">
        <v>594</v>
      </c>
      <c r="D3575" s="2" t="str">
        <f t="shared" si="54"/>
        <v>Error?</v>
      </c>
    </row>
    <row r="3576" spans="1:4" x14ac:dyDescent="0.2">
      <c r="A3576" s="5">
        <v>3515</v>
      </c>
      <c r="B3576" s="138">
        <f>'Acct Summary 7-8'!K20</f>
        <v>-1112890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-1112890</v>
      </c>
      <c r="C3588" s="2" t="s">
        <v>594</v>
      </c>
      <c r="D3588" s="2" t="str">
        <f t="shared" si="55"/>
        <v>Error?</v>
      </c>
    </row>
    <row r="3589" spans="1:4" x14ac:dyDescent="0.2">
      <c r="A3589" s="5">
        <v>3528</v>
      </c>
      <c r="B3589" s="138">
        <f>'Acct Summary 7-8'!K79</f>
        <v>2658238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1545348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1186161</v>
      </c>
      <c r="D3646" s="2" t="str">
        <f t="shared" si="55"/>
        <v>Error?</v>
      </c>
    </row>
    <row r="3647" spans="1:4" x14ac:dyDescent="0.2">
      <c r="A3647" s="5">
        <v>3586</v>
      </c>
      <c r="B3647" s="138">
        <f>'Expenditures 15-22'!G350</f>
        <v>1186161</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1186161</v>
      </c>
      <c r="C3649" s="2" t="s">
        <v>594</v>
      </c>
      <c r="D3649" s="2" t="str">
        <f t="shared" si="56"/>
        <v>Error?</v>
      </c>
    </row>
    <row r="3650" spans="1:4" x14ac:dyDescent="0.2">
      <c r="A3650" s="5">
        <v>3589</v>
      </c>
      <c r="B3650" s="138">
        <f>'Expenditures 15-22'!G367</f>
        <v>1186161</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1186161</v>
      </c>
      <c r="C3669" s="2" t="s">
        <v>594</v>
      </c>
      <c r="D3669" s="2" t="str">
        <f t="shared" si="56"/>
        <v>Error?</v>
      </c>
    </row>
    <row r="3670" spans="1:4" x14ac:dyDescent="0.2">
      <c r="A3670" s="5">
        <v>3609</v>
      </c>
      <c r="B3670" s="138">
        <f>'Expenditures 15-22'!K350</f>
        <v>1186161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1186161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1186161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-1112890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64610</v>
      </c>
      <c r="C3725" s="2" t="s">
        <v>594</v>
      </c>
      <c r="D3725" s="2" t="str">
        <f t="shared" si="57"/>
        <v>Error?</v>
      </c>
    </row>
    <row r="3726" spans="1:4" x14ac:dyDescent="0.2">
      <c r="A3726" s="5">
        <v>3665</v>
      </c>
      <c r="B3726" s="138">
        <f>'Tax Sched 23'!D13</f>
        <v>64610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66168</v>
      </c>
      <c r="C3728" s="2" t="s">
        <v>594</v>
      </c>
      <c r="D3728" s="2" t="str">
        <f t="shared" si="57"/>
        <v>Error?</v>
      </c>
    </row>
    <row r="3729" spans="1:4" x14ac:dyDescent="0.2">
      <c r="A3729" s="5">
        <v>3668</v>
      </c>
      <c r="B3729" s="138">
        <f>'Tax Sched 23'!E13</f>
        <v>66168</v>
      </c>
      <c r="D3729" s="2" t="str">
        <f t="shared" si="57"/>
        <v>Error?</v>
      </c>
    </row>
    <row r="3730" spans="1:4" x14ac:dyDescent="0.2">
      <c r="A3730" s="5">
        <v>3669</v>
      </c>
      <c r="B3730" s="138">
        <f>'ICR Computation 30'!E10</f>
        <v>313107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4729710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18724358</v>
      </c>
      <c r="C4122" s="2" t="s">
        <v>594</v>
      </c>
      <c r="D4122" s="2" t="str">
        <f t="shared" si="63"/>
        <v>Error?</v>
      </c>
    </row>
    <row r="4123" spans="1:4" x14ac:dyDescent="0.2">
      <c r="A4123" s="5">
        <v>4062</v>
      </c>
      <c r="B4123" s="138">
        <f>'Acct Summary 7-8'!D10</f>
        <v>1098275</v>
      </c>
      <c r="C4123" s="2" t="s">
        <v>594</v>
      </c>
      <c r="D4123" s="2" t="str">
        <f t="shared" si="63"/>
        <v>Error?</v>
      </c>
    </row>
    <row r="4124" spans="1:4" x14ac:dyDescent="0.2">
      <c r="A4124" s="5">
        <v>4063</v>
      </c>
      <c r="B4124" s="138">
        <f>'Acct Summary 7-8'!E10</f>
        <v>906019</v>
      </c>
      <c r="C4124" s="2" t="s">
        <v>594</v>
      </c>
      <c r="D4124" s="2" t="str">
        <f t="shared" si="63"/>
        <v>Error?</v>
      </c>
    </row>
    <row r="4125" spans="1:4" x14ac:dyDescent="0.2">
      <c r="A4125" s="5">
        <v>4064</v>
      </c>
      <c r="B4125" s="138">
        <f>'Acct Summary 7-8'!F10</f>
        <v>1470456</v>
      </c>
      <c r="C4125" s="2" t="s">
        <v>594</v>
      </c>
      <c r="D4125" s="2" t="str">
        <f t="shared" si="63"/>
        <v>Error?</v>
      </c>
    </row>
    <row r="4126" spans="1:4" x14ac:dyDescent="0.2">
      <c r="A4126" s="5">
        <v>4065</v>
      </c>
      <c r="B4126" s="138">
        <f>'Acct Summary 7-8'!G10</f>
        <v>486363</v>
      </c>
      <c r="C4126" s="2" t="s">
        <v>594</v>
      </c>
      <c r="D4126" s="2" t="str">
        <f t="shared" si="63"/>
        <v>Error?</v>
      </c>
    </row>
    <row r="4127" spans="1:4" x14ac:dyDescent="0.2">
      <c r="A4127" s="5">
        <v>4066</v>
      </c>
      <c r="B4127" s="138">
        <f>'Acct Summary 7-8'!H10</f>
        <v>1015608</v>
      </c>
      <c r="C4127" s="2" t="s">
        <v>594</v>
      </c>
      <c r="D4127" s="2" t="str">
        <f t="shared" si="63"/>
        <v>Error?</v>
      </c>
    </row>
    <row r="4128" spans="1:4" x14ac:dyDescent="0.2">
      <c r="A4128" s="5">
        <v>4067</v>
      </c>
      <c r="B4128" s="138">
        <f>'Acct Summary 7-8'!I10</f>
        <v>74237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73271</v>
      </c>
      <c r="C4130" s="2" t="s">
        <v>594</v>
      </c>
      <c r="D4130" s="2" t="str">
        <f t="shared" si="63"/>
        <v>Error?</v>
      </c>
    </row>
    <row r="4131" spans="1:4" x14ac:dyDescent="0.2">
      <c r="A4131" s="5">
        <v>4070</v>
      </c>
      <c r="B4131" s="138">
        <f>'Acct Summary 7-8'!C18</f>
        <v>4729710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16095702</v>
      </c>
      <c r="C4136" s="2" t="s">
        <v>594</v>
      </c>
      <c r="D4136" s="2" t="str">
        <f t="shared" si="63"/>
        <v>Error?</v>
      </c>
    </row>
    <row r="4137" spans="1:4" x14ac:dyDescent="0.2">
      <c r="A4137" s="5">
        <v>4076</v>
      </c>
      <c r="B4137" s="138">
        <f>'Acct Summary 7-8'!D19</f>
        <v>842764</v>
      </c>
      <c r="C4137" s="2" t="s">
        <v>594</v>
      </c>
      <c r="D4137" s="2" t="str">
        <f t="shared" si="63"/>
        <v>Error?</v>
      </c>
    </row>
    <row r="4138" spans="1:4" x14ac:dyDescent="0.2">
      <c r="A4138" s="5">
        <v>4077</v>
      </c>
      <c r="B4138" s="138">
        <f>'Acct Summary 7-8'!E19</f>
        <v>963118</v>
      </c>
      <c r="C4138" s="2" t="s">
        <v>594</v>
      </c>
      <c r="D4138" s="2" t="str">
        <f t="shared" si="63"/>
        <v>Error?</v>
      </c>
    </row>
    <row r="4139" spans="1:4" x14ac:dyDescent="0.2">
      <c r="A4139" s="5">
        <v>4078</v>
      </c>
      <c r="B4139" s="138">
        <f>'Acct Summary 7-8'!F19</f>
        <v>990695</v>
      </c>
      <c r="C4139" s="2" t="s">
        <v>594</v>
      </c>
      <c r="D4139" s="2" t="str">
        <f t="shared" si="63"/>
        <v>Error?</v>
      </c>
    </row>
    <row r="4140" spans="1:4" x14ac:dyDescent="0.2">
      <c r="A4140" s="5">
        <v>4079</v>
      </c>
      <c r="B4140" s="138">
        <f>'Acct Summary 7-8'!G19</f>
        <v>482896</v>
      </c>
      <c r="C4140" s="2" t="s">
        <v>594</v>
      </c>
      <c r="D4140" s="2" t="str">
        <f t="shared" si="63"/>
        <v>Error?</v>
      </c>
    </row>
    <row r="4141" spans="1:4" x14ac:dyDescent="0.2">
      <c r="A4141" s="5">
        <v>4080</v>
      </c>
      <c r="B4141" s="138">
        <f>'Acct Summary 7-8'!H19</f>
        <v>1368556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1186161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5006000</v>
      </c>
      <c r="C4171" s="2" t="s">
        <v>594</v>
      </c>
      <c r="D4171" s="2" t="str">
        <f t="shared" si="64"/>
        <v>Error?</v>
      </c>
    </row>
    <row r="4172" spans="1:4" x14ac:dyDescent="0.2">
      <c r="A4172" s="5">
        <v>4111</v>
      </c>
      <c r="B4172" s="138">
        <f>'Short-Term Long-Term Debt 24'!J49</f>
        <v>5006000</v>
      </c>
      <c r="C4172" s="2" t="s">
        <v>594</v>
      </c>
      <c r="D4172" s="2" t="str">
        <f t="shared" si="64"/>
        <v>Error?</v>
      </c>
    </row>
    <row r="4173" spans="1:4" x14ac:dyDescent="0.2">
      <c r="A4173" s="5">
        <v>4112</v>
      </c>
      <c r="B4173" s="138">
        <f>'Short-Term Long-Term Debt 24'!H49</f>
        <v>762536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2250</v>
      </c>
      <c r="C4265" s="2" t="s">
        <v>594</v>
      </c>
      <c r="D4265" s="2" t="str">
        <f t="shared" si="65"/>
        <v>Error?</v>
      </c>
      <c r="E4265" s="128"/>
    </row>
    <row r="4266" spans="1:5" x14ac:dyDescent="0.2">
      <c r="A4266" s="12">
        <v>4205</v>
      </c>
      <c r="B4266" s="138">
        <f>('FP Info 3'!F10)*100000</f>
        <v>700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3150</v>
      </c>
      <c r="C4268" s="2" t="s">
        <v>594</v>
      </c>
      <c r="D4268" s="2" t="str">
        <f t="shared" si="65"/>
        <v>Error?</v>
      </c>
    </row>
    <row r="4269" spans="1:5" x14ac:dyDescent="0.2">
      <c r="A4269" s="12">
        <v>4208</v>
      </c>
      <c r="B4269" s="138">
        <f>'FP Info 3'!J16</f>
        <v>10278124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135</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561</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561</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8750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15660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8750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61351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291</v>
      </c>
      <c r="D4417" s="2" t="str">
        <f t="shared" si="68"/>
        <v>Error?</v>
      </c>
    </row>
    <row r="4418" spans="1:4" x14ac:dyDescent="0.2">
      <c r="A4418" s="5">
        <v>4357</v>
      </c>
      <c r="B4418" s="138">
        <f>'Revenues 9-14'!C268</f>
        <v>98833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1323</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8856</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43746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132336475</v>
      </c>
      <c r="D4995" s="2" t="str">
        <f t="shared" si="77"/>
        <v>Error?</v>
      </c>
    </row>
    <row r="4996" spans="1:4" x14ac:dyDescent="0.2">
      <c r="A4996" s="12">
        <v>4935</v>
      </c>
      <c r="B4996" s="138">
        <f>'FP Info 3'!H31</f>
        <v>18262433.550000001</v>
      </c>
      <c r="D4996" s="2" t="str">
        <f t="shared" si="77"/>
        <v>Error?</v>
      </c>
    </row>
    <row r="4997" spans="1:4" x14ac:dyDescent="0.2">
      <c r="A4997" s="12">
        <v>4936</v>
      </c>
      <c r="B4997" s="138">
        <f>'FP Info 3'!H37</f>
        <v>5006000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64610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2907463</v>
      </c>
      <c r="D5061" s="2" t="str">
        <f t="shared" si="78"/>
        <v>Error?</v>
      </c>
    </row>
    <row r="5062" spans="1:4" x14ac:dyDescent="0.2">
      <c r="A5062" s="10">
        <v>5001</v>
      </c>
      <c r="D5062" s="2" t="str">
        <f t="shared" si="78"/>
        <v>OK</v>
      </c>
    </row>
    <row r="5063" spans="1:4" x14ac:dyDescent="0.2">
      <c r="A5063" s="5">
        <v>5002</v>
      </c>
      <c r="B5063" s="138">
        <f>'Revenues 9-14'!C7</f>
        <v>51688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3023761</v>
      </c>
      <c r="C5066" s="2" t="s">
        <v>594</v>
      </c>
      <c r="D5066" s="2" t="str">
        <f t="shared" si="78"/>
        <v>Error?</v>
      </c>
    </row>
    <row r="5067" spans="1:4" x14ac:dyDescent="0.2">
      <c r="A5067" s="5">
        <v>5006</v>
      </c>
      <c r="B5067" s="138">
        <f>'Revenues 9-14'!C14</f>
        <v>1575</v>
      </c>
      <c r="D5067" s="2" t="str">
        <f t="shared" si="78"/>
        <v>Error?</v>
      </c>
    </row>
    <row r="5068" spans="1:4" x14ac:dyDescent="0.2">
      <c r="A5068" s="5">
        <v>5007</v>
      </c>
      <c r="B5068" s="138">
        <f>'Revenues 9-14'!C15</f>
        <v>24840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26415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23009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23009</v>
      </c>
      <c r="C5090" s="2" t="s">
        <v>594</v>
      </c>
      <c r="D5090" s="2" t="str">
        <f t="shared" si="78"/>
        <v>Error?</v>
      </c>
    </row>
    <row r="5091" spans="1:4" x14ac:dyDescent="0.2">
      <c r="A5091" s="5">
        <v>5030</v>
      </c>
      <c r="B5091" s="138">
        <f>'Revenues 9-14'!C70</f>
        <v>347</v>
      </c>
      <c r="D5091" s="2" t="str">
        <f t="shared" si="78"/>
        <v>Error?</v>
      </c>
    </row>
    <row r="5092" spans="1:4" x14ac:dyDescent="0.2">
      <c r="A5092" s="5">
        <v>5031</v>
      </c>
      <c r="B5092" s="138">
        <f>'Revenues 9-14'!C71</f>
        <v>8246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1254</v>
      </c>
      <c r="D5094" s="2" t="str">
        <f t="shared" si="78"/>
        <v>Error?</v>
      </c>
    </row>
    <row r="5095" spans="1:4" x14ac:dyDescent="0.2">
      <c r="A5095" s="5">
        <v>5034</v>
      </c>
      <c r="B5095" s="138">
        <f>'Revenues 9-14'!C74</f>
        <v>21549</v>
      </c>
      <c r="D5095" s="2" t="str">
        <f t="shared" si="78"/>
        <v>Error?</v>
      </c>
    </row>
    <row r="5096" spans="1:4" x14ac:dyDescent="0.2">
      <c r="A5096" s="5">
        <v>5035</v>
      </c>
      <c r="B5096" s="138">
        <f>'Revenues 9-14'!C75</f>
        <v>33377</v>
      </c>
      <c r="C5096" s="2" t="s">
        <v>594</v>
      </c>
      <c r="D5096" s="2" t="str">
        <f t="shared" si="78"/>
        <v>Error?</v>
      </c>
    </row>
    <row r="5097" spans="1:4" x14ac:dyDescent="0.2">
      <c r="A5097" s="5">
        <v>5036</v>
      </c>
      <c r="B5097" s="138">
        <f>'Revenues 9-14'!C77</f>
        <v>25711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20923</v>
      </c>
      <c r="D5101" s="2" t="str">
        <f t="shared" si="78"/>
        <v>Error?</v>
      </c>
    </row>
    <row r="5102" spans="1:4" x14ac:dyDescent="0.2">
      <c r="A5102" s="5">
        <v>5041</v>
      </c>
      <c r="B5102" s="138">
        <f>'Revenues 9-14'!C82</f>
        <v>46789</v>
      </c>
      <c r="C5102" s="2" t="s">
        <v>594</v>
      </c>
      <c r="D5102" s="2" t="str">
        <f t="shared" si="78"/>
        <v>Error?</v>
      </c>
    </row>
    <row r="5103" spans="1:4" x14ac:dyDescent="0.2">
      <c r="A5103" s="5">
        <v>5042</v>
      </c>
      <c r="B5103" s="138">
        <f>'Revenues 9-14'!C84</f>
        <v>51810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1428</v>
      </c>
      <c r="D5111" s="2" t="str">
        <f t="shared" si="78"/>
        <v>Error?</v>
      </c>
    </row>
    <row r="5112" spans="1:4" x14ac:dyDescent="0.2">
      <c r="A5112" s="5">
        <v>5051</v>
      </c>
      <c r="B5112" s="138">
        <f>'Revenues 9-14'!C93</f>
        <v>53238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1358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213882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6876</v>
      </c>
      <c r="D5119" s="2" t="str">
        <f t="shared" ref="D5119:D5182" si="79">IF(ISBLANK(B5119),"OK",IF(A5119-B5119=0,"OK","Error?"))</f>
        <v>Error?</v>
      </c>
    </row>
    <row r="5120" spans="1:4" x14ac:dyDescent="0.2">
      <c r="A5120" s="5">
        <v>5059</v>
      </c>
      <c r="B5120" s="138">
        <f>'Revenues 9-14'!C108</f>
        <v>268510</v>
      </c>
      <c r="C5120" s="2" t="s">
        <v>594</v>
      </c>
      <c r="D5120" s="2" t="str">
        <f t="shared" si="79"/>
        <v>Error?</v>
      </c>
    </row>
    <row r="5121" spans="1:4" x14ac:dyDescent="0.2">
      <c r="A5121" s="5">
        <v>5060</v>
      </c>
      <c r="B5121" s="138">
        <f>'Revenues 9-14'!C109</f>
        <v>3475099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8015158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8015158</v>
      </c>
      <c r="C5132" s="2" t="s">
        <v>594</v>
      </c>
      <c r="D5132" s="2" t="str">
        <f t="shared" si="79"/>
        <v>Error?</v>
      </c>
    </row>
    <row r="5133" spans="1:4" x14ac:dyDescent="0.2">
      <c r="A5133" s="5">
        <v>5072</v>
      </c>
      <c r="B5133" s="138">
        <f>'Revenues 9-14'!C124</f>
        <v>87430</v>
      </c>
      <c r="D5133" s="2" t="str">
        <f t="shared" si="79"/>
        <v>Error?</v>
      </c>
    </row>
    <row r="5134" spans="1:4" x14ac:dyDescent="0.2">
      <c r="A5134" s="5">
        <v>5073</v>
      </c>
      <c r="B5134" s="138">
        <f>'Revenues 9-14'!C125</f>
        <v>115348</v>
      </c>
      <c r="D5134" s="2" t="str">
        <f t="shared" si="79"/>
        <v>Error?</v>
      </c>
    </row>
    <row r="5135" spans="1:4" x14ac:dyDescent="0.2">
      <c r="A5135" s="5">
        <v>5074</v>
      </c>
      <c r="B5135" s="138">
        <f>'Revenues 9-14'!C126</f>
        <v>46653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1006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250437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22641</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31034</v>
      </c>
      <c r="C5161" s="2" t="s">
        <v>594</v>
      </c>
      <c r="D5161" s="2" t="str">
        <f t="shared" si="79"/>
        <v>Error?</v>
      </c>
    </row>
    <row r="5162" spans="1:4" x14ac:dyDescent="0.2">
      <c r="A5162" s="10">
        <v>5101</v>
      </c>
      <c r="D5162" s="2" t="str">
        <f t="shared" si="79"/>
        <v>OK</v>
      </c>
    </row>
    <row r="5163" spans="1:4" x14ac:dyDescent="0.2">
      <c r="A5163" s="5">
        <v>5102</v>
      </c>
      <c r="B5163" s="138">
        <f>'Revenues 9-14'!C142</f>
        <v>159674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159674</v>
      </c>
      <c r="C5165" s="2" t="s">
        <v>594</v>
      </c>
      <c r="D5165" s="2" t="str">
        <f t="shared" si="79"/>
        <v>Error?</v>
      </c>
    </row>
    <row r="5166" spans="1:4" x14ac:dyDescent="0.2">
      <c r="A5166" s="10">
        <v>5105</v>
      </c>
      <c r="D5166" s="2" t="str">
        <f t="shared" si="79"/>
        <v>OK</v>
      </c>
    </row>
    <row r="5167" spans="1:4" x14ac:dyDescent="0.2">
      <c r="A5167" s="5">
        <v>5106</v>
      </c>
      <c r="B5167" s="138">
        <f>'Revenues 9-14'!C145</f>
        <v>11956</v>
      </c>
      <c r="D5167" s="2" t="str">
        <f t="shared" si="79"/>
        <v>Error?</v>
      </c>
    </row>
    <row r="5168" spans="1:4" x14ac:dyDescent="0.2">
      <c r="A5168" s="5">
        <v>5107</v>
      </c>
      <c r="B5168" s="138">
        <f>'Revenues 9-14'!C147</f>
        <v>30285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599809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1085413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9100571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527386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177077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704463</v>
      </c>
      <c r="C5246" s="2" t="s">
        <v>594</v>
      </c>
      <c r="D5246" s="2" t="str">
        <f t="shared" si="80"/>
        <v>Error?</v>
      </c>
    </row>
    <row r="5247" spans="1:4" x14ac:dyDescent="0.2">
      <c r="A5247" s="5">
        <v>5186</v>
      </c>
      <c r="B5247" s="138">
        <f>'Revenues 9-14'!C203</f>
        <v>450015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15660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450015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85396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85396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135</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2564</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1418978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1418978</v>
      </c>
      <c r="C5326" s="2" t="s">
        <v>594</v>
      </c>
      <c r="D5326" s="2" t="str">
        <f t="shared" si="82"/>
        <v>Error?</v>
      </c>
    </row>
    <row r="5327" spans="1:4" x14ac:dyDescent="0.2">
      <c r="A5327" s="5">
        <v>5266</v>
      </c>
      <c r="B5327" s="138">
        <f>'Revenues 9-14'!C275</f>
        <v>13994648</v>
      </c>
      <c r="C5327" s="2" t="s">
        <v>594</v>
      </c>
      <c r="D5327" s="2" t="str">
        <f t="shared" si="82"/>
        <v>Error?</v>
      </c>
    </row>
    <row r="5328" spans="1:4" x14ac:dyDescent="0.2">
      <c r="A5328" s="5">
        <v>5267</v>
      </c>
      <c r="B5328" s="138">
        <f>'Revenues 9-14'!D5</f>
        <v>904544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904544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5764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5764</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53615</v>
      </c>
      <c r="D5349" s="2" t="str">
        <f t="shared" si="82"/>
        <v>Error?</v>
      </c>
    </row>
    <row r="5350" spans="1:4" x14ac:dyDescent="0.2">
      <c r="A5350" s="5">
        <v>5289</v>
      </c>
      <c r="B5350" s="138">
        <f>'Revenues 9-14'!D96</f>
        <v>20648</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921</v>
      </c>
      <c r="D5354" s="2" t="str">
        <f t="shared" si="82"/>
        <v>Error?</v>
      </c>
    </row>
    <row r="5355" spans="1:4" x14ac:dyDescent="0.2">
      <c r="A5355" s="5">
        <v>5294</v>
      </c>
      <c r="B5355" s="138">
        <f>'Revenues 9-14'!D108</f>
        <v>75184</v>
      </c>
      <c r="C5355" s="2" t="s">
        <v>594</v>
      </c>
      <c r="D5355" s="2" t="str">
        <f t="shared" si="82"/>
        <v>Error?</v>
      </c>
    </row>
    <row r="5356" spans="1:4" x14ac:dyDescent="0.2">
      <c r="A5356" s="5">
        <v>5295</v>
      </c>
      <c r="B5356" s="138">
        <f>'Revenues 9-14'!D109</f>
        <v>985492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112783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112783</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112783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1098275</v>
      </c>
      <c r="C5508" s="2" t="s">
        <v>594</v>
      </c>
      <c r="D5508" s="2" t="str">
        <f t="shared" si="85"/>
        <v>Error?</v>
      </c>
    </row>
    <row r="5509" spans="1:4" x14ac:dyDescent="0.2">
      <c r="A5509" s="5">
        <v>5448</v>
      </c>
      <c r="B5509" s="138">
        <f>'Revenues 9-14'!E5</f>
        <v>905061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905061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958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958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906019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906019</v>
      </c>
      <c r="C5552" s="2" t="s">
        <v>594</v>
      </c>
      <c r="D5552" s="2" t="str">
        <f t="shared" si="85"/>
        <v>Error?</v>
      </c>
    </row>
    <row r="5553" spans="1:4" x14ac:dyDescent="0.2">
      <c r="A5553" s="5">
        <v>5492</v>
      </c>
      <c r="B5553" s="138">
        <f>'Revenues 9-14'!F5</f>
        <v>258441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258441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290208</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290208</v>
      </c>
      <c r="C5562" s="2" t="s">
        <v>594</v>
      </c>
      <c r="D5562" s="2" t="str">
        <f t="shared" si="85"/>
        <v>Error?</v>
      </c>
    </row>
    <row r="5563" spans="1:4" x14ac:dyDescent="0.2">
      <c r="A5563" s="5">
        <v>5502</v>
      </c>
      <c r="B5563" s="138">
        <f>'Revenues 9-14'!F42</f>
        <v>500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500</v>
      </c>
      <c r="C5579" s="2" t="s">
        <v>594</v>
      </c>
      <c r="D5579" s="2" t="str">
        <f t="shared" si="86"/>
        <v>Error?</v>
      </c>
    </row>
    <row r="5580" spans="1:4" x14ac:dyDescent="0.2">
      <c r="A5580" s="5">
        <v>5519</v>
      </c>
      <c r="B5580" s="138">
        <f>'Revenues 9-14'!F65</f>
        <v>2569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2569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610</v>
      </c>
      <c r="D5586" s="2" t="str">
        <f t="shared" si="86"/>
        <v>Error?</v>
      </c>
    </row>
    <row r="5587" spans="1:4" x14ac:dyDescent="0.2">
      <c r="A5587" s="5">
        <v>5526</v>
      </c>
      <c r="B5587" s="138">
        <f>'Revenues 9-14'!F108</f>
        <v>610</v>
      </c>
      <c r="C5587" s="2" t="s">
        <v>594</v>
      </c>
      <c r="D5587" s="2" t="str">
        <f t="shared" si="86"/>
        <v>Error?</v>
      </c>
    </row>
    <row r="5588" spans="1:4" x14ac:dyDescent="0.2">
      <c r="A5588" s="5">
        <v>5527</v>
      </c>
      <c r="B5588" s="138">
        <f>'Revenues 9-14'!F109</f>
        <v>552328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340700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340700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356604</v>
      </c>
      <c r="D5615" s="2" t="str">
        <f t="shared" si="86"/>
        <v>Error?</v>
      </c>
    </row>
    <row r="5616" spans="1:4" x14ac:dyDescent="0.2">
      <c r="A5616" s="10">
        <v>5555</v>
      </c>
      <c r="D5616" s="2" t="str">
        <f t="shared" si="86"/>
        <v>OK</v>
      </c>
    </row>
    <row r="5617" spans="1:4" x14ac:dyDescent="0.2">
      <c r="A5617" s="5">
        <v>5556</v>
      </c>
      <c r="B5617" s="138">
        <f>'Revenues 9-14'!F152</f>
        <v>105754</v>
      </c>
      <c r="D5617" s="2" t="str">
        <f t="shared" si="86"/>
        <v>Error?</v>
      </c>
    </row>
    <row r="5618" spans="1:4" x14ac:dyDescent="0.2">
      <c r="A5618" s="5">
        <v>5557</v>
      </c>
      <c r="B5618" s="138">
        <f>'Revenues 9-14'!F154</f>
        <v>462358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97464</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559822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900522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17606</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17606</v>
      </c>
      <c r="C5719" s="2" t="s">
        <v>594</v>
      </c>
      <c r="D5719" s="2" t="str">
        <f t="shared" si="88"/>
        <v>Error?</v>
      </c>
    </row>
    <row r="5720" spans="1:4" x14ac:dyDescent="0.2">
      <c r="A5720" s="5">
        <v>5659</v>
      </c>
      <c r="B5720" s="138">
        <f>'Revenues 9-14'!F275</f>
        <v>1470456</v>
      </c>
      <c r="C5720" s="2" t="s">
        <v>594</v>
      </c>
      <c r="D5720" s="2" t="str">
        <f t="shared" si="88"/>
        <v>Error?</v>
      </c>
    </row>
    <row r="5721" spans="1:4" x14ac:dyDescent="0.2">
      <c r="A5721" s="5">
        <v>5660</v>
      </c>
      <c r="B5721" s="138">
        <f>'Revenues 9-14'!G5</f>
        <v>224327</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199387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423714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20000</v>
      </c>
      <c r="C5730" s="2" t="s">
        <v>594</v>
      </c>
      <c r="D5730" s="2" t="str">
        <f t="shared" si="88"/>
        <v>Error?</v>
      </c>
    </row>
    <row r="5731" spans="1:4" x14ac:dyDescent="0.2">
      <c r="A5731" s="5">
        <v>5670</v>
      </c>
      <c r="B5731" s="138">
        <f>'Revenues 9-14'!G65</f>
        <v>4119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4119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215</v>
      </c>
      <c r="D5736" s="2" t="str">
        <f t="shared" si="88"/>
        <v>Error?</v>
      </c>
    </row>
    <row r="5737" spans="1:4" x14ac:dyDescent="0.2">
      <c r="A5737" s="5">
        <v>5676</v>
      </c>
      <c r="B5737" s="138">
        <f>'Revenues 9-14'!G108</f>
        <v>215</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28295</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28295</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28295</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8406</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8406</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10020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10020</v>
      </c>
      <c r="C5869" s="2" t="s">
        <v>594</v>
      </c>
      <c r="D5869" s="2" t="str">
        <f t="shared" si="90"/>
        <v>Error?</v>
      </c>
    </row>
    <row r="5870" spans="1:4" x14ac:dyDescent="0.2">
      <c r="A5870" s="5">
        <v>5809</v>
      </c>
      <c r="B5870" s="138">
        <f>'Revenues 9-14'!G275</f>
        <v>486363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1291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1291</v>
      </c>
      <c r="C5881" s="2" t="s">
        <v>594</v>
      </c>
      <c r="D5881" s="2" t="str">
        <f t="shared" si="90"/>
        <v>Error?</v>
      </c>
    </row>
    <row r="5882" spans="1:4" x14ac:dyDescent="0.2">
      <c r="A5882" s="5">
        <v>5821</v>
      </c>
      <c r="B5882" s="138">
        <f>'Revenues 9-14'!H96</f>
        <v>410000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1014317</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1015608</v>
      </c>
      <c r="C5915" s="2" t="s">
        <v>594</v>
      </c>
      <c r="D5915" s="2" t="str">
        <f t="shared" si="91"/>
        <v>Error?</v>
      </c>
    </row>
    <row r="5916" spans="1:4" x14ac:dyDescent="0.2">
      <c r="A5916" s="5">
        <v>5855</v>
      </c>
      <c r="B5916" s="138">
        <f>'Revenues 9-14'!I5</f>
        <v>64610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64610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9627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9627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74237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64610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64610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8661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8661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73271</v>
      </c>
      <c r="C6023" s="2" t="s">
        <v>594</v>
      </c>
      <c r="D6023" s="2" t="str">
        <f t="shared" si="93"/>
        <v>Error?</v>
      </c>
    </row>
    <row r="6024" spans="1:5" x14ac:dyDescent="0.2">
      <c r="A6024" s="5">
        <v>5963</v>
      </c>
      <c r="B6024" s="138">
        <f>'Revenues 9-14'!G109</f>
        <v>448048</v>
      </c>
      <c r="C6024" s="2" t="s">
        <v>594</v>
      </c>
      <c r="D6024" s="2" t="str">
        <f t="shared" si="93"/>
        <v>Error?</v>
      </c>
    </row>
    <row r="6025" spans="1:5" x14ac:dyDescent="0.2">
      <c r="A6025" s="5">
        <v>5964</v>
      </c>
      <c r="B6025" s="138">
        <f>'Revenues 9-14'!H109</f>
        <v>1015608</v>
      </c>
      <c r="C6025" s="2" t="s">
        <v>594</v>
      </c>
      <c r="D6025" s="2" t="str">
        <f t="shared" si="93"/>
        <v>Error?</v>
      </c>
    </row>
    <row r="6026" spans="1:5" x14ac:dyDescent="0.2">
      <c r="A6026" s="5">
        <v>5965</v>
      </c>
      <c r="B6026" s="138">
        <f>'Revenues 9-14'!I109</f>
        <v>74237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73271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1981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66365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1306.3900000000001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20000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141402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20000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141402</v>
      </c>
      <c r="D6215" s="2" t="str">
        <f t="shared" si="96"/>
        <v>Error?</v>
      </c>
      <c r="E6215" s="2" t="s">
        <v>199</v>
      </c>
    </row>
    <row r="6216" spans="1:5" x14ac:dyDescent="0.2">
      <c r="A6216">
        <v>6155</v>
      </c>
      <c r="B6216" s="138">
        <f>'Assets-Liab 5-6'!J41</f>
        <v>141402</v>
      </c>
      <c r="D6216" s="2" t="str">
        <f t="shared" si="96"/>
        <v>Error?</v>
      </c>
      <c r="E6216" s="2" t="s">
        <v>199</v>
      </c>
    </row>
    <row r="6217" spans="1:5" x14ac:dyDescent="0.2">
      <c r="A6217">
        <v>6156</v>
      </c>
      <c r="B6217" s="138">
        <f>'Assets-Liab 5-6'!J4</f>
        <v>141402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700126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700126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700126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896585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896585</v>
      </c>
      <c r="D6229" s="2" t="str">
        <f t="shared" si="96"/>
        <v>Error?</v>
      </c>
      <c r="E6229" s="2" t="s">
        <v>199</v>
      </c>
    </row>
    <row r="6230" spans="1:5" x14ac:dyDescent="0.2">
      <c r="A6230">
        <v>6169</v>
      </c>
      <c r="B6230" s="138">
        <f>'Acct Summary 7-8'!J20</f>
        <v>-196459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44000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9980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-196459</v>
      </c>
      <c r="D6263" s="2" t="str">
        <f t="shared" si="96"/>
        <v>Error?</v>
      </c>
      <c r="E6263" s="2" t="s">
        <v>199</v>
      </c>
    </row>
    <row r="6264" spans="1:5" x14ac:dyDescent="0.2">
      <c r="A6264">
        <v>6203</v>
      </c>
      <c r="B6264" s="138">
        <f>'Acct Summary 7-8'!J79</f>
        <v>337861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141402</v>
      </c>
      <c r="D6266" s="2" t="str">
        <f t="shared" si="96"/>
        <v>Error?</v>
      </c>
      <c r="E6266" s="2" t="s">
        <v>199</v>
      </c>
    </row>
    <row r="6267" spans="1:5" x14ac:dyDescent="0.2">
      <c r="A6267">
        <v>6206</v>
      </c>
      <c r="B6267" s="138">
        <f>'Acct Summary 7-8'!C82</f>
        <v>2574676</v>
      </c>
      <c r="D6267" s="2" t="str">
        <f t="shared" si="96"/>
        <v>Error?</v>
      </c>
      <c r="E6267" s="2" t="s">
        <v>199</v>
      </c>
    </row>
    <row r="6268" spans="1:5" x14ac:dyDescent="0.2">
      <c r="A6268">
        <v>6207</v>
      </c>
      <c r="B6268" s="138">
        <f>'Acct Summary 7-8'!D82</f>
        <v>261831</v>
      </c>
      <c r="D6268" s="2" t="str">
        <f t="shared" si="96"/>
        <v>Error?</v>
      </c>
      <c r="E6268" s="2" t="s">
        <v>199</v>
      </c>
    </row>
    <row r="6269" spans="1:5" x14ac:dyDescent="0.2">
      <c r="A6269">
        <v>6208</v>
      </c>
      <c r="B6269" s="138">
        <f>'Acct Summary 7-8'!E82</f>
        <v>-3119</v>
      </c>
      <c r="D6269" s="2" t="str">
        <f t="shared" si="96"/>
        <v>Error?</v>
      </c>
      <c r="E6269" s="2" t="s">
        <v>199</v>
      </c>
    </row>
    <row r="6270" spans="1:5" x14ac:dyDescent="0.2">
      <c r="A6270">
        <v>6209</v>
      </c>
      <c r="B6270" s="138">
        <f>'Acct Summary 7-8'!F82</f>
        <v>481061</v>
      </c>
      <c r="D6270" s="2" t="str">
        <f t="shared" si="96"/>
        <v>Error?</v>
      </c>
      <c r="E6270" s="2" t="s">
        <v>199</v>
      </c>
    </row>
    <row r="6271" spans="1:5" x14ac:dyDescent="0.2">
      <c r="A6271">
        <v>6210</v>
      </c>
      <c r="B6271" s="138">
        <f>'Acct Summary 7-8'!G82</f>
        <v>3467</v>
      </c>
      <c r="D6271" s="2" t="str">
        <f t="shared" ref="D6271:D6334" si="97">IF(ISBLANK(B6271),"OK",IF(A6271-B6271=0,"OK","Error?"))</f>
        <v>Error?</v>
      </c>
      <c r="E6271" s="2" t="s">
        <v>199</v>
      </c>
    </row>
    <row r="6272" spans="1:5" x14ac:dyDescent="0.2">
      <c r="A6272">
        <v>6211</v>
      </c>
      <c r="B6272" s="138">
        <f>'Acct Summary 7-8'!H82</f>
        <v>-352948</v>
      </c>
      <c r="D6272" s="2" t="str">
        <f t="shared" si="97"/>
        <v>Error?</v>
      </c>
      <c r="E6272" s="2" t="s">
        <v>199</v>
      </c>
    </row>
    <row r="6273" spans="1:5" x14ac:dyDescent="0.2">
      <c r="A6273">
        <v>6212</v>
      </c>
      <c r="B6273" s="138">
        <f>'Acct Summary 7-8'!I82</f>
        <v>74237</v>
      </c>
      <c r="D6273" s="2" t="str">
        <f t="shared" si="97"/>
        <v>Error?</v>
      </c>
      <c r="E6273" s="2" t="s">
        <v>199</v>
      </c>
    </row>
    <row r="6274" spans="1:5" x14ac:dyDescent="0.2">
      <c r="A6274">
        <v>6213</v>
      </c>
      <c r="B6274" s="138">
        <f>'Acct Summary 7-8'!J82</f>
        <v>-196459</v>
      </c>
      <c r="D6274" s="2" t="str">
        <f t="shared" si="97"/>
        <v>Error?</v>
      </c>
      <c r="E6274" s="2" t="s">
        <v>199</v>
      </c>
    </row>
    <row r="6275" spans="1:5" x14ac:dyDescent="0.2">
      <c r="A6275">
        <v>6214</v>
      </c>
      <c r="B6275" s="138">
        <f>'Acct Summary 7-8'!K82</f>
        <v>-1112890</v>
      </c>
      <c r="D6275" s="2" t="str">
        <f t="shared" si="97"/>
        <v>Error?</v>
      </c>
      <c r="E6275" s="2" t="s">
        <v>199</v>
      </c>
    </row>
    <row r="6276" spans="1:5" x14ac:dyDescent="0.2">
      <c r="A6276">
        <v>6215</v>
      </c>
      <c r="B6276" s="138">
        <f>'Acct Summary 7-8'!C83</f>
        <v>0.43431862688785799</v>
      </c>
      <c r="D6276" s="2" t="str">
        <f t="shared" si="97"/>
        <v>Error?</v>
      </c>
      <c r="E6276" s="2" t="s">
        <v>199</v>
      </c>
    </row>
    <row r="6277" spans="1:5" x14ac:dyDescent="0.2">
      <c r="A6277">
        <v>6216</v>
      </c>
      <c r="B6277" s="138">
        <f>'Acct Summary 7-8'!D83</f>
        <v>0.24477667474078527</v>
      </c>
      <c r="D6277" s="2" t="str">
        <f t="shared" si="97"/>
        <v>Error?</v>
      </c>
      <c r="E6277" s="2" t="s">
        <v>199</v>
      </c>
    </row>
    <row r="6278" spans="1:5" x14ac:dyDescent="0.2">
      <c r="A6278">
        <v>6217</v>
      </c>
      <c r="B6278" s="138">
        <f>'Acct Summary 7-8'!E83</f>
        <v>0.49728954081632654</v>
      </c>
      <c r="D6278" s="2" t="str">
        <f t="shared" si="97"/>
        <v>Error?</v>
      </c>
      <c r="E6278" s="2" t="s">
        <v>199</v>
      </c>
    </row>
    <row r="6279" spans="1:5" x14ac:dyDescent="0.2">
      <c r="A6279">
        <v>6218</v>
      </c>
      <c r="B6279" s="138">
        <f>'Acct Summary 7-8'!F83</f>
        <v>0.40388130249896104</v>
      </c>
      <c r="D6279" s="2" t="str">
        <f t="shared" si="97"/>
        <v>Error?</v>
      </c>
      <c r="E6279" s="2" t="s">
        <v>199</v>
      </c>
    </row>
    <row r="6280" spans="1:5" x14ac:dyDescent="0.2">
      <c r="A6280">
        <v>6219</v>
      </c>
      <c r="B6280" s="138">
        <f>'Acct Summary 7-8'!G83</f>
        <v>4.6548159286807552E-3</v>
      </c>
      <c r="D6280" s="2" t="str">
        <f t="shared" si="97"/>
        <v>Error?</v>
      </c>
      <c r="E6280" s="2" t="s">
        <v>199</v>
      </c>
    </row>
    <row r="6281" spans="1:5" x14ac:dyDescent="0.2">
      <c r="A6281">
        <v>6220</v>
      </c>
      <c r="B6281" s="138">
        <f>'Acct Summary 7-8'!H83</f>
        <v>-2.3974676837593485</v>
      </c>
      <c r="D6281" s="2" t="str">
        <f t="shared" si="97"/>
        <v>Error?</v>
      </c>
      <c r="E6281" s="2" t="s">
        <v>199</v>
      </c>
    </row>
    <row r="6282" spans="1:5" x14ac:dyDescent="0.2">
      <c r="A6282">
        <v>6221</v>
      </c>
      <c r="B6282" s="138">
        <f>'Acct Summary 7-8'!I83</f>
        <v>3.5532421533785642E-2</v>
      </c>
      <c r="D6282" s="2" t="str">
        <f t="shared" si="97"/>
        <v>Error?</v>
      </c>
      <c r="E6282" s="2" t="s">
        <v>199</v>
      </c>
    </row>
    <row r="6283" spans="1:5" x14ac:dyDescent="0.2">
      <c r="A6283">
        <v>6222</v>
      </c>
      <c r="B6283" s="138">
        <f>'Acct Summary 7-8'!J83</f>
        <v>-1.3893650726298072</v>
      </c>
      <c r="D6283" s="2" t="str">
        <f t="shared" si="97"/>
        <v>Error?</v>
      </c>
      <c r="E6283" s="2" t="s">
        <v>199</v>
      </c>
    </row>
    <row r="6284" spans="1:5" x14ac:dyDescent="0.2">
      <c r="A6284">
        <v>6223</v>
      </c>
      <c r="B6284" s="138">
        <f>'Acct Summary 7-8'!K83</f>
        <v>-0.72015494244662048</v>
      </c>
      <c r="D6284" s="2" t="str">
        <f t="shared" si="97"/>
        <v>Error?</v>
      </c>
      <c r="E6284" s="2" t="s">
        <v>199</v>
      </c>
    </row>
    <row r="6285" spans="1:5" x14ac:dyDescent="0.2">
      <c r="A6285">
        <v>6224</v>
      </c>
      <c r="B6285" s="138">
        <f>'Acct Summary 7-8'!E37</f>
        <v>44000</v>
      </c>
      <c r="D6285" s="2" t="str">
        <f t="shared" si="97"/>
        <v>Error?</v>
      </c>
      <c r="E6285" s="2" t="s">
        <v>199</v>
      </c>
    </row>
    <row r="6286" spans="1:5" x14ac:dyDescent="0.2">
      <c r="A6286">
        <v>6225</v>
      </c>
      <c r="B6286" s="138">
        <f>'Acct Summary 7-8'!E38</f>
        <v>9980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697662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697662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2464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2464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2648</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700126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8393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2218</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233560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288098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45839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272162</v>
      </c>
      <c r="D6880" s="2" t="str">
        <f t="shared" si="106"/>
        <v>Error?</v>
      </c>
    </row>
    <row r="6881" spans="1:4" x14ac:dyDescent="0.2">
      <c r="A6881">
        <v>6820</v>
      </c>
      <c r="B6881" s="138">
        <f>'Expenditures 15-22'!K22</f>
        <v>272162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8500</v>
      </c>
      <c r="D6983" s="2" t="str">
        <f t="shared" si="108"/>
        <v>Error?</v>
      </c>
    </row>
    <row r="6984" spans="1:4" x14ac:dyDescent="0.2">
      <c r="A6984">
        <v>6923</v>
      </c>
      <c r="B6984" s="138">
        <f>'Expenditures 15-22'!K86</f>
        <v>8500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10833</v>
      </c>
      <c r="D6987" s="2" t="str">
        <f t="shared" si="108"/>
        <v>Error?</v>
      </c>
    </row>
    <row r="6988" spans="1:4" x14ac:dyDescent="0.2">
      <c r="A6988">
        <v>6927</v>
      </c>
      <c r="B6988" s="138">
        <f>'Expenditures 15-22'!K88</f>
        <v>10833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19333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566</v>
      </c>
      <c r="D7016" s="2" t="str">
        <f t="shared" si="108"/>
        <v>Error?</v>
      </c>
    </row>
    <row r="7017" spans="1:4" x14ac:dyDescent="0.2">
      <c r="A7017">
        <v>6956</v>
      </c>
      <c r="B7017" s="138">
        <f>'Expenditures 15-22'!K111</f>
        <v>566</v>
      </c>
      <c r="D7017" s="2" t="str">
        <f t="shared" si="108"/>
        <v>Error?</v>
      </c>
    </row>
    <row r="7018" spans="1:4" x14ac:dyDescent="0.2">
      <c r="A7018">
        <v>6957</v>
      </c>
      <c r="B7018" s="138">
        <f>'Expenditures 15-22'!H112</f>
        <v>566</v>
      </c>
      <c r="D7018" s="2" t="str">
        <f t="shared" si="108"/>
        <v>Error?</v>
      </c>
    </row>
    <row r="7019" spans="1:4" x14ac:dyDescent="0.2">
      <c r="A7019">
        <v>6958</v>
      </c>
      <c r="B7019" s="138">
        <f>'Expenditures 15-22'!K112</f>
        <v>566</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696585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700126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14490</v>
      </c>
      <c r="D7073" s="2" t="str">
        <f t="shared" si="109"/>
        <v>Error?</v>
      </c>
    </row>
    <row r="7074" spans="1:4" x14ac:dyDescent="0.2">
      <c r="A7074">
        <v>7013</v>
      </c>
      <c r="B7074" s="138">
        <f>'Expenditures 15-22'!K216</f>
        <v>14490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589</v>
      </c>
      <c r="D7079" s="2" t="str">
        <f t="shared" si="109"/>
        <v>Error?</v>
      </c>
    </row>
    <row r="7080" spans="1:4" x14ac:dyDescent="0.2">
      <c r="A7080">
        <v>7019</v>
      </c>
      <c r="B7080" s="138">
        <f>'Expenditures 15-22'!K226</f>
        <v>589</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52045</v>
      </c>
      <c r="D7093" s="2" t="str">
        <f t="shared" si="109"/>
        <v>Error?</v>
      </c>
    </row>
    <row r="7094" spans="1:4" x14ac:dyDescent="0.2">
      <c r="A7094">
        <v>7033</v>
      </c>
      <c r="B7094" s="138">
        <f>'Expenditures 15-22'!K254</f>
        <v>52045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70054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70054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6409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6409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90216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90216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16283</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16283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410735</v>
      </c>
      <c r="D7172" s="2" t="str">
        <f t="shared" si="111"/>
        <v>Error?</v>
      </c>
    </row>
    <row r="7173" spans="1:4" x14ac:dyDescent="0.2">
      <c r="A7173">
        <v>7112</v>
      </c>
      <c r="B7173" s="138">
        <f>'Expenditures 15-22'!D325</f>
        <v>35343</v>
      </c>
      <c r="D7173" s="2" t="str">
        <f t="shared" si="111"/>
        <v>Error?</v>
      </c>
    </row>
    <row r="7174" spans="1:4" x14ac:dyDescent="0.2">
      <c r="A7174">
        <v>7113</v>
      </c>
      <c r="B7174" s="138">
        <f>'Expenditures 15-22'!E325</f>
        <v>7502</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14997</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468577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39683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39683</v>
      </c>
      <c r="D7198" s="2" t="str">
        <f t="shared" si="111"/>
        <v>Error?</v>
      </c>
    </row>
    <row r="7199" spans="1:4" x14ac:dyDescent="0.2">
      <c r="A7199">
        <v>7138</v>
      </c>
      <c r="B7199" s="138">
        <f>'Expenditures 15-22'!C330</f>
        <v>410735</v>
      </c>
      <c r="D7199" s="2" t="str">
        <f t="shared" si="111"/>
        <v>Error?</v>
      </c>
    </row>
    <row r="7200" spans="1:4" x14ac:dyDescent="0.2">
      <c r="A7200">
        <v>7139</v>
      </c>
      <c r="B7200" s="138">
        <f>'Expenditures 15-22'!D330</f>
        <v>35343</v>
      </c>
      <c r="D7200" s="2" t="str">
        <f t="shared" si="111"/>
        <v>Error?</v>
      </c>
    </row>
    <row r="7201" spans="1:4" x14ac:dyDescent="0.2">
      <c r="A7201">
        <v>7140</v>
      </c>
      <c r="B7201" s="138">
        <f>'Expenditures 15-22'!E330</f>
        <v>235510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14997</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696585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410735</v>
      </c>
      <c r="D7216" s="2" t="str">
        <f t="shared" si="111"/>
        <v>Error?</v>
      </c>
    </row>
    <row r="7217" spans="1:4" x14ac:dyDescent="0.2">
      <c r="A7217">
        <v>7156</v>
      </c>
      <c r="B7217" s="138">
        <f>'Expenditures 15-22'!D342</f>
        <v>35343</v>
      </c>
      <c r="D7217" s="2" t="str">
        <f t="shared" si="111"/>
        <v>Error?</v>
      </c>
    </row>
    <row r="7218" spans="1:4" x14ac:dyDescent="0.2">
      <c r="A7218">
        <v>7157</v>
      </c>
      <c r="B7218" s="138">
        <f>'Expenditures 15-22'!E342</f>
        <v>235510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14997</v>
      </c>
      <c r="D7220" s="2" t="str">
        <f t="shared" si="111"/>
        <v>Error?</v>
      </c>
    </row>
    <row r="7221" spans="1:4" x14ac:dyDescent="0.2">
      <c r="A7221">
        <v>7160</v>
      </c>
      <c r="B7221" s="138">
        <f>'Expenditures 15-22'!H342</f>
        <v>200000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896585</v>
      </c>
      <c r="D7224" s="2" t="str">
        <f t="shared" si="111"/>
        <v>Error?</v>
      </c>
    </row>
    <row r="7225" spans="1:4" x14ac:dyDescent="0.2">
      <c r="A7225">
        <v>7164</v>
      </c>
      <c r="B7225" s="138">
        <f>'Expenditures 15-22'!K343</f>
        <v>-196459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27989</v>
      </c>
      <c r="D7246" s="2" t="str">
        <f t="shared" si="112"/>
        <v>Error?</v>
      </c>
    </row>
    <row r="7247" spans="1:4" x14ac:dyDescent="0.2">
      <c r="A7247">
        <f t="shared" si="113"/>
        <v>7186</v>
      </c>
      <c r="B7247" s="138">
        <f>'Expenditures 15-22'!E7</f>
        <v>4423</v>
      </c>
      <c r="D7247" s="2" t="str">
        <f t="shared" si="112"/>
        <v>Error?</v>
      </c>
    </row>
    <row r="7248" spans="1:4" x14ac:dyDescent="0.2">
      <c r="A7248">
        <f t="shared" si="113"/>
        <v>7187</v>
      </c>
      <c r="B7248" s="138">
        <f>'Expenditures 15-22'!F7</f>
        <v>20676</v>
      </c>
      <c r="D7248" s="2" t="str">
        <f t="shared" si="112"/>
        <v>Error?</v>
      </c>
    </row>
    <row r="7249" spans="1:4" x14ac:dyDescent="0.2">
      <c r="A7249">
        <f t="shared" si="113"/>
        <v>7188</v>
      </c>
      <c r="B7249" s="138">
        <f>'Expenditures 15-22'!G7</f>
        <v>1450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41023</v>
      </c>
      <c r="D7263" s="2" t="str">
        <f t="shared" si="112"/>
        <v>Error?</v>
      </c>
    </row>
    <row r="7264" spans="1:4" x14ac:dyDescent="0.2">
      <c r="A7264">
        <f t="shared" si="113"/>
        <v>7203</v>
      </c>
      <c r="B7264" s="138">
        <f>'Expenditures 15-22'!D17</f>
        <v>3974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842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805542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5363</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5363</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500165</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1291</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2648</v>
      </c>
      <c r="D7712" s="2" t="str">
        <f t="shared" si="126"/>
        <v>Error?</v>
      </c>
      <c r="E7712" s="2" t="s">
        <v>881</v>
      </c>
    </row>
    <row r="7713" spans="1:6" x14ac:dyDescent="0.2">
      <c r="A7713">
        <v>7652</v>
      </c>
      <c r="B7713" s="138">
        <f>'Rest Tax Levies-Tort Im 25'!J8</f>
        <v>604317</v>
      </c>
      <c r="D7713" s="2" t="str">
        <f t="shared" si="126"/>
        <v>Error?</v>
      </c>
      <c r="E7713" s="2" t="s">
        <v>881</v>
      </c>
    </row>
    <row r="7714" spans="1:6" x14ac:dyDescent="0.2">
      <c r="A7714">
        <v>7653</v>
      </c>
      <c r="B7714" s="138">
        <f>'Rest Tax Levies-Tort Im 25'!K9</f>
        <v>30285</v>
      </c>
      <c r="D7714" s="2" t="str">
        <f t="shared" si="126"/>
        <v>Error?</v>
      </c>
      <c r="E7714" s="2" t="s">
        <v>881</v>
      </c>
    </row>
    <row r="7715" spans="1:6" x14ac:dyDescent="0.2">
      <c r="A7715">
        <v>7654</v>
      </c>
      <c r="B7715" s="138">
        <f>'Rest Tax Levies-Tort Im 25'!J10</f>
        <v>410000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1015608</v>
      </c>
      <c r="D7718" s="2" t="str">
        <f t="shared" si="126"/>
        <v>Error?</v>
      </c>
      <c r="E7718" s="2" t="s">
        <v>881</v>
      </c>
    </row>
    <row r="7719" spans="1:6" x14ac:dyDescent="0.2">
      <c r="A7719">
        <v>7658</v>
      </c>
      <c r="B7719" s="138">
        <f>'Rest Tax Levies-Tort Im 25'!K12</f>
        <v>32933</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32933</v>
      </c>
      <c r="D7721" s="2" t="str">
        <f t="shared" si="126"/>
        <v>Error?</v>
      </c>
      <c r="E7721" s="2" t="s">
        <v>881</v>
      </c>
    </row>
    <row r="7722" spans="1:6" x14ac:dyDescent="0.2">
      <c r="A7722">
        <v>7661</v>
      </c>
      <c r="B7722" s="138">
        <f>'Rest Tax Levies-Tort Im 25'!J15</f>
        <v>1368556</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1368556</v>
      </c>
      <c r="D7730" s="2" t="str">
        <f t="shared" si="126"/>
        <v>Error?</v>
      </c>
      <c r="E7730" s="2" t="s">
        <v>881</v>
      </c>
    </row>
    <row r="7731" spans="1:6" x14ac:dyDescent="0.2">
      <c r="A7731">
        <v>7670</v>
      </c>
      <c r="B7731" s="138">
        <f>'Revenues 9-14'!H103</f>
        <v>604317</v>
      </c>
      <c r="D7731" s="2" t="str">
        <f t="shared" si="126"/>
        <v>Error?</v>
      </c>
      <c r="E7731" s="2" t="s">
        <v>881</v>
      </c>
    </row>
    <row r="7732" spans="1:6" x14ac:dyDescent="0.2">
      <c r="A7732">
        <v>7671</v>
      </c>
      <c r="B7732" s="138">
        <f>'Rest Tax Levies-Tort Im 25'!J24</f>
        <v>147217</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147217</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200000</v>
      </c>
      <c r="D7787" s="2" t="str">
        <f t="shared" si="127"/>
        <v>Error?</v>
      </c>
      <c r="E7787" s="4" t="s">
        <v>1964</v>
      </c>
    </row>
    <row r="7788" spans="1:5" x14ac:dyDescent="0.2">
      <c r="A7788">
        <v>7727</v>
      </c>
      <c r="B7788" s="138">
        <f>'Expenditures 15-22'!K333</f>
        <v>200000</v>
      </c>
      <c r="D7788" s="2" t="str">
        <f t="shared" si="127"/>
        <v>Error?</v>
      </c>
      <c r="E7788" s="4" t="s">
        <v>1964</v>
      </c>
    </row>
    <row r="7789" spans="1:5" x14ac:dyDescent="0.2">
      <c r="A7789">
        <v>7728</v>
      </c>
      <c r="B7789" s="138">
        <f>'Expenditures 15-22'!H334</f>
        <v>200000</v>
      </c>
      <c r="D7789" s="2" t="str">
        <f t="shared" si="127"/>
        <v>Error?</v>
      </c>
      <c r="E7789" s="4" t="s">
        <v>1964</v>
      </c>
    </row>
    <row r="7790" spans="1:5" x14ac:dyDescent="0.2">
      <c r="A7790">
        <v>7729</v>
      </c>
      <c r="B7790" s="138">
        <f>'Expenditures 15-22'!K334</f>
        <v>200000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200000</v>
      </c>
      <c r="D7796" s="2" t="str">
        <f t="shared" si="127"/>
        <v>Error?</v>
      </c>
      <c r="E7796" s="4" t="s">
        <v>1964</v>
      </c>
    </row>
    <row r="7797" spans="1:5" x14ac:dyDescent="0.2">
      <c r="A7797">
        <v>7736</v>
      </c>
      <c r="B7797" s="138">
        <f>'Contracts Paid in CY 29'!D29</f>
        <v>339490</v>
      </c>
      <c r="D7797" s="2" t="str">
        <f t="shared" si="127"/>
        <v>Error?</v>
      </c>
      <c r="E7797" s="4" t="s">
        <v>2017</v>
      </c>
    </row>
    <row r="7798" spans="1:5" x14ac:dyDescent="0.2">
      <c r="A7798">
        <v>7737</v>
      </c>
      <c r="B7798" s="138">
        <f>'Contracts Paid in CY 29'!F29</f>
        <v>50000</v>
      </c>
      <c r="D7798" s="2" t="str">
        <f t="shared" si="127"/>
        <v>Error?</v>
      </c>
      <c r="E7798" s="4" t="s">
        <v>2017</v>
      </c>
    </row>
    <row r="7799" spans="1:5" x14ac:dyDescent="0.2">
      <c r="A7799">
        <v>7738</v>
      </c>
      <c r="B7799" s="138">
        <f>'Contracts Paid in CY 29'!G29</f>
        <v>289490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29" zoomScale="110" zoomScaleNormal="110" workbookViewId="0">
      <selection activeCell="B7" sqref="B7"/>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1253</v>
      </c>
      <c r="B2" s="2400"/>
      <c r="C2" s="2400"/>
      <c r="D2" s="2400"/>
      <c r="E2" s="2400"/>
      <c r="F2" s="2400"/>
      <c r="G2" s="2400"/>
      <c r="H2" s="2400"/>
      <c r="I2" s="2400"/>
      <c r="J2" s="2400"/>
      <c r="K2" s="2400"/>
      <c r="L2" s="2400"/>
    </row>
    <row r="3" spans="1:29" ht="13.5" customHeight="1" x14ac:dyDescent="0.2">
      <c r="A3" s="2431" t="s">
        <v>1252</v>
      </c>
      <c r="B3" s="2431"/>
      <c r="C3" s="2431"/>
      <c r="D3" s="2431"/>
      <c r="E3" s="2431"/>
      <c r="F3" s="2431"/>
      <c r="G3" s="2431"/>
      <c r="H3" s="2431"/>
      <c r="I3" s="2431"/>
      <c r="J3" s="2431"/>
      <c r="K3" s="2431"/>
      <c r="L3" s="2431"/>
    </row>
    <row r="4" spans="1:29" ht="13.5" customHeight="1" x14ac:dyDescent="0.2">
      <c r="A4" s="2400" t="s">
        <v>1799</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2" t="str">
        <f>COVER!A17</f>
        <v>Monmouth-Roseville CUSD 238</v>
      </c>
      <c r="B7" s="2423"/>
      <c r="C7" s="2423"/>
      <c r="D7" s="2424"/>
      <c r="E7" s="2425">
        <f>COVER!A13</f>
        <v>3309438026</v>
      </c>
      <c r="F7" s="2426"/>
      <c r="G7" s="2432">
        <f>COVER!T23</f>
        <v>60.008476000000002</v>
      </c>
      <c r="H7" s="2433"/>
      <c r="I7" s="2433"/>
      <c r="J7" s="2433"/>
      <c r="K7" s="2433"/>
      <c r="L7" s="2434"/>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5"/>
      <c r="B9" s="2436"/>
      <c r="C9" s="2436"/>
      <c r="D9" s="2436"/>
      <c r="E9" s="2436"/>
      <c r="F9" s="2437"/>
      <c r="G9" s="2406" t="str">
        <f>COVER!T13</f>
        <v>Cavanaugh, Davies, Blackman &amp; Cramblet</v>
      </c>
      <c r="H9" s="2438"/>
      <c r="I9" s="2438"/>
      <c r="J9" s="2438"/>
      <c r="K9" s="2438"/>
      <c r="L9" s="2439"/>
    </row>
    <row r="10" spans="1:29" ht="13.5" customHeight="1" x14ac:dyDescent="0.2">
      <c r="A10" s="2412" t="str">
        <f>COVER!A38</f>
        <v>Mr. Edward Fletcher</v>
      </c>
      <c r="B10" s="2413"/>
      <c r="C10" s="2413"/>
      <c r="D10" s="2413"/>
      <c r="E10" s="2413"/>
      <c r="F10" s="2414"/>
      <c r="G10" s="2406" t="str">
        <f>COVER!T17</f>
        <v>1021 North Main St., PO Box 318</v>
      </c>
      <c r="H10" s="2407"/>
      <c r="I10" s="2407"/>
      <c r="J10" s="2407"/>
      <c r="K10" s="2407"/>
      <c r="L10" s="2408"/>
    </row>
    <row r="11" spans="1:29" ht="13.5" customHeight="1" x14ac:dyDescent="0.2">
      <c r="A11" s="1185" t="s">
        <v>1599</v>
      </c>
      <c r="B11" s="1186"/>
      <c r="C11" s="1187"/>
      <c r="D11" s="1192"/>
      <c r="E11" s="1187"/>
      <c r="F11" s="1191"/>
      <c r="G11" s="2406" t="str">
        <f>COVER!T19</f>
        <v>Monmouth</v>
      </c>
      <c r="H11" s="2407"/>
      <c r="I11" s="2407"/>
      <c r="J11" s="2407"/>
      <c r="K11" s="2407"/>
      <c r="L11" s="2408"/>
    </row>
    <row r="12" spans="1:29" ht="13.5" customHeight="1" x14ac:dyDescent="0.2">
      <c r="A12" s="2415" t="s">
        <v>1598</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1600</v>
      </c>
      <c r="H13" s="2402"/>
      <c r="I13" s="2418" t="str">
        <f>COVER!T25</f>
        <v>cdbccpas@monmouthcpa.com</v>
      </c>
      <c r="J13" s="2419"/>
      <c r="K13" s="2419"/>
      <c r="L13" s="2420"/>
    </row>
    <row r="14" spans="1:29" ht="13.5" customHeight="1" x14ac:dyDescent="0.2">
      <c r="A14" s="2406" t="str">
        <f>COVER!A19</f>
        <v>105 North E St.</v>
      </c>
      <c r="B14" s="2407"/>
      <c r="C14" s="2407"/>
      <c r="D14" s="2407"/>
      <c r="E14" s="2407"/>
      <c r="F14" s="2408"/>
      <c r="G14" s="1196" t="s">
        <v>1247</v>
      </c>
      <c r="H14" s="1194"/>
      <c r="I14" s="1194"/>
      <c r="J14" s="1194"/>
      <c r="K14" s="1194"/>
      <c r="L14" s="1195"/>
    </row>
    <row r="15" spans="1:29" ht="13.5" customHeight="1" x14ac:dyDescent="0.2">
      <c r="A15" s="2406" t="str">
        <f>COVER!A21</f>
        <v>Monmouth</v>
      </c>
      <c r="B15" s="2407"/>
      <c r="C15" s="2407"/>
      <c r="D15" s="2407"/>
      <c r="E15" s="2407"/>
      <c r="F15" s="2408"/>
      <c r="G15" s="2403" t="str">
        <f>COVER!T15</f>
        <v>Rod Davies</v>
      </c>
      <c r="H15" s="2404"/>
      <c r="I15" s="2404"/>
      <c r="J15" s="2404"/>
      <c r="K15" s="2404"/>
      <c r="L15" s="2405"/>
    </row>
    <row r="16" spans="1:29" ht="12.2" customHeight="1" x14ac:dyDescent="0.2">
      <c r="A16" s="2428">
        <f>COVER!A25</f>
        <v>61462</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1246</v>
      </c>
      <c r="H17" s="1194"/>
      <c r="I17" s="1194"/>
      <c r="J17" s="1194"/>
      <c r="K17" s="1198" t="s">
        <v>1245</v>
      </c>
      <c r="L17" s="1191"/>
      <c r="M17" s="1184"/>
    </row>
    <row r="18" spans="1:13" ht="12.2" customHeight="1" x14ac:dyDescent="0.2">
      <c r="A18" s="2412"/>
      <c r="B18" s="2413"/>
      <c r="C18" s="2413"/>
      <c r="D18" s="2413"/>
      <c r="E18" s="2413"/>
      <c r="F18" s="2414"/>
      <c r="G18" s="2422" t="str">
        <f>COVER!T21</f>
        <v>309-734-2330</v>
      </c>
      <c r="H18" s="2423"/>
      <c r="I18" s="2423"/>
      <c r="J18" s="2423"/>
      <c r="K18" s="2422" t="str">
        <f>COVER!X21</f>
        <v>309-734-2349</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7" sqref="B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Monmouth-Roseville CUSD 238</v>
      </c>
      <c r="B1" s="2421"/>
      <c r="C1" s="2421"/>
      <c r="D1" s="2421"/>
    </row>
    <row r="2" spans="1:11" s="1215" customFormat="1" ht="12.75" x14ac:dyDescent="0.2">
      <c r="A2" s="2445">
        <f>'Single Audit Cover'!E7</f>
        <v>3309438026</v>
      </c>
      <c r="B2" s="2446"/>
      <c r="C2" s="2446"/>
      <c r="D2" s="2446"/>
    </row>
    <row r="3" spans="1:11" s="1215" customFormat="1" ht="12.75" x14ac:dyDescent="0.2">
      <c r="A3" s="2444" t="s">
        <v>1593</v>
      </c>
      <c r="B3" s="2421"/>
      <c r="C3" s="2421"/>
      <c r="D3" s="2421"/>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Monmouth-Roseville CUSD 238</v>
      </c>
      <c r="B1" s="2448"/>
      <c r="C1" s="2448"/>
      <c r="D1" s="2448"/>
      <c r="E1" s="2448"/>
    </row>
    <row r="2" spans="1:5" x14ac:dyDescent="0.2">
      <c r="A2" s="2449">
        <f>'Single Audit Cover'!E7</f>
        <v>3309438026</v>
      </c>
      <c r="B2" s="2449"/>
      <c r="C2" s="2449"/>
      <c r="D2" s="2449"/>
      <c r="E2" s="2449"/>
    </row>
    <row r="3" spans="1:5" ht="4.5" customHeight="1" x14ac:dyDescent="0.2"/>
    <row r="4" spans="1:5" x14ac:dyDescent="0.2">
      <c r="A4" s="2448" t="s">
        <v>1307</v>
      </c>
      <c r="B4" s="2448"/>
      <c r="C4" s="2448"/>
      <c r="D4" s="2448"/>
      <c r="E4" s="2448"/>
    </row>
    <row r="5" spans="1:5" x14ac:dyDescent="0.2">
      <c r="A5" s="2451" t="str">
        <f>'Single Audit Cover'!A4</f>
        <v>Year Ending June 30, 2018</v>
      </c>
      <c r="B5" s="2451"/>
      <c r="C5" s="2451"/>
      <c r="D5" s="2451"/>
      <c r="E5" s="2451"/>
    </row>
    <row r="6" spans="1:5" x14ac:dyDescent="0.2">
      <c r="A6" s="2448" t="s">
        <v>1306</v>
      </c>
      <c r="B6" s="2448"/>
      <c r="C6" s="2448"/>
      <c r="D6" s="2448"/>
      <c r="E6" s="2448"/>
    </row>
    <row r="8" spans="1:5" x14ac:dyDescent="0.2">
      <c r="A8" s="1260" t="s">
        <v>1305</v>
      </c>
    </row>
    <row r="10" spans="1:5" x14ac:dyDescent="0.2">
      <c r="A10" s="1261" t="s">
        <v>1304</v>
      </c>
      <c r="B10" s="1262" t="s">
        <v>1303</v>
      </c>
      <c r="C10" s="1262"/>
      <c r="D10" s="1263">
        <f>SUM('Acct Summary 7-8'!C7:K7)</f>
        <v>1446604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66365</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-8856</v>
      </c>
    </row>
    <row r="19" spans="1:4" ht="13.5" thickBot="1" x14ac:dyDescent="0.25">
      <c r="A19" s="1265" t="s">
        <v>1297</v>
      </c>
      <c r="D19" s="1266">
        <f>SUM(D10:D17)</f>
        <v>1504113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0" t="s">
        <v>2201</v>
      </c>
      <c r="B24" s="2450"/>
      <c r="D24" s="1268">
        <v>-8750</v>
      </c>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1295</v>
      </c>
      <c r="D32" s="1263">
        <f>SUM(D19:D30)</f>
        <v>1495363</v>
      </c>
    </row>
    <row r="33" spans="1:4" x14ac:dyDescent="0.2">
      <c r="D33" s="1269"/>
    </row>
    <row r="34" spans="1:4" x14ac:dyDescent="0.2">
      <c r="A34" s="317" t="s">
        <v>1294</v>
      </c>
    </row>
    <row r="35" spans="1:4" x14ac:dyDescent="0.2">
      <c r="A35" s="317" t="s">
        <v>1293</v>
      </c>
      <c r="B35" s="1258" t="s">
        <v>1292</v>
      </c>
      <c r="D35" s="1270">
        <v>1501426</v>
      </c>
    </row>
    <row r="37" spans="1:4" x14ac:dyDescent="0.2">
      <c r="A37" s="1260" t="s">
        <v>1291</v>
      </c>
    </row>
    <row r="39" spans="1:4" ht="13.35" customHeight="1" x14ac:dyDescent="0.2">
      <c r="A39" s="1267" t="s">
        <v>1290</v>
      </c>
    </row>
    <row r="40" spans="1:4" x14ac:dyDescent="0.2">
      <c r="A40" s="2447" t="s">
        <v>2202</v>
      </c>
      <c r="B40" s="2447"/>
      <c r="D40" s="1268">
        <v>-6063</v>
      </c>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1289</v>
      </c>
      <c r="C47" s="1272"/>
      <c r="D47" s="1273">
        <f>SUM(D35:D45)</f>
        <v>1495363</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8" zoomScale="120" zoomScaleNormal="120" workbookViewId="0">
      <selection activeCell="B7" sqref="B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Monmouth-Roseville CUSD 238</v>
      </c>
      <c r="B1" s="2461"/>
      <c r="C1" s="2461"/>
      <c r="D1" s="2461"/>
      <c r="E1" s="2461"/>
      <c r="F1" s="2461"/>
    </row>
    <row r="2" spans="1:7" ht="13.5" customHeight="1" x14ac:dyDescent="0.2">
      <c r="A2" s="2462">
        <f>'Single Audit Cover'!E7</f>
        <v>3309438026</v>
      </c>
      <c r="B2" s="2462"/>
      <c r="C2" s="2462"/>
      <c r="D2" s="2462"/>
      <c r="E2" s="2462"/>
      <c r="F2" s="2462"/>
      <c r="G2" s="1275"/>
    </row>
    <row r="3" spans="1:7" ht="15.75" customHeight="1" x14ac:dyDescent="0.2">
      <c r="A3" s="2463" t="s">
        <v>1333</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1831</v>
      </c>
      <c r="C6" s="317"/>
      <c r="D6" s="317"/>
    </row>
    <row r="7" spans="1:7" ht="60.95" customHeight="1" x14ac:dyDescent="0.2">
      <c r="A7" s="2460" t="s">
        <v>2188</v>
      </c>
      <c r="B7" s="2460"/>
      <c r="C7" s="2460"/>
      <c r="D7" s="2460"/>
      <c r="E7" s="2460"/>
      <c r="F7" s="246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60" t="s">
        <v>2189</v>
      </c>
      <c r="B13" s="2460"/>
      <c r="C13" s="2460"/>
      <c r="D13" s="2460"/>
      <c r="E13" s="2460"/>
      <c r="F13" s="2460"/>
    </row>
    <row r="14" spans="1:7" ht="9.75" customHeight="1" x14ac:dyDescent="0.2">
      <c r="C14" s="1260"/>
      <c r="D14" s="1260"/>
    </row>
    <row r="15" spans="1:7" ht="13.5" customHeight="1" x14ac:dyDescent="0.2">
      <c r="C15" s="1868" t="s">
        <v>1332</v>
      </c>
      <c r="D15" s="2458" t="s">
        <v>1331</v>
      </c>
      <c r="E15" s="2458"/>
      <c r="F15" s="2458"/>
    </row>
    <row r="16" spans="1:7" ht="13.5" customHeight="1" x14ac:dyDescent="0.2">
      <c r="A16" s="1282"/>
      <c r="B16" s="1276" t="s">
        <v>1330</v>
      </c>
      <c r="C16" s="1868" t="s">
        <v>1329</v>
      </c>
      <c r="D16" s="2459" t="s">
        <v>1670</v>
      </c>
      <c r="E16" s="2459"/>
      <c r="F16" s="2459"/>
    </row>
    <row r="17" spans="1:6" ht="20.45" customHeight="1" x14ac:dyDescent="0.2">
      <c r="A17" s="1283"/>
      <c r="B17" s="1284" t="s">
        <v>2190</v>
      </c>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54" t="s">
        <v>2191</v>
      </c>
      <c r="B32" s="2454"/>
      <c r="C32" s="2454"/>
      <c r="D32" s="2454"/>
      <c r="E32" s="2454"/>
      <c r="F32" s="2454"/>
    </row>
    <row r="33" spans="1:6" ht="13.5" customHeight="1" x14ac:dyDescent="0.2">
      <c r="A33" s="328" t="s">
        <v>1509</v>
      </c>
      <c r="B33" s="328"/>
      <c r="C33" s="1288">
        <v>48920</v>
      </c>
      <c r="D33" s="1925"/>
      <c r="E33" s="1286"/>
    </row>
    <row r="34" spans="1:6" ht="13.5" customHeight="1" x14ac:dyDescent="0.2">
      <c r="A34" s="328" t="s">
        <v>1946</v>
      </c>
      <c r="B34" s="328"/>
      <c r="C34" s="1289">
        <v>17445</v>
      </c>
      <c r="D34" s="1925" t="s">
        <v>1671</v>
      </c>
      <c r="E34" s="2455">
        <f>+C33+C34</f>
        <v>66365</v>
      </c>
      <c r="F34" s="2456"/>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t="s">
        <v>401</v>
      </c>
      <c r="D38" s="1925"/>
      <c r="E38" s="1286"/>
    </row>
    <row r="39" spans="1:6" ht="14.25" customHeight="1" x14ac:dyDescent="0.2">
      <c r="A39" s="328"/>
      <c r="B39" s="328" t="s">
        <v>1511</v>
      </c>
      <c r="C39" s="1292" t="s">
        <v>401</v>
      </c>
      <c r="D39" s="1925"/>
      <c r="E39" s="1286"/>
    </row>
    <row r="40" spans="1:6" ht="14.25" customHeight="1" x14ac:dyDescent="0.2">
      <c r="A40" s="328"/>
      <c r="B40" s="328" t="s">
        <v>1512</v>
      </c>
      <c r="C40" s="1292" t="s">
        <v>401</v>
      </c>
      <c r="D40" s="1925"/>
      <c r="E40" s="1286"/>
    </row>
    <row r="41" spans="1:6" ht="14.25" customHeight="1" x14ac:dyDescent="0.2">
      <c r="A41" s="328"/>
      <c r="B41" s="328" t="s">
        <v>1513</v>
      </c>
      <c r="C41" s="1292" t="s">
        <v>401</v>
      </c>
      <c r="D41" s="1925"/>
      <c r="E41" s="1286"/>
    </row>
    <row r="42" spans="1:6" ht="14.25" customHeight="1" x14ac:dyDescent="0.2">
      <c r="A42" s="328" t="s">
        <v>1514</v>
      </c>
      <c r="B42" s="328"/>
      <c r="C42" s="1923" t="s">
        <v>401</v>
      </c>
      <c r="D42" s="1925"/>
      <c r="E42" s="1286"/>
    </row>
    <row r="43" spans="1:6" ht="14.25" customHeight="1" x14ac:dyDescent="0.2">
      <c r="A43" s="328" t="s">
        <v>1515</v>
      </c>
      <c r="B43" s="328"/>
      <c r="C43" s="1293" t="s">
        <v>401</v>
      </c>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1672</v>
      </c>
      <c r="C49" s="2457"/>
      <c r="D49" s="2457"/>
      <c r="E49" s="1399"/>
    </row>
    <row r="50" spans="1:5" s="1300" customFormat="1" ht="3.75" customHeight="1" x14ac:dyDescent="0.2">
      <c r="A50" s="1299"/>
      <c r="B50" s="1867"/>
      <c r="C50" s="1867"/>
      <c r="D50" s="1867"/>
      <c r="E50" s="1399"/>
    </row>
    <row r="51" spans="1:5" s="1300" customFormat="1" ht="20.25" customHeight="1" x14ac:dyDescent="0.2">
      <c r="A51" s="1301">
        <v>6</v>
      </c>
      <c r="B51" s="2452" t="s">
        <v>1632</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4"/>
  <sheetViews>
    <sheetView showGridLines="0" topLeftCell="A7"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Monmouth-Roseville CUSD 238</v>
      </c>
      <c r="C1" s="2465"/>
      <c r="D1" s="2465"/>
      <c r="E1" s="2465"/>
      <c r="F1" s="2465"/>
      <c r="G1" s="2465"/>
      <c r="H1" s="2465"/>
      <c r="I1" s="2465"/>
      <c r="J1" s="2465"/>
      <c r="K1" s="2465"/>
      <c r="L1" s="2465"/>
      <c r="M1" s="2465"/>
    </row>
    <row r="2" spans="2:14" ht="15" x14ac:dyDescent="0.2">
      <c r="B2" s="2462">
        <f>'Single Audit Cover'!E7</f>
        <v>3309438026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2119</v>
      </c>
      <c r="C11" s="1338"/>
      <c r="D11" s="1339"/>
      <c r="E11" s="1340"/>
      <c r="F11" s="1340"/>
      <c r="G11" s="1340"/>
      <c r="H11" s="1340"/>
      <c r="I11" s="1340"/>
      <c r="J11" s="1340"/>
      <c r="K11" s="1340"/>
      <c r="L11" s="1340">
        <f>+G11+I11+K11</f>
        <v>0</v>
      </c>
      <c r="M11" s="1340"/>
    </row>
    <row r="12" spans="2:14" ht="20.100000000000001" customHeight="1" x14ac:dyDescent="0.2">
      <c r="B12" s="1337" t="s">
        <v>2120</v>
      </c>
      <c r="C12" s="1341">
        <v>84.358000000000004</v>
      </c>
      <c r="D12" s="1342" t="s">
        <v>2121</v>
      </c>
      <c r="E12" s="1343"/>
      <c r="F12" s="1343">
        <v>561</v>
      </c>
      <c r="G12" s="1343">
        <v>561</v>
      </c>
      <c r="H12" s="1343"/>
      <c r="I12" s="1343"/>
      <c r="J12" s="1343"/>
      <c r="K12" s="1343"/>
      <c r="L12" s="1340">
        <f t="shared" ref="L12:L29" si="0">+G12+I12+K12</f>
        <v>561</v>
      </c>
      <c r="M12" s="1343">
        <v>561</v>
      </c>
    </row>
    <row r="13" spans="2:14" ht="20.100000000000001" customHeight="1" x14ac:dyDescent="0.2">
      <c r="B13" s="1337" t="s">
        <v>974</v>
      </c>
      <c r="C13" s="1341">
        <v>84.01</v>
      </c>
      <c r="D13" s="1342" t="s">
        <v>2122</v>
      </c>
      <c r="E13" s="1343"/>
      <c r="F13" s="1343">
        <v>270980</v>
      </c>
      <c r="G13" s="1343"/>
      <c r="H13" s="1343"/>
      <c r="I13" s="1343">
        <v>375732</v>
      </c>
      <c r="J13" s="1343"/>
      <c r="K13" s="1343">
        <v>90000</v>
      </c>
      <c r="L13" s="1340">
        <f t="shared" si="0"/>
        <v>465732</v>
      </c>
      <c r="M13" s="1343">
        <v>587640</v>
      </c>
    </row>
    <row r="14" spans="2:14" ht="20.100000000000001" customHeight="1" x14ac:dyDescent="0.2">
      <c r="B14" s="1337" t="s">
        <v>974</v>
      </c>
      <c r="C14" s="1341">
        <v>84.01</v>
      </c>
      <c r="D14" s="1342" t="s">
        <v>2123</v>
      </c>
      <c r="E14" s="1343">
        <v>328250</v>
      </c>
      <c r="F14" s="1343">
        <v>187441</v>
      </c>
      <c r="G14" s="1343">
        <v>428965</v>
      </c>
      <c r="H14" s="1343"/>
      <c r="I14" s="1343">
        <v>86726</v>
      </c>
      <c r="J14" s="1343"/>
      <c r="K14" s="1343"/>
      <c r="L14" s="1340">
        <f t="shared" si="0"/>
        <v>515691</v>
      </c>
      <c r="M14" s="1343">
        <v>579157</v>
      </c>
    </row>
    <row r="15" spans="2:14" ht="20.100000000000001" customHeight="1" x14ac:dyDescent="0.2">
      <c r="B15" s="1337" t="s">
        <v>2124</v>
      </c>
      <c r="C15" s="1341">
        <v>84.364999999999995</v>
      </c>
      <c r="D15" s="1342" t="s">
        <v>2125</v>
      </c>
      <c r="E15" s="1343"/>
      <c r="F15" s="1343">
        <v>145</v>
      </c>
      <c r="G15" s="1343"/>
      <c r="H15" s="1343"/>
      <c r="I15" s="1343">
        <v>145</v>
      </c>
      <c r="J15" s="1343"/>
      <c r="K15" s="1343"/>
      <c r="L15" s="1340">
        <f t="shared" si="0"/>
        <v>145</v>
      </c>
      <c r="M15" s="1343">
        <v>145</v>
      </c>
    </row>
    <row r="16" spans="2:14" ht="20.100000000000001" customHeight="1" x14ac:dyDescent="0.2">
      <c r="B16" s="1337" t="s">
        <v>2124</v>
      </c>
      <c r="C16" s="1341">
        <v>84.364999999999995</v>
      </c>
      <c r="D16" s="1342" t="s">
        <v>2126</v>
      </c>
      <c r="E16" s="1343">
        <v>2932</v>
      </c>
      <c r="F16" s="1343">
        <v>2419</v>
      </c>
      <c r="G16" s="1343">
        <v>3951</v>
      </c>
      <c r="H16" s="1343"/>
      <c r="I16" s="1343">
        <v>1400</v>
      </c>
      <c r="J16" s="1343"/>
      <c r="K16" s="1343"/>
      <c r="L16" s="1340">
        <f t="shared" si="0"/>
        <v>5351</v>
      </c>
      <c r="M16" s="1343">
        <v>5496</v>
      </c>
    </row>
    <row r="17" spans="2:14" ht="20.100000000000001" customHeight="1" x14ac:dyDescent="0.2">
      <c r="B17" s="1337" t="s">
        <v>2127</v>
      </c>
      <c r="C17" s="1341">
        <v>84.364999999999995</v>
      </c>
      <c r="D17" s="1342" t="s">
        <v>2128</v>
      </c>
      <c r="E17" s="1343"/>
      <c r="F17" s="1343">
        <v>43055</v>
      </c>
      <c r="G17" s="1343"/>
      <c r="H17" s="1343"/>
      <c r="I17" s="1343">
        <v>49384</v>
      </c>
      <c r="J17" s="1343"/>
      <c r="K17" s="1343">
        <v>21</v>
      </c>
      <c r="L17" s="1340">
        <f t="shared" si="0"/>
        <v>49405</v>
      </c>
      <c r="M17" s="1343">
        <v>49405</v>
      </c>
    </row>
    <row r="18" spans="2:14" ht="20.100000000000001" customHeight="1" x14ac:dyDescent="0.2">
      <c r="B18" s="1337" t="s">
        <v>2127</v>
      </c>
      <c r="C18" s="1341">
        <v>84.364999999999995</v>
      </c>
      <c r="D18" s="1342" t="s">
        <v>2129</v>
      </c>
      <c r="E18" s="1343">
        <v>8598</v>
      </c>
      <c r="F18" s="1343">
        <v>18587</v>
      </c>
      <c r="G18" s="1343">
        <v>14753</v>
      </c>
      <c r="H18" s="1343"/>
      <c r="I18" s="1343">
        <v>12432</v>
      </c>
      <c r="J18" s="1343"/>
      <c r="K18" s="1343"/>
      <c r="L18" s="1340">
        <f t="shared" si="0"/>
        <v>27185</v>
      </c>
      <c r="M18" s="1343">
        <v>41504</v>
      </c>
    </row>
    <row r="19" spans="2:14" ht="20.100000000000001" customHeight="1" x14ac:dyDescent="0.2">
      <c r="B19" s="1337" t="s">
        <v>782</v>
      </c>
      <c r="C19" s="1341">
        <v>84.367000000000004</v>
      </c>
      <c r="D19" s="1342" t="s">
        <v>2130</v>
      </c>
      <c r="E19" s="1343"/>
      <c r="F19" s="1343">
        <v>61208</v>
      </c>
      <c r="G19" s="1343"/>
      <c r="H19" s="1343"/>
      <c r="I19" s="1343">
        <v>76170</v>
      </c>
      <c r="J19" s="1343"/>
      <c r="K19" s="1343"/>
      <c r="L19" s="1340">
        <f t="shared" si="0"/>
        <v>76170</v>
      </c>
      <c r="M19" s="1343">
        <v>76170</v>
      </c>
    </row>
    <row r="20" spans="2:14" ht="20.100000000000001" customHeight="1" x14ac:dyDescent="0.2">
      <c r="B20" s="1337" t="s">
        <v>782</v>
      </c>
      <c r="C20" s="1341">
        <v>84.367000000000004</v>
      </c>
      <c r="D20" s="1342" t="s">
        <v>2131</v>
      </c>
      <c r="E20" s="1343">
        <v>60570</v>
      </c>
      <c r="F20" s="1343">
        <v>38948</v>
      </c>
      <c r="G20" s="1343">
        <v>86151</v>
      </c>
      <c r="H20" s="1343"/>
      <c r="I20" s="1343">
        <v>13367</v>
      </c>
      <c r="J20" s="1343"/>
      <c r="K20" s="1343"/>
      <c r="L20" s="1340">
        <f t="shared" si="0"/>
        <v>99518</v>
      </c>
      <c r="M20" s="1343">
        <v>99518</v>
      </c>
    </row>
    <row r="21" spans="2:14" ht="20.100000000000001" customHeight="1" x14ac:dyDescent="0.2">
      <c r="B21" s="1337" t="s">
        <v>2132</v>
      </c>
      <c r="C21" s="1341">
        <v>84.027000000000001</v>
      </c>
      <c r="D21" s="1342" t="s">
        <v>2133</v>
      </c>
      <c r="E21" s="1343"/>
      <c r="F21" s="1343">
        <v>26913</v>
      </c>
      <c r="G21" s="1343"/>
      <c r="H21" s="1343"/>
      <c r="I21" s="1343">
        <v>39708</v>
      </c>
      <c r="J21" s="1343"/>
      <c r="K21" s="1343"/>
      <c r="L21" s="1340">
        <f t="shared" si="0"/>
        <v>39708</v>
      </c>
      <c r="M21" s="1343" t="s">
        <v>2134</v>
      </c>
    </row>
    <row r="22" spans="2:14" ht="20.100000000000001" customHeight="1" x14ac:dyDescent="0.2">
      <c r="B22" s="1337" t="s">
        <v>2132</v>
      </c>
      <c r="C22" s="1341">
        <v>84.027000000000001</v>
      </c>
      <c r="D22" s="1342" t="s">
        <v>2135</v>
      </c>
      <c r="E22" s="1343">
        <v>120447</v>
      </c>
      <c r="F22" s="1343">
        <v>58483</v>
      </c>
      <c r="G22" s="1343">
        <v>118633</v>
      </c>
      <c r="H22" s="1343"/>
      <c r="I22" s="1343">
        <v>45100</v>
      </c>
      <c r="J22" s="1343"/>
      <c r="K22" s="1343">
        <v>15197</v>
      </c>
      <c r="L22" s="1340">
        <f t="shared" si="0"/>
        <v>178930</v>
      </c>
      <c r="M22" s="1343" t="s">
        <v>2134</v>
      </c>
    </row>
    <row r="23" spans="2:14" ht="20.100000000000001" customHeight="1" x14ac:dyDescent="0.2">
      <c r="B23" s="1337" t="s">
        <v>2136</v>
      </c>
      <c r="C23" s="1341">
        <v>84.424000000000007</v>
      </c>
      <c r="D23" s="1342" t="s">
        <v>2137</v>
      </c>
      <c r="E23" s="1343"/>
      <c r="F23" s="1343">
        <v>15660</v>
      </c>
      <c r="G23" s="1343"/>
      <c r="H23" s="1343"/>
      <c r="I23" s="1343">
        <v>16880</v>
      </c>
      <c r="J23" s="1343"/>
      <c r="K23" s="1343"/>
      <c r="L23" s="1340">
        <f t="shared" si="0"/>
        <v>16880</v>
      </c>
      <c r="M23" s="1343">
        <v>18144</v>
      </c>
    </row>
    <row r="24" spans="2:14" ht="20.100000000000001" customHeight="1" x14ac:dyDescent="0.2">
      <c r="B24" s="1337" t="s">
        <v>2138</v>
      </c>
      <c r="C24" s="1341"/>
      <c r="D24" s="1342"/>
      <c r="E24" s="1343">
        <f>SUM(E12:E23)</f>
        <v>520797</v>
      </c>
      <c r="F24" s="1343">
        <f>SUM(F12:F23)</f>
        <v>724400</v>
      </c>
      <c r="G24" s="1343">
        <f>SUM(G12:G23)</f>
        <v>653014</v>
      </c>
      <c r="H24" s="1343"/>
      <c r="I24" s="1343">
        <f>SUM(I13:I23)</f>
        <v>717044</v>
      </c>
      <c r="J24" s="1343"/>
      <c r="K24" s="1343">
        <f>SUM(K12:K23)</f>
        <v>105218</v>
      </c>
      <c r="L24" s="1340">
        <f t="shared" si="0"/>
        <v>1475276</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t="s">
        <v>2139</v>
      </c>
      <c r="C26" s="1341"/>
      <c r="D26" s="1342"/>
      <c r="E26" s="1343"/>
      <c r="F26" s="1343"/>
      <c r="G26" s="1343"/>
      <c r="H26" s="1343"/>
      <c r="I26" s="1343"/>
      <c r="J26" s="1343"/>
      <c r="K26" s="1343"/>
      <c r="L26" s="1340">
        <f t="shared" si="0"/>
        <v>0</v>
      </c>
      <c r="M26" s="1343"/>
    </row>
    <row r="27" spans="2:14" ht="20.100000000000001" customHeight="1" x14ac:dyDescent="0.2">
      <c r="B27" s="1337" t="s">
        <v>2140</v>
      </c>
      <c r="C27" s="1341">
        <v>84.048000000000002</v>
      </c>
      <c r="D27" s="1342" t="s">
        <v>2141</v>
      </c>
      <c r="E27" s="1343"/>
      <c r="F27" s="1343">
        <v>135</v>
      </c>
      <c r="G27" s="1343"/>
      <c r="H27" s="1343"/>
      <c r="I27" s="1343">
        <v>135</v>
      </c>
      <c r="J27" s="1343"/>
      <c r="K27" s="1343"/>
      <c r="L27" s="1340">
        <v>135</v>
      </c>
      <c r="M27" s="1343" t="s">
        <v>2134</v>
      </c>
    </row>
    <row r="28" spans="2:14" ht="20.100000000000001" customHeight="1" x14ac:dyDescent="0.2">
      <c r="B28" s="1337"/>
      <c r="C28" s="1341"/>
      <c r="D28" s="1342"/>
      <c r="E28" s="1343"/>
      <c r="F28" s="1343"/>
      <c r="G28" s="1343"/>
      <c r="H28" s="1343"/>
      <c r="I28" s="1343"/>
      <c r="J28" s="1343"/>
      <c r="K28" s="1343"/>
      <c r="L28" s="1340"/>
      <c r="M28" s="1343"/>
    </row>
    <row r="29" spans="2:14" ht="20.100000000000001" customHeight="1" x14ac:dyDescent="0.2">
      <c r="B29" s="1337" t="s">
        <v>2142</v>
      </c>
      <c r="C29" s="1341"/>
      <c r="D29" s="1342"/>
      <c r="E29" s="1343">
        <f>SUM(E24:E28)</f>
        <v>520797</v>
      </c>
      <c r="F29" s="1343">
        <f>SUM(F24:F28)</f>
        <v>724535</v>
      </c>
      <c r="G29" s="1343">
        <f>SUM(G24:G28)</f>
        <v>653014</v>
      </c>
      <c r="H29" s="1343"/>
      <c r="I29" s="1343">
        <f>SUM(I24:I28)</f>
        <v>717179</v>
      </c>
      <c r="J29" s="1343"/>
      <c r="K29" s="1343">
        <f>SUM(K24:K28)</f>
        <v>105218</v>
      </c>
      <c r="L29" s="1340">
        <f t="shared" si="0"/>
        <v>1475411</v>
      </c>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1837</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1948</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1308</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1838</v>
      </c>
      <c r="C39" s="1365"/>
      <c r="D39" s="1365"/>
      <c r="E39" s="1365"/>
      <c r="F39" s="1365"/>
      <c r="G39" s="1365"/>
      <c r="H39" s="1365"/>
      <c r="I39" s="1366"/>
      <c r="J39" s="1366"/>
      <c r="K39" s="1366"/>
      <c r="L39" s="1366"/>
      <c r="M39" s="1366"/>
    </row>
    <row r="40" spans="2:14" ht="11.25" customHeight="1" x14ac:dyDescent="0.2">
      <c r="B40" s="1367" t="s">
        <v>1666</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1839</v>
      </c>
      <c r="C42" s="1366"/>
      <c r="D42" s="1366"/>
      <c r="E42" s="1366"/>
      <c r="F42" s="1366"/>
      <c r="G42" s="1366"/>
      <c r="H42" s="1366"/>
      <c r="I42" s="1366"/>
      <c r="J42" s="1366"/>
      <c r="K42" s="1366"/>
      <c r="L42" s="1366"/>
      <c r="M42" s="1366"/>
    </row>
    <row r="43" spans="2:14" ht="11.25" customHeight="1" x14ac:dyDescent="0.2">
      <c r="B43" s="1300" t="s">
        <v>1667</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1840</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1841</v>
      </c>
      <c r="C47" s="1368"/>
      <c r="D47" s="1369"/>
      <c r="E47" s="1300"/>
      <c r="F47" s="1300"/>
      <c r="G47" s="1300"/>
      <c r="H47" s="1300"/>
      <c r="I47" s="1300"/>
      <c r="J47" s="1300"/>
      <c r="K47" s="1370"/>
      <c r="L47" s="1370"/>
      <c r="M47" s="1300"/>
    </row>
    <row r="48" spans="2:14" ht="11.25" customHeight="1" x14ac:dyDescent="0.2">
      <c r="B48" s="1300" t="s">
        <v>1668</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8" firstPageNumber="38" orientation="landscape" useFirstPageNumber="1" horizontalDpi="4294967295" verticalDpi="4294967295"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1230</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2074</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t="s">
        <v>2074</v>
      </c>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7" t="s">
        <v>1731</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331</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1390</v>
      </c>
      <c r="B70" s="2090"/>
      <c r="C70" s="2090"/>
      <c r="D70" s="2090"/>
      <c r="E70" s="2091"/>
      <c r="F70" s="2091"/>
      <c r="G70" s="2091"/>
      <c r="H70" s="2091"/>
      <c r="I70" s="2091"/>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1387</v>
      </c>
      <c r="B83" s="2092"/>
      <c r="C83" s="2092"/>
      <c r="D83" s="2093"/>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2089</v>
      </c>
      <c r="D114" s="2083"/>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1397</v>
      </c>
      <c r="D117" s="2085"/>
      <c r="E117" s="2086"/>
      <c r="F117" s="2086"/>
      <c r="G117" s="2086"/>
      <c r="H117" s="2086"/>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0"/>
  <sheetViews>
    <sheetView showGridLines="0" topLeftCell="A4" zoomScaleNormal="100" workbookViewId="0">
      <selection activeCell="B7" sqref="B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Monmouth-Roseville CUSD 238</v>
      </c>
      <c r="C1" s="2465"/>
      <c r="D1" s="2465"/>
      <c r="E1" s="2465"/>
      <c r="F1" s="2465"/>
      <c r="G1" s="2465"/>
      <c r="H1" s="2465"/>
      <c r="I1" s="2465"/>
      <c r="J1" s="2465"/>
      <c r="K1" s="2465"/>
      <c r="L1" s="2465"/>
      <c r="M1" s="2465"/>
    </row>
    <row r="2" spans="2:14" ht="15" x14ac:dyDescent="0.2">
      <c r="B2" s="2462">
        <f>'Single Audit Cover'!E7</f>
        <v>3309438026</v>
      </c>
      <c r="C2" s="2462"/>
      <c r="D2" s="2462"/>
      <c r="E2" s="2462"/>
      <c r="F2" s="2462"/>
      <c r="G2" s="2462"/>
      <c r="H2" s="2462"/>
      <c r="I2" s="2462"/>
      <c r="J2" s="2462"/>
      <c r="K2" s="2462"/>
      <c r="L2" s="2462"/>
      <c r="M2" s="2462"/>
      <c r="N2" s="1302"/>
    </row>
    <row r="3" spans="2:14" ht="15" x14ac:dyDescent="0.2">
      <c r="B3" s="2466" t="s">
        <v>1281</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2143</v>
      </c>
      <c r="C11" s="1338"/>
      <c r="D11" s="1339"/>
      <c r="E11" s="1340"/>
      <c r="F11" s="1340"/>
      <c r="G11" s="1340"/>
      <c r="H11" s="1340"/>
      <c r="I11" s="1340"/>
      <c r="J11" s="1340"/>
      <c r="K11" s="1340"/>
      <c r="L11" s="1340">
        <f>+G11+I11+K11</f>
        <v>0</v>
      </c>
      <c r="M11" s="1340"/>
    </row>
    <row r="12" spans="2:14" ht="20.100000000000001" customHeight="1" x14ac:dyDescent="0.2">
      <c r="B12" s="1337" t="s">
        <v>2144</v>
      </c>
      <c r="C12" s="1341">
        <v>10.555</v>
      </c>
      <c r="D12" s="1342" t="s">
        <v>2145</v>
      </c>
      <c r="E12" s="1343"/>
      <c r="F12" s="1343">
        <v>48920</v>
      </c>
      <c r="G12" s="1343"/>
      <c r="H12" s="1343"/>
      <c r="I12" s="1343">
        <v>48920</v>
      </c>
      <c r="J12" s="1343"/>
      <c r="K12" s="1343"/>
      <c r="L12" s="1340">
        <f t="shared" ref="L12:L25" si="0">+G12+I12+K12</f>
        <v>48920</v>
      </c>
      <c r="M12" s="1343" t="s">
        <v>2134</v>
      </c>
    </row>
    <row r="13" spans="2:14" ht="20.100000000000001" customHeight="1" x14ac:dyDescent="0.2">
      <c r="B13" s="1337" t="s">
        <v>2146</v>
      </c>
      <c r="C13" s="1341">
        <v>10.555</v>
      </c>
      <c r="D13" s="1342" t="s">
        <v>2145</v>
      </c>
      <c r="E13" s="1343"/>
      <c r="F13" s="1343">
        <v>17445</v>
      </c>
      <c r="G13" s="1343"/>
      <c r="H13" s="1343"/>
      <c r="I13" s="1343">
        <v>17445</v>
      </c>
      <c r="J13" s="1343"/>
      <c r="K13" s="1343"/>
      <c r="L13" s="1340">
        <f t="shared" si="0"/>
        <v>17445</v>
      </c>
      <c r="M13" s="1343" t="s">
        <v>2134</v>
      </c>
    </row>
    <row r="14" spans="2:14" ht="20.100000000000001" customHeight="1" x14ac:dyDescent="0.2">
      <c r="B14" s="1337" t="s">
        <v>2147</v>
      </c>
      <c r="C14" s="1341">
        <v>10.555</v>
      </c>
      <c r="D14" s="1342" t="s">
        <v>2148</v>
      </c>
      <c r="E14" s="1343"/>
      <c r="F14" s="1343">
        <v>448488</v>
      </c>
      <c r="G14" s="1343"/>
      <c r="H14" s="1343"/>
      <c r="I14" s="1343">
        <v>448488</v>
      </c>
      <c r="J14" s="1343"/>
      <c r="K14" s="1343"/>
      <c r="L14" s="1340">
        <f t="shared" si="0"/>
        <v>448488</v>
      </c>
      <c r="M14" s="1343" t="s">
        <v>2134</v>
      </c>
    </row>
    <row r="15" spans="2:14" ht="20.100000000000001" customHeight="1" x14ac:dyDescent="0.2">
      <c r="B15" s="1337" t="s">
        <v>2147</v>
      </c>
      <c r="C15" s="1341">
        <v>10.555</v>
      </c>
      <c r="D15" s="1342" t="s">
        <v>2149</v>
      </c>
      <c r="E15" s="1343">
        <v>450758</v>
      </c>
      <c r="F15" s="1343">
        <v>78898</v>
      </c>
      <c r="G15" s="1343">
        <v>450758</v>
      </c>
      <c r="H15" s="1343"/>
      <c r="I15" s="1343">
        <v>78898</v>
      </c>
      <c r="J15" s="1343"/>
      <c r="K15" s="1343"/>
      <c r="L15" s="1340">
        <f t="shared" si="0"/>
        <v>529656</v>
      </c>
      <c r="M15" s="1343" t="s">
        <v>2134</v>
      </c>
    </row>
    <row r="16" spans="2:14" ht="20.100000000000001" customHeight="1" x14ac:dyDescent="0.2">
      <c r="B16" s="1337" t="s">
        <v>2150</v>
      </c>
      <c r="C16" s="1341">
        <v>10.553000000000001</v>
      </c>
      <c r="D16" s="1342" t="s">
        <v>2151</v>
      </c>
      <c r="E16" s="1343"/>
      <c r="F16" s="1343">
        <v>149794</v>
      </c>
      <c r="G16" s="1343"/>
      <c r="H16" s="1343"/>
      <c r="I16" s="1343">
        <v>149794</v>
      </c>
      <c r="J16" s="1343"/>
      <c r="K16" s="1343"/>
      <c r="L16" s="1340">
        <f t="shared" si="0"/>
        <v>149794</v>
      </c>
      <c r="M16" s="1343" t="s">
        <v>2134</v>
      </c>
    </row>
    <row r="17" spans="2:14" ht="20.100000000000001" customHeight="1" x14ac:dyDescent="0.2">
      <c r="B17" s="1337" t="s">
        <v>2150</v>
      </c>
      <c r="C17" s="1341">
        <v>10.553000000000001</v>
      </c>
      <c r="D17" s="1342" t="s">
        <v>2152</v>
      </c>
      <c r="E17" s="1343">
        <v>136105</v>
      </c>
      <c r="F17" s="1343">
        <v>27283</v>
      </c>
      <c r="G17" s="1343">
        <v>136105</v>
      </c>
      <c r="H17" s="1343"/>
      <c r="I17" s="1343">
        <v>27283</v>
      </c>
      <c r="J17" s="1343"/>
      <c r="K17" s="1343"/>
      <c r="L17" s="1340">
        <f t="shared" si="0"/>
        <v>163388</v>
      </c>
      <c r="M17" s="1343" t="s">
        <v>2134</v>
      </c>
    </row>
    <row r="18" spans="2:14" ht="20.100000000000001" customHeight="1" x14ac:dyDescent="0.2">
      <c r="B18" s="1337" t="s">
        <v>2153</v>
      </c>
      <c r="C18" s="1341"/>
      <c r="D18" s="1342"/>
      <c r="E18" s="1343">
        <f>SUM(E12:E17)</f>
        <v>586863</v>
      </c>
      <c r="F18" s="1343">
        <f>SUM(F12:F17)</f>
        <v>770828</v>
      </c>
      <c r="G18" s="1343">
        <f>SUM(G12:G17)</f>
        <v>586863</v>
      </c>
      <c r="H18" s="1343"/>
      <c r="I18" s="1343">
        <f>SUM(I12:I17)</f>
        <v>770828</v>
      </c>
      <c r="J18" s="1343"/>
      <c r="K18" s="1343"/>
      <c r="L18" s="1340">
        <f t="shared" si="0"/>
        <v>1357691</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45" customHeight="1" x14ac:dyDescent="0.2">
      <c r="B20" s="1337" t="s">
        <v>2203</v>
      </c>
      <c r="C20" s="1341"/>
      <c r="D20" s="1342"/>
      <c r="E20" s="1343"/>
      <c r="F20" s="1343"/>
      <c r="G20" s="1343"/>
      <c r="H20" s="1343"/>
      <c r="I20" s="1343"/>
      <c r="J20" s="1343"/>
      <c r="K20" s="1343"/>
      <c r="L20" s="1340">
        <f t="shared" si="0"/>
        <v>0</v>
      </c>
      <c r="M20" s="1343"/>
    </row>
    <row r="21" spans="2:14" ht="20.100000000000001" customHeight="1" x14ac:dyDescent="0.2">
      <c r="B21" s="1337" t="s">
        <v>2154</v>
      </c>
      <c r="C21" s="1341">
        <v>93.778000000000006</v>
      </c>
      <c r="D21" s="1342" t="s">
        <v>2155</v>
      </c>
      <c r="E21" s="1343"/>
      <c r="F21" s="1343">
        <v>6063</v>
      </c>
      <c r="G21" s="1343"/>
      <c r="H21" s="1343"/>
      <c r="I21" s="1343">
        <v>6063</v>
      </c>
      <c r="J21" s="1343"/>
      <c r="K21" s="1343"/>
      <c r="L21" s="1340">
        <v>6063</v>
      </c>
      <c r="M21" s="1343" t="s">
        <v>2134</v>
      </c>
    </row>
    <row r="22" spans="2:14" ht="20.100000000000001" customHeight="1" x14ac:dyDescent="0.2">
      <c r="B22" s="1337" t="s">
        <v>2156</v>
      </c>
      <c r="C22" s="1341">
        <v>93.778000000000006</v>
      </c>
      <c r="D22" s="1342" t="s">
        <v>2155</v>
      </c>
      <c r="E22" s="1343">
        <v>6470</v>
      </c>
      <c r="F22" s="1343"/>
      <c r="G22" s="1343">
        <v>6470</v>
      </c>
      <c r="H22" s="1343"/>
      <c r="I22" s="1343"/>
      <c r="J22" s="1343"/>
      <c r="K22" s="1343"/>
      <c r="L22" s="1340">
        <f t="shared" si="0"/>
        <v>6470</v>
      </c>
      <c r="M22" s="1343" t="s">
        <v>2134</v>
      </c>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t="s">
        <v>2192</v>
      </c>
      <c r="C24" s="1341"/>
      <c r="D24" s="1342"/>
      <c r="E24" s="1343">
        <v>1114130</v>
      </c>
      <c r="F24" s="1343">
        <v>1501426</v>
      </c>
      <c r="G24" s="1343">
        <v>1246347</v>
      </c>
      <c r="H24" s="1343"/>
      <c r="I24" s="1343">
        <v>1494070</v>
      </c>
      <c r="J24" s="1343"/>
      <c r="K24" s="1343">
        <v>105218</v>
      </c>
      <c r="L24" s="1340">
        <f t="shared" si="0"/>
        <v>2845635</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12.75" customHeight="1" x14ac:dyDescent="0.2">
      <c r="B26" s="1345"/>
      <c r="C26" s="1346"/>
      <c r="D26" s="1347"/>
      <c r="E26" s="1348"/>
      <c r="F26" s="1348"/>
      <c r="G26" s="1348"/>
      <c r="H26" s="1348"/>
      <c r="I26" s="1348"/>
      <c r="J26" s="1348"/>
      <c r="K26" s="1348"/>
      <c r="L26" s="1348"/>
      <c r="M26" s="1348"/>
      <c r="N26" s="1344"/>
    </row>
    <row r="27" spans="2:14" x14ac:dyDescent="0.2">
      <c r="B27" s="1257"/>
      <c r="C27" s="1349"/>
      <c r="D27" s="1350"/>
      <c r="E27" s="1257"/>
      <c r="F27" s="1257"/>
      <c r="G27" s="1250"/>
      <c r="H27" s="1250"/>
      <c r="I27" s="1250"/>
      <c r="J27" s="1250"/>
      <c r="K27" s="1250"/>
      <c r="L27" s="1250"/>
      <c r="M27" s="1257"/>
      <c r="N27" s="1344"/>
    </row>
    <row r="28" spans="2:14" ht="13.5" customHeight="1" x14ac:dyDescent="0.2">
      <c r="B28" s="1282" t="s">
        <v>1837</v>
      </c>
      <c r="C28" s="1349"/>
      <c r="D28" s="1350"/>
      <c r="E28" s="1257"/>
      <c r="F28" s="1257"/>
      <c r="G28" s="1250"/>
      <c r="H28" s="1250"/>
      <c r="I28" s="1250"/>
      <c r="J28" s="1250"/>
      <c r="K28" s="1250"/>
      <c r="L28" s="1250"/>
      <c r="M28" s="1257"/>
      <c r="N28" s="1344"/>
    </row>
    <row r="29" spans="2:14" ht="8.25" customHeight="1" x14ac:dyDescent="0.2">
      <c r="B29" s="1282"/>
      <c r="C29" s="1349"/>
      <c r="D29" s="1350"/>
      <c r="E29" s="1257"/>
      <c r="F29" s="1257"/>
      <c r="G29" s="1250"/>
      <c r="H29" s="1250"/>
      <c r="I29" s="1250"/>
      <c r="J29" s="1250"/>
      <c r="K29" s="1250"/>
      <c r="L29" s="1250"/>
      <c r="M29" s="1257"/>
      <c r="N29" s="1344"/>
    </row>
    <row r="30" spans="2:14" x14ac:dyDescent="0.2">
      <c r="B30" s="1351" t="s">
        <v>1948</v>
      </c>
      <c r="C30" s="1352"/>
      <c r="D30" s="1353"/>
      <c r="E30" s="1354"/>
      <c r="F30" s="1354"/>
      <c r="G30" s="1354"/>
      <c r="H30" s="1354"/>
      <c r="I30" s="317"/>
      <c r="J30" s="317"/>
    </row>
    <row r="31" spans="2:14" x14ac:dyDescent="0.2">
      <c r="B31" s="1277"/>
      <c r="C31" s="1355"/>
      <c r="D31" s="1356"/>
      <c r="E31" s="1278"/>
      <c r="F31" s="1278"/>
      <c r="G31" s="317"/>
      <c r="H31" s="317"/>
      <c r="I31" s="317"/>
      <c r="J31" s="317"/>
    </row>
    <row r="32" spans="2:14" ht="13.5" customHeight="1" x14ac:dyDescent="0.2">
      <c r="B32" s="1276" t="s">
        <v>1308</v>
      </c>
      <c r="G32" s="317"/>
      <c r="H32" s="317"/>
      <c r="I32" s="317"/>
      <c r="J32" s="317"/>
    </row>
    <row r="33" spans="2:13" ht="13.5" customHeight="1" x14ac:dyDescent="0.2">
      <c r="B33" s="1359"/>
      <c r="C33" s="1360"/>
      <c r="D33" s="1361"/>
      <c r="E33" s="1297"/>
      <c r="F33" s="1297"/>
      <c r="G33" s="1297"/>
      <c r="H33" s="1297"/>
      <c r="I33" s="1297"/>
      <c r="J33" s="1297"/>
      <c r="K33" s="1362"/>
      <c r="L33" s="1362"/>
      <c r="M33" s="1297"/>
    </row>
    <row r="34" spans="2:13" ht="9.6" customHeight="1" x14ac:dyDescent="0.2">
      <c r="B34" s="1363"/>
      <c r="G34" s="317"/>
      <c r="H34" s="317"/>
      <c r="I34" s="317"/>
      <c r="J34" s="317"/>
    </row>
    <row r="35" spans="2:13" ht="11.25" customHeight="1" x14ac:dyDescent="0.2">
      <c r="B35" s="1364" t="s">
        <v>1838</v>
      </c>
      <c r="C35" s="1365"/>
      <c r="D35" s="1365"/>
      <c r="E35" s="1365"/>
      <c r="F35" s="1365"/>
      <c r="G35" s="1365"/>
      <c r="H35" s="1365"/>
      <c r="I35" s="1366"/>
      <c r="J35" s="1366"/>
      <c r="K35" s="1366"/>
      <c r="L35" s="1366"/>
      <c r="M35" s="1366"/>
    </row>
    <row r="36" spans="2:13" ht="11.25" customHeight="1" x14ac:dyDescent="0.2">
      <c r="B36" s="1367" t="s">
        <v>1666</v>
      </c>
      <c r="C36" s="1366"/>
      <c r="D36" s="1366"/>
      <c r="E36" s="1366"/>
      <c r="F36" s="1366"/>
      <c r="G36" s="1366"/>
      <c r="H36" s="1366"/>
      <c r="I36" s="1366"/>
      <c r="J36" s="1366"/>
      <c r="K36" s="1366"/>
      <c r="L36" s="1366"/>
      <c r="M36" s="1366"/>
    </row>
    <row r="37" spans="2:13" ht="3.95" customHeight="1" x14ac:dyDescent="0.2">
      <c r="B37" s="1367"/>
      <c r="C37" s="1366"/>
      <c r="D37" s="1366"/>
      <c r="E37" s="1366"/>
      <c r="F37" s="1366"/>
      <c r="G37" s="1366"/>
      <c r="H37" s="1366"/>
      <c r="I37" s="1366"/>
      <c r="J37" s="1366"/>
      <c r="K37" s="1366"/>
      <c r="L37" s="1366"/>
      <c r="M37" s="1366"/>
    </row>
    <row r="38" spans="2:13" ht="11.25" customHeight="1" x14ac:dyDescent="0.2">
      <c r="B38" s="1364" t="s">
        <v>1839</v>
      </c>
      <c r="C38" s="1366"/>
      <c r="D38" s="1366"/>
      <c r="E38" s="1366"/>
      <c r="F38" s="1366"/>
      <c r="G38" s="1366"/>
      <c r="H38" s="1366"/>
      <c r="I38" s="1366"/>
      <c r="J38" s="1366"/>
      <c r="K38" s="1366"/>
      <c r="L38" s="1366"/>
      <c r="M38" s="1366"/>
    </row>
    <row r="39" spans="2:13" ht="11.25" customHeight="1" x14ac:dyDescent="0.2">
      <c r="B39" s="1300" t="s">
        <v>1667</v>
      </c>
      <c r="C39" s="1368"/>
      <c r="D39" s="1369"/>
      <c r="E39" s="1300"/>
      <c r="F39" s="1300"/>
      <c r="G39" s="1300"/>
      <c r="H39" s="1300"/>
      <c r="I39" s="1300"/>
      <c r="J39" s="1300"/>
      <c r="K39" s="1370"/>
      <c r="L39" s="1370"/>
      <c r="M39" s="1300"/>
    </row>
    <row r="40" spans="2:13" ht="3.95" customHeight="1" x14ac:dyDescent="0.2">
      <c r="B40" s="1300"/>
      <c r="C40" s="1368"/>
      <c r="D40" s="1369"/>
      <c r="E40" s="1300"/>
      <c r="F40" s="1300"/>
      <c r="G40" s="1300"/>
      <c r="H40" s="1300"/>
      <c r="I40" s="1300"/>
      <c r="J40" s="1300"/>
      <c r="K40" s="1370"/>
      <c r="L40" s="1370"/>
      <c r="M40" s="1300"/>
    </row>
    <row r="41" spans="2:13" ht="11.25" customHeight="1" x14ac:dyDescent="0.2">
      <c r="B41" s="1371" t="s">
        <v>1840</v>
      </c>
      <c r="C41" s="1368"/>
      <c r="D41" s="1369"/>
      <c r="E41" s="1300"/>
      <c r="F41" s="1300"/>
      <c r="G41" s="1300"/>
      <c r="H41" s="1300"/>
      <c r="I41" s="1300"/>
      <c r="J41" s="1300"/>
      <c r="K41" s="1370"/>
      <c r="L41" s="1370"/>
      <c r="M41" s="1300"/>
    </row>
    <row r="42" spans="2:13" ht="3.95" customHeight="1" x14ac:dyDescent="0.2">
      <c r="B42" s="1371"/>
      <c r="C42" s="1368"/>
      <c r="D42" s="1369"/>
      <c r="E42" s="1300"/>
      <c r="F42" s="1300"/>
      <c r="G42" s="1300"/>
      <c r="H42" s="1300"/>
      <c r="I42" s="1300"/>
      <c r="J42" s="1300"/>
      <c r="K42" s="1370"/>
      <c r="L42" s="1370"/>
      <c r="M42" s="1300"/>
    </row>
    <row r="43" spans="2:13" ht="11.25" customHeight="1" x14ac:dyDescent="0.2">
      <c r="B43" s="1372" t="s">
        <v>1841</v>
      </c>
      <c r="C43" s="1368"/>
      <c r="D43" s="1369"/>
      <c r="E43" s="1300"/>
      <c r="F43" s="1300"/>
      <c r="G43" s="1300"/>
      <c r="H43" s="1300"/>
      <c r="I43" s="1300"/>
      <c r="J43" s="1300"/>
      <c r="K43" s="1370"/>
      <c r="L43" s="1370"/>
      <c r="M43" s="1300"/>
    </row>
    <row r="44" spans="2:13" ht="11.25" customHeight="1" x14ac:dyDescent="0.2">
      <c r="B44" s="1300" t="s">
        <v>1668</v>
      </c>
      <c r="G44" s="317"/>
      <c r="H44" s="317"/>
      <c r="I44" s="317"/>
      <c r="J44" s="317"/>
    </row>
    <row r="45" spans="2:13" ht="11.1" customHeight="1" x14ac:dyDescent="0.2">
      <c r="B45" s="1300"/>
      <c r="G45" s="317"/>
      <c r="H45" s="317"/>
      <c r="I45" s="317"/>
      <c r="J45" s="317"/>
    </row>
    <row r="46" spans="2:13" ht="11.1" customHeight="1" x14ac:dyDescent="0.2">
      <c r="B46" s="1300"/>
      <c r="G46" s="317"/>
      <c r="H46" s="317"/>
      <c r="I46" s="317"/>
      <c r="J46" s="317"/>
    </row>
    <row r="47" spans="2:13" ht="13.5" customHeight="1" x14ac:dyDescent="0.2">
      <c r="M47" s="1373"/>
    </row>
    <row r="48" spans="2:13" ht="13.5" customHeight="1" x14ac:dyDescent="0.2">
      <c r="M48" s="1373"/>
    </row>
    <row r="49" spans="7:13" ht="13.5" customHeight="1" x14ac:dyDescent="0.2">
      <c r="M49" s="1373"/>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4" firstPageNumber="38" orientation="landscape" useFirstPageNumber="1" horizontalDpi="4294967295" verticalDpi="4294967295"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0" zoomScale="110" zoomScaleNormal="110" workbookViewId="0">
      <selection activeCell="B7" sqref="B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Monmouth-Roseville CUSD 238</v>
      </c>
      <c r="C1" s="2480"/>
      <c r="D1" s="2480"/>
      <c r="E1" s="2480"/>
      <c r="F1" s="2480"/>
      <c r="G1" s="2480"/>
      <c r="H1" s="2480"/>
      <c r="I1" s="2480"/>
      <c r="J1" s="1422"/>
    </row>
    <row r="2" spans="2:10" s="317" customFormat="1" ht="12.75" customHeight="1" x14ac:dyDescent="0.2">
      <c r="B2" s="2481">
        <f>'Single Audit Cover'!E7</f>
        <v>3309438026</v>
      </c>
      <c r="C2" s="2482"/>
      <c r="D2" s="2482"/>
      <c r="E2" s="2482"/>
      <c r="F2" s="2482"/>
      <c r="G2" s="2482"/>
      <c r="H2" s="2482"/>
      <c r="I2" s="2482"/>
      <c r="J2" s="1422"/>
    </row>
    <row r="3" spans="2:10" s="317" customFormat="1" ht="12.75" customHeight="1" x14ac:dyDescent="0.2">
      <c r="B3" s="2483" t="s">
        <v>1347</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1346</v>
      </c>
      <c r="C7" s="2484"/>
      <c r="D7" s="2484"/>
      <c r="E7" s="2484"/>
      <c r="F7" s="2484"/>
      <c r="G7" s="2484"/>
      <c r="H7" s="2484"/>
      <c r="I7" s="2484"/>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5" t="s">
        <v>1226</v>
      </c>
      <c r="D11" s="2485"/>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2074</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6" t="s">
        <v>2193</v>
      </c>
      <c r="E29" s="2486"/>
      <c r="F29" s="2486"/>
      <c r="G29" s="2486"/>
      <c r="H29" s="2486"/>
      <c r="I29" s="2486"/>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7" t="s">
        <v>1851</v>
      </c>
      <c r="D37" s="2488"/>
      <c r="E37" s="2488"/>
      <c r="F37" s="2489"/>
      <c r="G37" s="2487" t="s">
        <v>1674</v>
      </c>
      <c r="H37" s="2488"/>
      <c r="I37" s="2489"/>
    </row>
    <row r="38" spans="2:9" ht="16.5" customHeight="1" x14ac:dyDescent="0.2">
      <c r="B38" s="1444" t="s">
        <v>2194</v>
      </c>
      <c r="C38" s="2475" t="s">
        <v>2195</v>
      </c>
      <c r="D38" s="2476"/>
      <c r="E38" s="2476"/>
      <c r="F38" s="2477"/>
      <c r="G38" s="2490">
        <v>770828</v>
      </c>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1675</v>
      </c>
      <c r="D43" s="2469"/>
      <c r="E43" s="2469"/>
      <c r="F43" s="2470"/>
      <c r="G43" s="2471">
        <f>SUM(G38:I42)</f>
        <v>770828</v>
      </c>
      <c r="H43" s="2471"/>
      <c r="I43" s="2471"/>
    </row>
    <row r="44" spans="2:9" ht="12.75" customHeight="1" x14ac:dyDescent="0.2"/>
    <row r="45" spans="2:9" ht="12.75" customHeight="1" x14ac:dyDescent="0.2">
      <c r="B45" s="1435" t="s">
        <v>1949</v>
      </c>
      <c r="D45" s="2472">
        <v>1494070</v>
      </c>
      <c r="E45" s="2473"/>
    </row>
    <row r="46" spans="2:9" ht="5.25" customHeight="1" x14ac:dyDescent="0.2">
      <c r="B46" s="1445"/>
      <c r="D46" s="1446"/>
      <c r="E46" s="1447"/>
    </row>
    <row r="47" spans="2:9" ht="12.75" customHeight="1" x14ac:dyDescent="0.2">
      <c r="B47" s="1300" t="s">
        <v>1676</v>
      </c>
      <c r="C47" s="1300"/>
      <c r="D47" s="1448">
        <f>+G43/D45</f>
        <v>0.51592495666200378</v>
      </c>
      <c r="E47" s="1449"/>
      <c r="F47" s="1450"/>
      <c r="I47" s="1451"/>
    </row>
    <row r="48" spans="2:9" ht="9.9499999999999993" customHeight="1" x14ac:dyDescent="0.2"/>
    <row r="49" spans="1:9" x14ac:dyDescent="0.2">
      <c r="B49" s="1368" t="s">
        <v>1335</v>
      </c>
      <c r="C49" s="1282"/>
      <c r="D49" s="1282"/>
      <c r="E49" s="2474">
        <v>750000</v>
      </c>
      <c r="F49" s="2474"/>
      <c r="G49" s="2474"/>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Monmouth-Roseville CUSD 238</v>
      </c>
      <c r="C1" s="2479"/>
      <c r="D1" s="2479"/>
      <c r="E1" s="2479"/>
      <c r="F1" s="2479"/>
      <c r="G1" s="2479"/>
      <c r="H1" s="2479"/>
      <c r="I1" s="2479"/>
      <c r="J1" s="2479"/>
      <c r="K1" s="2479"/>
      <c r="L1" s="1374"/>
      <c r="M1" s="1374"/>
    </row>
    <row r="2" spans="1:13" ht="12" customHeight="1" x14ac:dyDescent="0.2">
      <c r="B2" s="2481">
        <f>'Single Audit Cover'!E7</f>
        <v>3309438026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63.75" customHeight="1" x14ac:dyDescent="0.2">
      <c r="B14" s="2494" t="s">
        <v>2075</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2076</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t="s">
        <v>2077</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t="s">
        <v>2078</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2079</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t="s">
        <v>2080</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B7" sqref="B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Monmouth-Roseville CUSD 238</v>
      </c>
      <c r="C1" s="2479"/>
      <c r="D1" s="2479"/>
      <c r="E1" s="2479"/>
      <c r="F1" s="2479"/>
      <c r="G1" s="2479"/>
      <c r="H1" s="2479"/>
      <c r="I1" s="2479"/>
      <c r="J1" s="2479"/>
      <c r="K1" s="2479"/>
      <c r="L1" s="1374"/>
      <c r="M1" s="1374"/>
    </row>
    <row r="2" spans="1:13" ht="12" customHeight="1" x14ac:dyDescent="0.2">
      <c r="B2" s="2481">
        <f>'Single Audit Cover'!E7</f>
        <v>3309438026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954"/>
      <c r="M3" s="1954"/>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2</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2196</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2197</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2198</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t="s">
        <v>2199</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Monmouth-Roseville CUSD 238</v>
      </c>
      <c r="C1" s="2479"/>
      <c r="D1" s="2479"/>
      <c r="E1" s="2479"/>
      <c r="F1" s="2479"/>
      <c r="G1" s="2479"/>
      <c r="H1" s="2479"/>
      <c r="I1" s="2479"/>
      <c r="J1" s="2479"/>
      <c r="K1" s="2479"/>
      <c r="L1" s="1374"/>
      <c r="M1" s="1374"/>
    </row>
    <row r="2" spans="1:13" ht="12" customHeight="1" x14ac:dyDescent="0.2">
      <c r="B2" s="2481">
        <f>'Single Audit Cover'!E7</f>
        <v>3309438026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953"/>
      <c r="M3" s="1953"/>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3</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2217</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2100</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t="s">
        <v>2101</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t="s">
        <v>2102</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Monmouth-Roseville CUSD 238</v>
      </c>
      <c r="C1" s="2479"/>
      <c r="D1" s="2479"/>
      <c r="E1" s="2479"/>
      <c r="F1" s="2479"/>
      <c r="G1" s="2479"/>
      <c r="H1" s="2479"/>
      <c r="I1" s="2479"/>
      <c r="J1" s="2479"/>
      <c r="K1" s="2479"/>
      <c r="L1" s="1374"/>
      <c r="M1" s="1374"/>
    </row>
    <row r="2" spans="1:13" ht="12" customHeight="1" x14ac:dyDescent="0.2">
      <c r="B2" s="2481">
        <f>'Single Audit Cover'!E7</f>
        <v>3309438026</v>
      </c>
      <c r="C2" s="2481"/>
      <c r="D2" s="2481"/>
      <c r="E2" s="2481"/>
      <c r="F2" s="2481"/>
      <c r="G2" s="2481"/>
      <c r="H2" s="2481"/>
      <c r="I2" s="2481"/>
      <c r="J2" s="2481"/>
      <c r="K2" s="2481"/>
      <c r="L2" s="1375"/>
      <c r="M2" s="1376"/>
    </row>
    <row r="3" spans="1:13" ht="10.35" customHeight="1" x14ac:dyDescent="0.2">
      <c r="B3" s="2495" t="s">
        <v>1347</v>
      </c>
      <c r="C3" s="2495"/>
      <c r="D3" s="2495"/>
      <c r="E3" s="2495"/>
      <c r="F3" s="2495"/>
      <c r="G3" s="2495"/>
      <c r="H3" s="2495"/>
      <c r="I3" s="2495"/>
      <c r="J3" s="2495"/>
      <c r="K3" s="2495"/>
      <c r="L3" s="1955"/>
      <c r="M3" s="1955"/>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1363</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4</v>
      </c>
      <c r="E10" s="322"/>
      <c r="F10" s="1387" t="s">
        <v>1362</v>
      </c>
      <c r="G10" s="1388" t="s">
        <v>2074</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4" t="s">
        <v>2218</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4" t="s">
        <v>2204</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3" t="s">
        <v>2205</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Monmouth-Roseville CUSD 238</v>
      </c>
      <c r="C1" s="2502"/>
      <c r="D1" s="2502"/>
      <c r="E1" s="2502"/>
      <c r="F1" s="2502"/>
      <c r="G1" s="2502"/>
      <c r="H1" s="2502"/>
      <c r="I1" s="2502"/>
      <c r="J1" s="2502"/>
      <c r="K1" s="2502"/>
      <c r="L1" s="1465"/>
    </row>
    <row r="2" spans="1:12" ht="12.75" customHeight="1" x14ac:dyDescent="0.2">
      <c r="B2" s="2503">
        <f>'Single Audit Cover'!E7</f>
        <v>3309438026</v>
      </c>
      <c r="C2" s="2503"/>
      <c r="D2" s="2503"/>
      <c r="E2" s="2503"/>
      <c r="F2" s="2503"/>
      <c r="G2" s="2503"/>
      <c r="H2" s="2503"/>
      <c r="I2" s="2503"/>
      <c r="J2" s="2503"/>
      <c r="K2" s="2503"/>
      <c r="L2" s="1466"/>
    </row>
    <row r="3" spans="1:12" ht="12.75" customHeight="1" x14ac:dyDescent="0.2">
      <c r="B3" s="2495" t="s">
        <v>1347</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1231</v>
      </c>
      <c r="C5" s="1260"/>
      <c r="L5" s="322"/>
    </row>
    <row r="6" spans="1:12" ht="30.75" customHeight="1" x14ac:dyDescent="0.2">
      <c r="A6" s="322"/>
      <c r="B6" s="2504" t="s">
        <v>1375</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9"/>
      <c r="E14" s="2499"/>
      <c r="F14" s="2499"/>
      <c r="H14" s="1475" t="s">
        <v>1370</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0"/>
      <c r="E16" s="2500"/>
      <c r="F16" s="2500"/>
      <c r="G16" s="2500"/>
      <c r="H16" s="2500"/>
      <c r="I16" s="2500"/>
      <c r="J16" s="2500"/>
      <c r="K16" s="2500"/>
      <c r="L16" s="322"/>
    </row>
    <row r="17" spans="2:12" ht="13.5" customHeight="1" x14ac:dyDescent="0.2">
      <c r="B17" s="1387" t="s">
        <v>1368</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Monmouth-Roseville CUSD 238</v>
      </c>
      <c r="C1" s="2479"/>
      <c r="D1" s="2479"/>
      <c r="E1" s="1491"/>
    </row>
    <row r="2" spans="2:5" s="1282" customFormat="1" ht="12.75" customHeight="1" x14ac:dyDescent="0.2">
      <c r="B2" s="2481">
        <f>'Single Audit Cover'!E7</f>
        <v>3309438026</v>
      </c>
      <c r="C2" s="2481"/>
      <c r="D2" s="2481"/>
      <c r="E2" s="1492"/>
    </row>
    <row r="3" spans="2:5" ht="12.75" customHeight="1" x14ac:dyDescent="0.2">
      <c r="B3" s="2495" t="s">
        <v>1866</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2103</v>
      </c>
      <c r="C8" s="324" t="s">
        <v>2104</v>
      </c>
      <c r="D8" s="324" t="s">
        <v>2105</v>
      </c>
      <c r="E8" s="324"/>
    </row>
    <row r="9" spans="2:5" ht="13.5" customHeight="1" x14ac:dyDescent="0.2">
      <c r="B9" s="1497"/>
      <c r="C9" s="323"/>
      <c r="D9" s="323" t="s">
        <v>2106</v>
      </c>
      <c r="E9" s="323"/>
    </row>
    <row r="10" spans="2:5" ht="13.5" customHeight="1" x14ac:dyDescent="0.2">
      <c r="B10" s="1496"/>
      <c r="C10" s="323"/>
      <c r="D10" s="323"/>
      <c r="E10" s="323"/>
    </row>
    <row r="11" spans="2:5" ht="13.5" customHeight="1" x14ac:dyDescent="0.2">
      <c r="B11" s="1496" t="s">
        <v>2107</v>
      </c>
      <c r="C11" s="323" t="s">
        <v>2210</v>
      </c>
      <c r="D11" s="323" t="s">
        <v>2212</v>
      </c>
      <c r="E11" s="323"/>
    </row>
    <row r="12" spans="2:5" ht="13.5" customHeight="1" x14ac:dyDescent="0.2">
      <c r="B12" s="1496"/>
      <c r="C12" s="323" t="s">
        <v>2211</v>
      </c>
      <c r="D12" s="323"/>
      <c r="E12" s="323"/>
    </row>
    <row r="13" spans="2:5" ht="13.5" customHeight="1" x14ac:dyDescent="0.2">
      <c r="B13" s="1496"/>
      <c r="C13" s="323"/>
      <c r="D13" s="323"/>
      <c r="E13" s="323"/>
    </row>
    <row r="14" spans="2:5" ht="13.5" customHeight="1" x14ac:dyDescent="0.2">
      <c r="B14" s="1496" t="s">
        <v>2108</v>
      </c>
      <c r="C14" s="323" t="s">
        <v>2109</v>
      </c>
      <c r="D14" s="323" t="s">
        <v>2111</v>
      </c>
      <c r="E14" s="323"/>
    </row>
    <row r="15" spans="2:5" ht="13.5" customHeight="1" x14ac:dyDescent="0.2">
      <c r="B15" s="1496"/>
      <c r="C15" s="323" t="s">
        <v>2110</v>
      </c>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4294967295" verticalDpi="4294967295"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404</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132336475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2.2499999999999999E-2</v>
      </c>
      <c r="E10" s="356" t="s">
        <v>1062</v>
      </c>
      <c r="F10" s="355">
        <v>7.0000000000000001E-3</v>
      </c>
      <c r="G10" s="356" t="s">
        <v>1062</v>
      </c>
      <c r="H10" s="355">
        <v>2E-3</v>
      </c>
      <c r="I10" s="356" t="s">
        <v>1063</v>
      </c>
      <c r="J10" s="1753">
        <f>ROUND(D10+F10+H10,5)</f>
        <v>3.15E-2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16637616</v>
      </c>
      <c r="E16" s="356"/>
      <c r="F16" s="1754">
        <f>SUM('Acct Summary 7-8'!C17,'Acct Summary 7-8'!D17,'Acct Summary 7-8'!F17)</f>
        <v>13199451</v>
      </c>
      <c r="G16" s="356"/>
      <c r="H16" s="1754">
        <f>SUM(D16-F16)</f>
        <v>3438165</v>
      </c>
      <c r="I16" s="222"/>
      <c r="J16" s="1754">
        <f>SUM('Acct Summary 7-8'!C81,'Acct Summary 7-8'!D81,'Acct Summary 7-8'!F81,'Acct Summary 7-8'!I81)</f>
        <v>10278124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18262433.550000001</v>
      </c>
      <c r="I31" s="368"/>
      <c r="J31" s="222"/>
      <c r="K31" s="222"/>
      <c r="L31" s="222"/>
      <c r="M31" s="222"/>
    </row>
    <row r="32" spans="1:13" ht="13.35" customHeight="1" x14ac:dyDescent="0.2">
      <c r="B32" s="369" t="s">
        <v>2074</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5006000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U34" sqref="U3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577</v>
      </c>
      <c r="B2" s="2122"/>
      <c r="C2" s="2122"/>
      <c r="D2" s="2122"/>
      <c r="E2" s="2122"/>
      <c r="F2" s="2122"/>
      <c r="G2" s="2122"/>
      <c r="H2" s="2122"/>
      <c r="I2" s="2122"/>
      <c r="J2" s="2122"/>
      <c r="K2" s="2122"/>
      <c r="L2" s="2122"/>
      <c r="M2" s="2122"/>
      <c r="N2" s="2122"/>
      <c r="O2" s="2122"/>
      <c r="P2" s="2122"/>
      <c r="Q2" s="2122"/>
      <c r="R2" s="2122"/>
    </row>
    <row r="3" spans="1:18" ht="12.75" x14ac:dyDescent="0.2">
      <c r="A3" s="2123" t="s">
        <v>1480</v>
      </c>
      <c r="B3" s="2123"/>
      <c r="C3" s="2123"/>
      <c r="D3" s="2123"/>
      <c r="E3" s="2123"/>
      <c r="F3" s="2123"/>
      <c r="G3" s="2123"/>
      <c r="H3" s="2123"/>
      <c r="I3" s="2123"/>
      <c r="J3" s="2123"/>
      <c r="K3" s="2123"/>
      <c r="L3" s="2123"/>
      <c r="M3" s="2123"/>
      <c r="N3" s="2123"/>
      <c r="O3" s="2123"/>
      <c r="P3" s="2123"/>
      <c r="Q3" s="2123"/>
      <c r="R3" s="2123"/>
    </row>
    <row r="4" spans="1:18" x14ac:dyDescent="0.2">
      <c r="A4" s="2124" t="s">
        <v>1635</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Monmouth-Roseville CUSD 238</v>
      </c>
      <c r="E7" s="391"/>
      <c r="G7" s="252"/>
      <c r="H7" s="387"/>
      <c r="I7" s="387"/>
      <c r="J7" s="387"/>
      <c r="K7" s="387"/>
      <c r="L7" s="329"/>
      <c r="M7" s="329"/>
      <c r="N7" s="329"/>
      <c r="O7" s="329"/>
      <c r="P7" s="329"/>
    </row>
    <row r="8" spans="1:18" ht="12.75" x14ac:dyDescent="0.2">
      <c r="A8" s="329"/>
      <c r="B8" s="329"/>
      <c r="C8" s="389" t="s">
        <v>1187</v>
      </c>
      <c r="D8" s="392">
        <f>COVER!A13</f>
        <v>3309438026</v>
      </c>
      <c r="E8" s="393"/>
      <c r="G8" s="329"/>
      <c r="H8" s="329"/>
      <c r="I8" s="329"/>
      <c r="J8" s="329"/>
      <c r="K8" s="329"/>
      <c r="L8" s="329"/>
      <c r="M8" s="329"/>
      <c r="N8" s="329"/>
      <c r="O8" s="329"/>
      <c r="P8" s="329"/>
    </row>
    <row r="9" spans="1:18" ht="12.75" x14ac:dyDescent="0.2">
      <c r="A9" s="329"/>
      <c r="B9" s="329"/>
      <c r="C9" s="389" t="s">
        <v>737</v>
      </c>
      <c r="D9" s="394" t="str">
        <f>COVER!A15</f>
        <v>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10278124</v>
      </c>
      <c r="I12" s="404"/>
      <c r="J12" s="404"/>
      <c r="K12" s="405">
        <f>TRUNC((H12/H13*100000),5)/100000</f>
        <v>0.61977506009999994</v>
      </c>
      <c r="L12" s="406"/>
      <c r="M12" s="360" t="s">
        <v>1206</v>
      </c>
      <c r="N12" s="360"/>
      <c r="O12" s="407">
        <v>0.35</v>
      </c>
      <c r="P12" s="218"/>
      <c r="Q12" s="218"/>
    </row>
    <row r="13" spans="1:18" s="408" customFormat="1" ht="12.75" x14ac:dyDescent="0.2">
      <c r="A13" s="218"/>
      <c r="B13" s="401"/>
      <c r="C13" s="2120" t="s">
        <v>1391</v>
      </c>
      <c r="D13" s="2121"/>
      <c r="E13" s="218"/>
      <c r="F13" s="409" t="s">
        <v>826</v>
      </c>
      <c r="G13" s="402"/>
      <c r="H13" s="403">
        <f>SUM('Acct Summary 7-8'!C8+'Acct Summary 7-8'!D8+'Acct Summary 7-8'!F8+'Acct Summary 7-8'!I8)+H14</f>
        <v>16583636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-53980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13199451</v>
      </c>
      <c r="I17" s="404"/>
      <c r="J17" s="416"/>
      <c r="K17" s="405">
        <f>TRUNC((H17/H18*100000),5)/100000</f>
        <v>0.7959322672000001</v>
      </c>
      <c r="L17" s="406"/>
      <c r="M17" s="417" t="s">
        <v>1233</v>
      </c>
      <c r="O17" s="418" t="str">
        <f>IF(AND(O16="2", J20 &gt; 2),"1",IF(AND(O16 = "1", J20 &gt; 2),"2",IF(AND(O16="1", J20 &gt;1),"1","0")))</f>
        <v>0</v>
      </c>
      <c r="P17" s="218"/>
    </row>
    <row r="18" spans="1:18" s="408" customFormat="1" ht="11.25" x14ac:dyDescent="0.2">
      <c r="A18" s="218"/>
      <c r="B18" s="401"/>
      <c r="C18" s="2120" t="s">
        <v>1384</v>
      </c>
      <c r="D18" s="2121"/>
      <c r="E18" s="218"/>
      <c r="F18" s="419" t="s">
        <v>827</v>
      </c>
      <c r="G18" s="402"/>
      <c r="H18" s="403">
        <f>SUM('Acct Summary 7-8'!C8+'Acct Summary 7-8'!D8+'Acct Summary 7-8'!F8+'Acct Summary 7-8'!I8)+H19</f>
        <v>16583636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-53980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7" t="s">
        <v>1479</v>
      </c>
      <c r="D24" s="2117"/>
      <c r="E24" s="218"/>
      <c r="F24" s="218" t="s">
        <v>465</v>
      </c>
      <c r="G24" s="402"/>
      <c r="H24" s="403">
        <f>SUM('Assets-Liab 5-6'!C4+'Assets-Liab 5-6'!D4+'Assets-Liab 5-6'!F4+'Assets-Liab 5-6'!I4+'Assets-Liab 5-6'!C5+'Assets-Liab 5-6'!D5+'Assets-Liab 5-6'!F5+'Assets-Liab 5-6'!I5)</f>
        <v>10258124</v>
      </c>
      <c r="I24" s="422"/>
      <c r="J24" s="422"/>
      <c r="K24" s="423">
        <f>TRUNC(((H24/H25*100000)/100000),2)</f>
        <v>279.77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36665.141669999997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3543309.1181299998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5006000</v>
      </c>
      <c r="I32" s="420"/>
      <c r="J32" s="420"/>
      <c r="K32" s="423">
        <f>TRUNC(100-((((H32/H33*100))*100)/100),2)</f>
        <v>72.58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18262433.550000001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U34" sqref="U34"/>
      <selection pane="bottomLeft" activeCell="U34" sqref="U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6"/>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7" t="s">
        <v>1030</v>
      </c>
      <c r="B3" s="2128"/>
      <c r="C3" s="1581"/>
      <c r="D3" s="1582"/>
      <c r="E3" s="1582"/>
      <c r="F3" s="1582"/>
      <c r="G3" s="1582"/>
      <c r="H3" s="1582"/>
      <c r="I3" s="1582"/>
      <c r="J3" s="1582"/>
      <c r="K3" s="1582"/>
      <c r="L3" s="1582"/>
      <c r="M3" s="1583"/>
      <c r="N3" s="1584"/>
    </row>
    <row r="4" spans="1:14" ht="13.5" customHeight="1" x14ac:dyDescent="0.2">
      <c r="A4" s="463" t="s">
        <v>1750</v>
      </c>
      <c r="B4" s="464"/>
      <c r="C4" s="465">
        <v>5928081</v>
      </c>
      <c r="D4" s="466">
        <v>1069673</v>
      </c>
      <c r="E4" s="466">
        <v>13728</v>
      </c>
      <c r="F4" s="466">
        <v>1191095</v>
      </c>
      <c r="G4" s="466">
        <v>744820</v>
      </c>
      <c r="H4" s="466">
        <v>147217</v>
      </c>
      <c r="I4" s="466">
        <v>2069275</v>
      </c>
      <c r="J4" s="467">
        <v>141402</v>
      </c>
      <c r="K4" s="466">
        <v>1545348</v>
      </c>
      <c r="L4" s="466">
        <v>1453193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20000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5928081</v>
      </c>
      <c r="D13" s="1758">
        <f t="shared" ref="D13:L13" si="0">SUM(D4:D12)</f>
        <v>1069673</v>
      </c>
      <c r="E13" s="1758">
        <f t="shared" si="0"/>
        <v>13728</v>
      </c>
      <c r="F13" s="1758">
        <f t="shared" si="0"/>
        <v>1191095</v>
      </c>
      <c r="G13" s="1758">
        <f t="shared" si="0"/>
        <v>744820</v>
      </c>
      <c r="H13" s="1758">
        <f t="shared" si="0"/>
        <v>147217</v>
      </c>
      <c r="I13" s="1758">
        <f t="shared" si="0"/>
        <v>2089275</v>
      </c>
      <c r="J13" s="1758">
        <f t="shared" si="0"/>
        <v>141402</v>
      </c>
      <c r="K13" s="1758">
        <f t="shared" si="0"/>
        <v>1545348</v>
      </c>
      <c r="L13" s="1758">
        <f t="shared" si="0"/>
        <v>1453193</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468103</v>
      </c>
      <c r="N16" s="484"/>
    </row>
    <row r="17" spans="1:14" s="485" customFormat="1" ht="12.75" customHeight="1" x14ac:dyDescent="0.2">
      <c r="A17" s="482" t="s">
        <v>1470</v>
      </c>
      <c r="B17" s="483">
        <v>230</v>
      </c>
      <c r="C17" s="477"/>
      <c r="D17" s="477"/>
      <c r="E17" s="477"/>
      <c r="F17" s="477"/>
      <c r="G17" s="477"/>
      <c r="H17" s="477"/>
      <c r="I17" s="477"/>
      <c r="J17" s="477"/>
      <c r="K17" s="477"/>
      <c r="L17" s="477"/>
      <c r="M17" s="467">
        <v>7567245</v>
      </c>
      <c r="N17" s="484"/>
    </row>
    <row r="18" spans="1:14" s="485" customFormat="1" ht="12.75" customHeight="1" x14ac:dyDescent="0.2">
      <c r="A18" s="482" t="s">
        <v>1471</v>
      </c>
      <c r="B18" s="483">
        <v>240</v>
      </c>
      <c r="C18" s="477"/>
      <c r="D18" s="477"/>
      <c r="E18" s="477"/>
      <c r="F18" s="477"/>
      <c r="G18" s="477"/>
      <c r="H18" s="477"/>
      <c r="I18" s="477"/>
      <c r="J18" s="477"/>
      <c r="K18" s="477"/>
      <c r="L18" s="477"/>
      <c r="M18" s="467">
        <v>11996630</v>
      </c>
      <c r="N18" s="484"/>
    </row>
    <row r="19" spans="1:14" s="485" customFormat="1" ht="12.75" customHeight="1" x14ac:dyDescent="0.2">
      <c r="A19" s="482" t="s">
        <v>1472</v>
      </c>
      <c r="B19" s="483">
        <v>250</v>
      </c>
      <c r="C19" s="477"/>
      <c r="D19" s="477"/>
      <c r="E19" s="477"/>
      <c r="F19" s="477"/>
      <c r="G19" s="477"/>
      <c r="H19" s="477"/>
      <c r="I19" s="477"/>
      <c r="J19" s="477"/>
      <c r="K19" s="477"/>
      <c r="L19" s="477"/>
      <c r="M19" s="467">
        <v>2345642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5006000</v>
      </c>
    </row>
    <row r="23" spans="1:14" ht="13.5" customHeight="1" thickBot="1" x14ac:dyDescent="0.25">
      <c r="A23" s="1757" t="s">
        <v>664</v>
      </c>
      <c r="B23" s="1762"/>
      <c r="C23" s="468"/>
      <c r="D23" s="468"/>
      <c r="E23" s="468"/>
      <c r="F23" s="468"/>
      <c r="G23" s="468"/>
      <c r="H23" s="468"/>
      <c r="I23" s="468"/>
      <c r="J23" s="468"/>
      <c r="K23" s="468"/>
      <c r="L23" s="468"/>
      <c r="M23" s="1709">
        <f>SUM(M15:M22)</f>
        <v>22377620</v>
      </c>
      <c r="N23" s="1709">
        <f>SUM(N21:N22)</f>
        <v>5006000</v>
      </c>
    </row>
    <row r="24" spans="1:14" ht="18" customHeight="1" thickTop="1" x14ac:dyDescent="0.2">
      <c r="A24" s="2131" t="s">
        <v>619</v>
      </c>
      <c r="B24" s="2132"/>
      <c r="C24" s="1590"/>
      <c r="D24" s="1587"/>
      <c r="E24" s="1587"/>
      <c r="F24" s="1587"/>
      <c r="G24" s="1587"/>
      <c r="H24" s="1587"/>
      <c r="I24" s="1587"/>
      <c r="J24" s="1587"/>
      <c r="K24" s="1587"/>
      <c r="L24" s="1587"/>
      <c r="M24" s="1586"/>
      <c r="N24" s="1591"/>
    </row>
    <row r="25" spans="1:14" x14ac:dyDescent="0.2">
      <c r="A25" s="473" t="s">
        <v>666</v>
      </c>
      <c r="B25" s="470">
        <v>410</v>
      </c>
      <c r="C25" s="478"/>
      <c r="D25" s="478"/>
      <c r="E25" s="478">
        <v>20000</v>
      </c>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141503</v>
      </c>
      <c r="M33" s="468"/>
      <c r="N33" s="469"/>
    </row>
    <row r="34" spans="1:14" ht="13.5" customHeight="1" thickBot="1" x14ac:dyDescent="0.25">
      <c r="A34" s="1759" t="s">
        <v>675</v>
      </c>
      <c r="B34" s="1760"/>
      <c r="C34" s="1761">
        <f>SUM(C25:C33)</f>
        <v>0</v>
      </c>
      <c r="D34" s="1761">
        <f t="shared" ref="D34:K34" si="1">SUM(D25:D33)</f>
        <v>0</v>
      </c>
      <c r="E34" s="1761">
        <f t="shared" si="1"/>
        <v>20000</v>
      </c>
      <c r="F34" s="1761">
        <f t="shared" si="1"/>
        <v>0</v>
      </c>
      <c r="G34" s="1761">
        <f t="shared" si="1"/>
        <v>0</v>
      </c>
      <c r="H34" s="1761">
        <f t="shared" si="1"/>
        <v>0</v>
      </c>
      <c r="I34" s="1761">
        <f t="shared" si="1"/>
        <v>0</v>
      </c>
      <c r="J34" s="1761">
        <f t="shared" si="1"/>
        <v>0</v>
      </c>
      <c r="K34" s="1761">
        <f t="shared" si="1"/>
        <v>0</v>
      </c>
      <c r="L34" s="1742">
        <f>SUM(L33)</f>
        <v>141503</v>
      </c>
      <c r="M34" s="468"/>
      <c r="N34" s="480"/>
    </row>
    <row r="35" spans="1:14" ht="18" customHeight="1" thickTop="1" x14ac:dyDescent="0.2">
      <c r="A35" s="2133" t="s">
        <v>550</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5006000</v>
      </c>
    </row>
    <row r="37" spans="1:14" ht="13.5" thickBot="1" x14ac:dyDescent="0.25">
      <c r="A37" s="1757" t="s">
        <v>674</v>
      </c>
      <c r="B37" s="1762"/>
      <c r="C37" s="477"/>
      <c r="D37" s="477"/>
      <c r="E37" s="477"/>
      <c r="F37" s="477"/>
      <c r="G37" s="477"/>
      <c r="H37" s="477"/>
      <c r="I37" s="477"/>
      <c r="J37" s="477"/>
      <c r="K37" s="477"/>
      <c r="L37" s="480"/>
      <c r="M37" s="468"/>
      <c r="N37" s="1709">
        <f>SUM(N36:N36)</f>
        <v>5006000</v>
      </c>
    </row>
    <row r="38" spans="1:14" s="329" customFormat="1" ht="13.5" customHeight="1" thickTop="1" x14ac:dyDescent="0.2">
      <c r="A38" s="496" t="s">
        <v>440</v>
      </c>
      <c r="B38" s="483">
        <v>714</v>
      </c>
      <c r="C38" s="466"/>
      <c r="D38" s="466"/>
      <c r="E38" s="466"/>
      <c r="F38" s="466"/>
      <c r="G38" s="466">
        <v>212434</v>
      </c>
      <c r="H38" s="466"/>
      <c r="I38" s="466"/>
      <c r="J38" s="467"/>
      <c r="K38" s="466"/>
      <c r="L38" s="481">
        <v>1311690</v>
      </c>
      <c r="M38" s="497"/>
      <c r="N38" s="497"/>
    </row>
    <row r="39" spans="1:14" s="329" customFormat="1" ht="13.5" customHeight="1" x14ac:dyDescent="0.2">
      <c r="A39" s="496" t="s">
        <v>360</v>
      </c>
      <c r="B39" s="483">
        <v>730</v>
      </c>
      <c r="C39" s="466">
        <v>5928081</v>
      </c>
      <c r="D39" s="466">
        <v>1069673</v>
      </c>
      <c r="E39" s="466">
        <v>-6272</v>
      </c>
      <c r="F39" s="466">
        <v>1191095</v>
      </c>
      <c r="G39" s="466">
        <v>532386</v>
      </c>
      <c r="H39" s="466">
        <v>147217</v>
      </c>
      <c r="I39" s="466">
        <v>2089275</v>
      </c>
      <c r="J39" s="467">
        <v>141402</v>
      </c>
      <c r="K39" s="466">
        <v>1545348</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22377620</v>
      </c>
      <c r="N40" s="497"/>
    </row>
    <row r="41" spans="1:14" ht="13.5" customHeight="1" thickBot="1" x14ac:dyDescent="0.25">
      <c r="A41" s="1757" t="s">
        <v>676</v>
      </c>
      <c r="B41" s="1727"/>
      <c r="C41" s="1709">
        <f>(SUM(C34,C37,C38,C39))</f>
        <v>5928081</v>
      </c>
      <c r="D41" s="1709">
        <f t="shared" ref="D41:L41" si="2">SUM(D34,D37,D38:D39)</f>
        <v>1069673</v>
      </c>
      <c r="E41" s="1709">
        <f t="shared" si="2"/>
        <v>13728</v>
      </c>
      <c r="F41" s="1709">
        <f t="shared" si="2"/>
        <v>1191095</v>
      </c>
      <c r="G41" s="1709">
        <f t="shared" si="2"/>
        <v>744820</v>
      </c>
      <c r="H41" s="1709">
        <f t="shared" si="2"/>
        <v>147217</v>
      </c>
      <c r="I41" s="1709">
        <f t="shared" si="2"/>
        <v>2089275</v>
      </c>
      <c r="J41" s="1709">
        <f t="shared" si="2"/>
        <v>141402</v>
      </c>
      <c r="K41" s="1709">
        <f t="shared" si="2"/>
        <v>1545348</v>
      </c>
      <c r="L41" s="1709">
        <f t="shared" si="2"/>
        <v>1453193</v>
      </c>
      <c r="M41" s="1709">
        <f>SUM(M40)</f>
        <v>22377620</v>
      </c>
      <c r="N41" s="1709">
        <f>SUM(N37)</f>
        <v>5006000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4294967295" verticalDpi="4294967295" r:id="rId1"/>
  <headerFooter alignWithMargins="0">
    <oddHeader>&amp;L&amp;8Page &amp;P&amp;C&amp;"Arial,Bold"&amp;9BASIC FINANCIAL STATEMENTS
STATEMENT OF ASSETS AND LIABILITIES ARISING FROM CASH TRANSACTIONS
STATEMENT OF POSITION AS OF JUNE 30, 2018&amp;R&amp;8Page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71" activePane="bottomLeft" state="frozenSplit"/>
      <selection activeCell="U34" sqref="U34"/>
      <selection pane="bottomLeft" activeCell="U34" sqref="U3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5" t="s">
        <v>1237</v>
      </c>
      <c r="B3" s="2156"/>
      <c r="C3" s="1595"/>
      <c r="D3" s="1596"/>
      <c r="E3" s="1596"/>
      <c r="F3" s="1596"/>
      <c r="G3" s="1596"/>
      <c r="H3" s="1596"/>
      <c r="I3" s="1596"/>
      <c r="J3" s="1596"/>
      <c r="K3" s="1597"/>
      <c r="L3" s="506"/>
    </row>
    <row r="4" spans="1:13" ht="15.75" customHeight="1" x14ac:dyDescent="0.2">
      <c r="A4" s="1951" t="s">
        <v>1579</v>
      </c>
      <c r="B4" s="1952">
        <v>1000</v>
      </c>
      <c r="C4" s="1763">
        <f>'Revenues 9-14'!C109</f>
        <v>3475099</v>
      </c>
      <c r="D4" s="1763">
        <f>'Revenues 9-14'!D109</f>
        <v>985492</v>
      </c>
      <c r="E4" s="1763">
        <f>'Revenues 9-14'!E109</f>
        <v>906019</v>
      </c>
      <c r="F4" s="1763">
        <f>'Revenues 9-14'!F109</f>
        <v>552328</v>
      </c>
      <c r="G4" s="1763">
        <f>'Revenues 9-14'!G109</f>
        <v>448048</v>
      </c>
      <c r="H4" s="1763">
        <f>'Revenues 9-14'!H109</f>
        <v>1015608</v>
      </c>
      <c r="I4" s="1763">
        <f>'Revenues 9-14'!I109</f>
        <v>74237</v>
      </c>
      <c r="J4" s="1763">
        <f>'Revenues 9-14'!J109</f>
        <v>700126</v>
      </c>
      <c r="K4" s="1763">
        <f>'Revenues 9-14'!K109</f>
        <v>73271</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9100571</v>
      </c>
      <c r="D6" s="1764">
        <f>'Revenues 9-14'!D173</f>
        <v>112783</v>
      </c>
      <c r="E6" s="1764">
        <f>'Revenues 9-14'!E173</f>
        <v>0</v>
      </c>
      <c r="F6" s="1764">
        <f>'Revenues 9-14'!F173</f>
        <v>900522</v>
      </c>
      <c r="G6" s="1764">
        <f>'Revenues 9-14'!G173</f>
        <v>28295</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1418978</v>
      </c>
      <c r="D7" s="1764">
        <f>'Revenues 9-14'!D274</f>
        <v>0</v>
      </c>
      <c r="E7" s="1764">
        <f>'Revenues 9-14'!E274</f>
        <v>0</v>
      </c>
      <c r="F7" s="1764">
        <f>'Revenues 9-14'!F274</f>
        <v>17606</v>
      </c>
      <c r="G7" s="1764">
        <f>'Revenues 9-14'!G274</f>
        <v>10020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13994648</v>
      </c>
      <c r="D8" s="1709">
        <f t="shared" ref="D8:K8" si="0">SUM(D4:D7)</f>
        <v>1098275</v>
      </c>
      <c r="E8" s="1709">
        <f t="shared" si="0"/>
        <v>906019</v>
      </c>
      <c r="F8" s="1709">
        <f t="shared" si="0"/>
        <v>1470456</v>
      </c>
      <c r="G8" s="1709">
        <f t="shared" si="0"/>
        <v>486363</v>
      </c>
      <c r="H8" s="1709">
        <f t="shared" si="0"/>
        <v>1015608</v>
      </c>
      <c r="I8" s="1709">
        <f t="shared" si="0"/>
        <v>74237</v>
      </c>
      <c r="J8" s="1709">
        <f t="shared" si="0"/>
        <v>700126</v>
      </c>
      <c r="K8" s="1709">
        <f t="shared" si="0"/>
        <v>73271</v>
      </c>
      <c r="L8" s="347"/>
    </row>
    <row r="9" spans="1:13" ht="15.75" thickTop="1" x14ac:dyDescent="0.2">
      <c r="A9" s="514" t="s">
        <v>1752</v>
      </c>
      <c r="B9" s="515">
        <v>3998</v>
      </c>
      <c r="C9" s="481">
        <v>4729710</v>
      </c>
      <c r="D9" s="516"/>
      <c r="E9" s="481"/>
      <c r="F9" s="481"/>
      <c r="G9" s="517"/>
      <c r="H9" s="481"/>
      <c r="I9" s="509" t="s">
        <v>1231</v>
      </c>
      <c r="J9" s="478"/>
      <c r="K9" s="481"/>
      <c r="L9" s="347"/>
    </row>
    <row r="10" spans="1:13" s="519" customFormat="1" ht="13.5" thickBot="1" x14ac:dyDescent="0.25">
      <c r="A10" s="1757" t="s">
        <v>1235</v>
      </c>
      <c r="B10" s="1730"/>
      <c r="C10" s="1709">
        <f>SUM(C8:C9)</f>
        <v>18724358</v>
      </c>
      <c r="D10" s="1709">
        <f t="shared" ref="D10:K10" si="1">SUM(D8:D9)</f>
        <v>1098275</v>
      </c>
      <c r="E10" s="1709">
        <f t="shared" si="1"/>
        <v>906019</v>
      </c>
      <c r="F10" s="1709">
        <f t="shared" si="1"/>
        <v>1470456</v>
      </c>
      <c r="G10" s="1709">
        <f t="shared" si="1"/>
        <v>486363</v>
      </c>
      <c r="H10" s="1709">
        <f t="shared" si="1"/>
        <v>1015608</v>
      </c>
      <c r="I10" s="1709">
        <f t="shared" si="1"/>
        <v>74237</v>
      </c>
      <c r="J10" s="1709">
        <f t="shared" si="1"/>
        <v>700126</v>
      </c>
      <c r="K10" s="1709">
        <f t="shared" si="1"/>
        <v>73271</v>
      </c>
      <c r="L10" s="518"/>
    </row>
    <row r="11" spans="1:13" s="519" customFormat="1" ht="16.7" customHeight="1" thickTop="1" x14ac:dyDescent="0.2">
      <c r="A11" s="2129" t="s">
        <v>1238</v>
      </c>
      <c r="B11" s="2130"/>
      <c r="C11" s="1592"/>
      <c r="D11" s="1593"/>
      <c r="E11" s="1593"/>
      <c r="F11" s="1593"/>
      <c r="G11" s="1593"/>
      <c r="H11" s="1593"/>
      <c r="I11" s="1593"/>
      <c r="J11" s="1593"/>
      <c r="K11" s="1594"/>
      <c r="L11" s="518"/>
    </row>
    <row r="12" spans="1:13" ht="15.75" customHeight="1" x14ac:dyDescent="0.2">
      <c r="A12" s="1598" t="s">
        <v>476</v>
      </c>
      <c r="B12" s="1600">
        <v>1000</v>
      </c>
      <c r="C12" s="1763">
        <f>'Expenditures 15-22'!K33</f>
        <v>7618479</v>
      </c>
      <c r="D12" s="520" t="s">
        <v>1231</v>
      </c>
      <c r="E12" s="468" t="s">
        <v>1231</v>
      </c>
      <c r="F12" s="468" t="s">
        <v>1231</v>
      </c>
      <c r="G12" s="1763">
        <f>'Expenditures 15-22'!K229</f>
        <v>156775</v>
      </c>
      <c r="H12" s="521"/>
      <c r="I12" s="468" t="s">
        <v>1231</v>
      </c>
      <c r="J12" s="468" t="s">
        <v>1231</v>
      </c>
      <c r="K12" s="521" t="s">
        <v>1231</v>
      </c>
      <c r="L12" s="347"/>
    </row>
    <row r="13" spans="1:13" ht="15.75" customHeight="1" x14ac:dyDescent="0.2">
      <c r="A13" s="1598" t="s">
        <v>477</v>
      </c>
      <c r="B13" s="1600">
        <v>2000</v>
      </c>
      <c r="C13" s="1764">
        <f>'Expenditures 15-22'!K74</f>
        <v>3243089</v>
      </c>
      <c r="D13" s="1764">
        <f>'Expenditures 15-22'!K129</f>
        <v>842764</v>
      </c>
      <c r="E13" s="469" t="s">
        <v>1231</v>
      </c>
      <c r="F13" s="1764">
        <f>'Expenditures 15-22'!K184</f>
        <v>874953</v>
      </c>
      <c r="G13" s="1764">
        <f>'Expenditures 15-22'!K279</f>
        <v>325555</v>
      </c>
      <c r="H13" s="1764">
        <f>'Expenditures 15-22'!K303</f>
        <v>1368556</v>
      </c>
      <c r="I13" s="468" t="s">
        <v>1231</v>
      </c>
      <c r="J13" s="1764">
        <f>'Expenditures 15-22'!K330</f>
        <v>696585</v>
      </c>
      <c r="K13" s="1768">
        <f>'Expenditures 15-22'!K352</f>
        <v>1186161</v>
      </c>
      <c r="L13" s="347"/>
    </row>
    <row r="14" spans="1:13" ht="15.75" customHeight="1" x14ac:dyDescent="0.2">
      <c r="A14" s="1598" t="s">
        <v>469</v>
      </c>
      <c r="B14" s="1600">
        <v>3000</v>
      </c>
      <c r="C14" s="1764">
        <f>'Expenditures 15-22'!K75</f>
        <v>39772</v>
      </c>
      <c r="D14" s="1764">
        <f>'Expenditures 15-22'!K130</f>
        <v>0</v>
      </c>
      <c r="E14" s="520" t="s">
        <v>1231</v>
      </c>
      <c r="F14" s="1764">
        <f>'Expenditures 15-22'!K185</f>
        <v>0</v>
      </c>
      <c r="G14" s="1764">
        <f>'Expenditures 15-22'!K280</f>
        <v>566</v>
      </c>
      <c r="H14" s="512"/>
      <c r="I14" s="468" t="s">
        <v>1231</v>
      </c>
      <c r="J14" s="468" t="s">
        <v>1231</v>
      </c>
      <c r="K14" s="512" t="s">
        <v>1231</v>
      </c>
      <c r="L14" s="347"/>
    </row>
    <row r="15" spans="1:13" ht="15.75" customHeight="1" x14ac:dyDescent="0.2">
      <c r="A15" s="1598" t="s">
        <v>109</v>
      </c>
      <c r="B15" s="1600">
        <v>4000</v>
      </c>
      <c r="C15" s="1764">
        <f>'Expenditures 15-22'!K102</f>
        <v>464086</v>
      </c>
      <c r="D15" s="1764">
        <f>'Expenditures 15-22'!K139</f>
        <v>0</v>
      </c>
      <c r="E15" s="1764">
        <f>'Expenditures 15-22'!K160</f>
        <v>0</v>
      </c>
      <c r="F15" s="1764">
        <f>'Expenditures 15-22'!K196</f>
        <v>115742</v>
      </c>
      <c r="G15" s="1764">
        <f>'Expenditures 15-22'!K285</f>
        <v>0</v>
      </c>
      <c r="H15" s="1764">
        <f>'Expenditures 15-22'!K310</f>
        <v>0</v>
      </c>
      <c r="I15" s="468" t="s">
        <v>1231</v>
      </c>
      <c r="J15" s="1857">
        <f>'Expenditures 15-22'!K334</f>
        <v>200000</v>
      </c>
      <c r="K15" s="1764">
        <f>'Expenditures 15-22'!K357</f>
        <v>0</v>
      </c>
      <c r="L15" s="347"/>
    </row>
    <row r="16" spans="1:13" ht="15.75" customHeight="1" x14ac:dyDescent="0.2">
      <c r="A16" s="1598" t="s">
        <v>470</v>
      </c>
      <c r="B16" s="1600">
        <v>5000</v>
      </c>
      <c r="C16" s="1764">
        <f>'Expenditures 15-22'!K112</f>
        <v>566</v>
      </c>
      <c r="D16" s="1764">
        <f>'Expenditures 15-22'!K149</f>
        <v>0</v>
      </c>
      <c r="E16" s="1764">
        <f>'Expenditures 15-22'!K172</f>
        <v>963118</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11365992</v>
      </c>
      <c r="D17" s="1709">
        <f t="shared" si="2"/>
        <v>842764</v>
      </c>
      <c r="E17" s="1709">
        <f t="shared" si="2"/>
        <v>963118</v>
      </c>
      <c r="F17" s="1709">
        <f t="shared" si="2"/>
        <v>990695</v>
      </c>
      <c r="G17" s="1709">
        <f t="shared" si="2"/>
        <v>482896</v>
      </c>
      <c r="H17" s="1709">
        <f t="shared" si="2"/>
        <v>1368556</v>
      </c>
      <c r="I17" s="468"/>
      <c r="J17" s="1709">
        <f>SUM(J12:J16)</f>
        <v>896585</v>
      </c>
      <c r="K17" s="1709">
        <f>SUM(K12:K16)</f>
        <v>1186161</v>
      </c>
      <c r="L17" s="347"/>
    </row>
    <row r="18" spans="1:12" ht="15" customHeight="1" thickTop="1" x14ac:dyDescent="0.2">
      <c r="A18" s="1765" t="s">
        <v>1753</v>
      </c>
      <c r="B18" s="1766">
        <v>4180</v>
      </c>
      <c r="C18" s="1763">
        <f t="shared" ref="C18:H18" si="3">C9</f>
        <v>4729710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16095702</v>
      </c>
      <c r="D19" s="1709">
        <f t="shared" si="4"/>
        <v>842764</v>
      </c>
      <c r="E19" s="1709">
        <f t="shared" si="4"/>
        <v>963118</v>
      </c>
      <c r="F19" s="1709">
        <f t="shared" si="4"/>
        <v>990695</v>
      </c>
      <c r="G19" s="1709">
        <f t="shared" si="4"/>
        <v>482896</v>
      </c>
      <c r="H19" s="1709">
        <f t="shared" si="4"/>
        <v>1368556</v>
      </c>
      <c r="I19" s="468"/>
      <c r="J19" s="1709">
        <f>SUM(J17:J18)</f>
        <v>896585</v>
      </c>
      <c r="K19" s="1709">
        <f>SUM(K17:K18)</f>
        <v>1186161</v>
      </c>
      <c r="L19" s="347"/>
    </row>
    <row r="20" spans="1:12" ht="16.5" thickTop="1" thickBot="1" x14ac:dyDescent="0.25">
      <c r="A20" s="2145" t="s">
        <v>1754</v>
      </c>
      <c r="B20" s="2146"/>
      <c r="C20" s="1767">
        <f>C8-C17</f>
        <v>2628656</v>
      </c>
      <c r="D20" s="1767">
        <f t="shared" ref="D20:K20" si="5">D8-D17</f>
        <v>255511</v>
      </c>
      <c r="E20" s="1767">
        <f t="shared" si="5"/>
        <v>-57099</v>
      </c>
      <c r="F20" s="1767">
        <f t="shared" si="5"/>
        <v>479761</v>
      </c>
      <c r="G20" s="1767">
        <f t="shared" si="5"/>
        <v>3467</v>
      </c>
      <c r="H20" s="1767">
        <f t="shared" si="5"/>
        <v>-352948</v>
      </c>
      <c r="I20" s="1767">
        <f t="shared" si="5"/>
        <v>74237</v>
      </c>
      <c r="J20" s="1767">
        <f t="shared" si="5"/>
        <v>-196459</v>
      </c>
      <c r="K20" s="1767">
        <f t="shared" si="5"/>
        <v>-1112890</v>
      </c>
      <c r="L20" s="347"/>
    </row>
    <row r="21" spans="1:12" ht="16.7" customHeight="1" thickTop="1" x14ac:dyDescent="0.2">
      <c r="A21" s="2157" t="s">
        <v>616</v>
      </c>
      <c r="B21" s="2158"/>
      <c r="C21" s="1592"/>
      <c r="D21" s="1593"/>
      <c r="E21" s="1593"/>
      <c r="F21" s="1593"/>
      <c r="G21" s="1593"/>
      <c r="H21" s="1593"/>
      <c r="I21" s="1593"/>
      <c r="J21" s="1593"/>
      <c r="K21" s="1594"/>
      <c r="L21" s="524"/>
    </row>
    <row r="22" spans="1:12" ht="15.75" customHeight="1" collapsed="1" x14ac:dyDescent="0.2">
      <c r="A22" s="2153" t="s">
        <v>617</v>
      </c>
      <c r="B22" s="2154"/>
      <c r="C22" s="477"/>
      <c r="D22" s="477"/>
      <c r="E22" s="477"/>
      <c r="F22" s="477"/>
      <c r="G22" s="477"/>
      <c r="H22" s="477"/>
      <c r="I22" s="477"/>
      <c r="J22" s="477"/>
      <c r="K22" s="477"/>
      <c r="L22" s="347"/>
    </row>
    <row r="23" spans="1:12" s="485" customFormat="1" ht="15.75" customHeight="1" x14ac:dyDescent="0.2">
      <c r="A23" s="2149" t="s">
        <v>311</v>
      </c>
      <c r="B23" s="215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1" t="s">
        <v>1038</v>
      </c>
      <c r="B32" s="215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v>6320</v>
      </c>
      <c r="E36" s="467"/>
      <c r="F36" s="467">
        <v>1300</v>
      </c>
      <c r="G36" s="467"/>
      <c r="H36" s="467"/>
      <c r="I36" s="475"/>
      <c r="J36" s="467"/>
      <c r="K36" s="467"/>
      <c r="L36" s="524"/>
    </row>
    <row r="37" spans="1:12" s="485" customFormat="1" x14ac:dyDescent="0.2">
      <c r="A37" s="1511" t="s">
        <v>461</v>
      </c>
      <c r="B37" s="525">
        <v>7400</v>
      </c>
      <c r="C37" s="475"/>
      <c r="D37" s="475"/>
      <c r="E37" s="1764">
        <f>SUM(C54:D57,H54:H57)</f>
        <v>44000</v>
      </c>
      <c r="F37" s="475"/>
      <c r="G37" s="475"/>
      <c r="H37" s="475"/>
      <c r="I37" s="477"/>
      <c r="J37" s="475"/>
      <c r="K37" s="475"/>
      <c r="L37" s="524"/>
    </row>
    <row r="38" spans="1:12" s="485" customFormat="1" x14ac:dyDescent="0.2">
      <c r="A38" s="1511" t="s">
        <v>462</v>
      </c>
      <c r="B38" s="525">
        <v>7500</v>
      </c>
      <c r="C38" s="477"/>
      <c r="D38" s="477"/>
      <c r="E38" s="1764">
        <f>SUM(C58:D61,H58:H61)</f>
        <v>9980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9" t="s">
        <v>392</v>
      </c>
      <c r="B44" s="2160"/>
      <c r="C44" s="1724">
        <f>SUM(C24:C43)</f>
        <v>0</v>
      </c>
      <c r="D44" s="1724">
        <f t="shared" ref="D44:K44" si="6">SUM(D24:D43)</f>
        <v>6320</v>
      </c>
      <c r="E44" s="1724">
        <f t="shared" si="6"/>
        <v>53980</v>
      </c>
      <c r="F44" s="1724">
        <f t="shared" si="6"/>
        <v>1300</v>
      </c>
      <c r="G44" s="1724">
        <f t="shared" si="6"/>
        <v>0</v>
      </c>
      <c r="H44" s="1724">
        <f t="shared" si="6"/>
        <v>0</v>
      </c>
      <c r="I44" s="1724">
        <f t="shared" si="6"/>
        <v>0</v>
      </c>
      <c r="J44" s="1724">
        <f t="shared" si="6"/>
        <v>0</v>
      </c>
      <c r="K44" s="1724">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4">
        <f>D30</f>
        <v>0</v>
      </c>
      <c r="L52" s="524"/>
    </row>
    <row r="53" spans="1:12" s="485" customFormat="1" ht="26.25" x14ac:dyDescent="0.2">
      <c r="A53" s="1512" t="s">
        <v>1896</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v>44000</v>
      </c>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v>9980</v>
      </c>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5" t="s">
        <v>460</v>
      </c>
      <c r="B76" s="2136"/>
      <c r="C76" s="1724">
        <f t="shared" ref="C76:K76" si="7">SUM(C47:C75)</f>
        <v>53980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7" t="s">
        <v>1239</v>
      </c>
      <c r="B77" s="2138"/>
      <c r="C77" s="1724">
        <f t="shared" ref="C77:K77" si="8">C44-C76</f>
        <v>-53980</v>
      </c>
      <c r="D77" s="1724">
        <f t="shared" si="8"/>
        <v>6320</v>
      </c>
      <c r="E77" s="1724">
        <f t="shared" si="8"/>
        <v>53980</v>
      </c>
      <c r="F77" s="1724">
        <f t="shared" si="8"/>
        <v>1300</v>
      </c>
      <c r="G77" s="1724">
        <f t="shared" si="8"/>
        <v>0</v>
      </c>
      <c r="H77" s="1724">
        <f t="shared" si="8"/>
        <v>0</v>
      </c>
      <c r="I77" s="1724">
        <f t="shared" si="8"/>
        <v>0</v>
      </c>
      <c r="J77" s="1724">
        <f t="shared" si="8"/>
        <v>0</v>
      </c>
      <c r="K77" s="1724">
        <f t="shared" si="8"/>
        <v>0</v>
      </c>
      <c r="L77" s="347"/>
    </row>
    <row r="78" spans="1:12" ht="21.75" customHeight="1" thickTop="1" thickBot="1" x14ac:dyDescent="0.25">
      <c r="A78" s="2141" t="s">
        <v>618</v>
      </c>
      <c r="B78" s="2142"/>
      <c r="C78" s="1723">
        <f t="shared" ref="C78:K78" si="9">C20+C77</f>
        <v>2574676</v>
      </c>
      <c r="D78" s="1723">
        <f t="shared" si="9"/>
        <v>261831</v>
      </c>
      <c r="E78" s="1723">
        <f t="shared" si="9"/>
        <v>-3119</v>
      </c>
      <c r="F78" s="1723">
        <f t="shared" si="9"/>
        <v>481061</v>
      </c>
      <c r="G78" s="1723">
        <f t="shared" si="9"/>
        <v>3467</v>
      </c>
      <c r="H78" s="1723">
        <f t="shared" si="9"/>
        <v>-352948</v>
      </c>
      <c r="I78" s="1723">
        <f t="shared" si="9"/>
        <v>74237</v>
      </c>
      <c r="J78" s="1723">
        <f t="shared" si="9"/>
        <v>-196459</v>
      </c>
      <c r="K78" s="1723">
        <f t="shared" si="9"/>
        <v>-1112890</v>
      </c>
      <c r="L78" s="533"/>
    </row>
    <row r="79" spans="1:12" ht="13.5" thickTop="1" x14ac:dyDescent="0.2">
      <c r="A79" s="1516" t="s">
        <v>2070</v>
      </c>
      <c r="B79" s="534"/>
      <c r="C79" s="478">
        <v>3353405</v>
      </c>
      <c r="D79" s="535">
        <v>807842</v>
      </c>
      <c r="E79" s="535">
        <v>-3153</v>
      </c>
      <c r="F79" s="535">
        <v>710034</v>
      </c>
      <c r="G79" s="535">
        <v>741353</v>
      </c>
      <c r="H79" s="535">
        <v>500165</v>
      </c>
      <c r="I79" s="535">
        <v>2015038</v>
      </c>
      <c r="J79" s="535">
        <v>337861</v>
      </c>
      <c r="K79" s="535">
        <v>2658238</v>
      </c>
      <c r="L79" s="347"/>
    </row>
    <row r="80" spans="1:12" x14ac:dyDescent="0.2">
      <c r="A80" s="2147" t="s">
        <v>1895</v>
      </c>
      <c r="B80" s="2148"/>
      <c r="C80" s="467"/>
      <c r="D80" s="467"/>
      <c r="E80" s="467"/>
      <c r="F80" s="467"/>
      <c r="G80" s="467"/>
      <c r="H80" s="467"/>
      <c r="I80" s="467"/>
      <c r="J80" s="467"/>
      <c r="K80" s="467"/>
      <c r="L80" s="347"/>
    </row>
    <row r="81" spans="1:12" ht="13.5" thickBot="1" x14ac:dyDescent="0.25">
      <c r="A81" s="2139" t="s">
        <v>2071</v>
      </c>
      <c r="B81" s="2140"/>
      <c r="C81" s="1709">
        <f>(SUM(C78:C80))</f>
        <v>5928081</v>
      </c>
      <c r="D81" s="1709">
        <f>SUM(D78:D80)</f>
        <v>1069673</v>
      </c>
      <c r="E81" s="1709">
        <f t="shared" ref="E81:K81" si="10">SUM(E78:E80)</f>
        <v>-6272</v>
      </c>
      <c r="F81" s="1709">
        <f t="shared" si="10"/>
        <v>1191095</v>
      </c>
      <c r="G81" s="1709">
        <f t="shared" si="10"/>
        <v>744820</v>
      </c>
      <c r="H81" s="1709">
        <f t="shared" si="10"/>
        <v>147217</v>
      </c>
      <c r="I81" s="1709">
        <f t="shared" si="10"/>
        <v>2089275</v>
      </c>
      <c r="J81" s="1709">
        <f t="shared" si="10"/>
        <v>141402</v>
      </c>
      <c r="K81" s="1709">
        <f t="shared" si="10"/>
        <v>1545348</v>
      </c>
      <c r="L81" s="347"/>
    </row>
    <row r="82" spans="1:12" ht="0.75" customHeight="1" thickTop="1" thickBot="1" x14ac:dyDescent="0.25">
      <c r="A82" s="536" t="s">
        <v>361</v>
      </c>
      <c r="B82" s="537"/>
      <c r="C82" s="538">
        <f>(C81-C79)</f>
        <v>2574676</v>
      </c>
      <c r="D82" s="538">
        <f t="shared" ref="D82:K82" si="11">(D81-D79)</f>
        <v>261831</v>
      </c>
      <c r="E82" s="538">
        <f t="shared" si="11"/>
        <v>-3119</v>
      </c>
      <c r="F82" s="538">
        <f t="shared" si="11"/>
        <v>481061</v>
      </c>
      <c r="G82" s="538">
        <f t="shared" si="11"/>
        <v>3467</v>
      </c>
      <c r="H82" s="538">
        <f t="shared" si="11"/>
        <v>-352948</v>
      </c>
      <c r="I82" s="538">
        <f t="shared" si="11"/>
        <v>74237</v>
      </c>
      <c r="J82" s="538">
        <f t="shared" si="11"/>
        <v>-196459</v>
      </c>
      <c r="K82" s="538">
        <f t="shared" si="11"/>
        <v>-1112890</v>
      </c>
    </row>
    <row r="83" spans="1:12" ht="14.25" hidden="1" thickTop="1" thickBot="1" x14ac:dyDescent="0.25">
      <c r="A83" s="539" t="s">
        <v>362</v>
      </c>
      <c r="B83" s="464"/>
      <c r="C83" s="540">
        <f>C82/C81</f>
        <v>0.43431862688785799</v>
      </c>
      <c r="D83" s="540">
        <f t="shared" ref="D83:K83" si="12">D82/D81</f>
        <v>0.24477667474078527</v>
      </c>
      <c r="E83" s="540">
        <f t="shared" si="12"/>
        <v>0.49728954081632654</v>
      </c>
      <c r="F83" s="540">
        <f t="shared" si="12"/>
        <v>0.40388130249896104</v>
      </c>
      <c r="G83" s="540">
        <f t="shared" si="12"/>
        <v>4.6548159286807552E-3</v>
      </c>
      <c r="H83" s="540">
        <f t="shared" si="12"/>
        <v>-2.3974676837593485</v>
      </c>
      <c r="I83" s="540">
        <f t="shared" si="12"/>
        <v>3.5532421533785642E-2</v>
      </c>
      <c r="J83" s="540">
        <f t="shared" si="12"/>
        <v>-1.3893650726298072</v>
      </c>
      <c r="K83" s="540">
        <f t="shared" si="12"/>
        <v>-0.72015494244662048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U34" sqref="U34"/>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1902</v>
      </c>
      <c r="B1" s="452"/>
      <c r="C1" s="453" t="s">
        <v>445</v>
      </c>
      <c r="D1" s="453" t="s">
        <v>446</v>
      </c>
      <c r="E1" s="453" t="s">
        <v>447</v>
      </c>
      <c r="F1" s="453" t="s">
        <v>448</v>
      </c>
      <c r="G1" s="453" t="s">
        <v>449</v>
      </c>
      <c r="H1" s="453" t="s">
        <v>450</v>
      </c>
      <c r="I1" s="453" t="s">
        <v>451</v>
      </c>
      <c r="J1" s="453" t="s">
        <v>452</v>
      </c>
      <c r="K1" s="453" t="s">
        <v>780</v>
      </c>
    </row>
    <row r="2" spans="1:12" ht="36" x14ac:dyDescent="0.2">
      <c r="A2" s="214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2907463</v>
      </c>
      <c r="D5" s="481">
        <v>904544</v>
      </c>
      <c r="E5" s="466">
        <v>905061</v>
      </c>
      <c r="F5" s="548">
        <v>258441</v>
      </c>
      <c r="G5" s="466">
        <v>224327</v>
      </c>
      <c r="H5" s="466"/>
      <c r="I5" s="466">
        <v>64610</v>
      </c>
      <c r="J5" s="467">
        <v>697662</v>
      </c>
      <c r="K5" s="466">
        <v>64610</v>
      </c>
    </row>
    <row r="6" spans="1:12" ht="15" x14ac:dyDescent="0.2">
      <c r="A6" s="463" t="s">
        <v>1761</v>
      </c>
      <c r="B6" s="470">
        <v>1130</v>
      </c>
      <c r="C6" s="466">
        <v>64610</v>
      </c>
      <c r="D6" s="466"/>
      <c r="E6" s="475"/>
      <c r="F6" s="475"/>
      <c r="G6" s="468"/>
      <c r="H6" s="468"/>
      <c r="I6" s="468"/>
      <c r="J6" s="468"/>
      <c r="K6" s="468"/>
    </row>
    <row r="7" spans="1:12" x14ac:dyDescent="0.2">
      <c r="A7" s="463" t="s">
        <v>112</v>
      </c>
      <c r="B7" s="549">
        <v>1140</v>
      </c>
      <c r="C7" s="466">
        <v>51688</v>
      </c>
      <c r="D7" s="466"/>
      <c r="E7" s="468"/>
      <c r="F7" s="467"/>
      <c r="G7" s="467"/>
      <c r="H7" s="467"/>
      <c r="I7" s="468"/>
      <c r="J7" s="468"/>
      <c r="K7" s="468"/>
    </row>
    <row r="8" spans="1:12" x14ac:dyDescent="0.2">
      <c r="A8" s="463" t="s">
        <v>433</v>
      </c>
      <c r="B8" s="470">
        <v>1150</v>
      </c>
      <c r="C8" s="475"/>
      <c r="D8" s="475"/>
      <c r="E8" s="477"/>
      <c r="F8" s="477"/>
      <c r="G8" s="481">
        <v>199387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3023761</v>
      </c>
      <c r="D12" s="1728">
        <f t="shared" si="0"/>
        <v>904544</v>
      </c>
      <c r="E12" s="1728">
        <f t="shared" si="0"/>
        <v>905061</v>
      </c>
      <c r="F12" s="1728">
        <f t="shared" si="0"/>
        <v>258441</v>
      </c>
      <c r="G12" s="1728">
        <f t="shared" si="0"/>
        <v>423714</v>
      </c>
      <c r="H12" s="1728">
        <f t="shared" si="0"/>
        <v>0</v>
      </c>
      <c r="I12" s="1728">
        <f t="shared" si="0"/>
        <v>64610</v>
      </c>
      <c r="J12" s="1728">
        <f t="shared" si="0"/>
        <v>697662</v>
      </c>
      <c r="K12" s="1709">
        <f t="shared" si="0"/>
        <v>64610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1575</v>
      </c>
      <c r="D14" s="466"/>
      <c r="E14" s="466"/>
      <c r="F14" s="466"/>
      <c r="G14" s="466"/>
      <c r="H14" s="466"/>
      <c r="I14" s="466"/>
      <c r="J14" s="467"/>
      <c r="K14" s="466"/>
    </row>
    <row r="15" spans="1:12" ht="12.75" customHeight="1" x14ac:dyDescent="0.2">
      <c r="A15" s="463" t="s">
        <v>97</v>
      </c>
      <c r="B15" s="470">
        <v>1220</v>
      </c>
      <c r="C15" s="551">
        <v>24840</v>
      </c>
      <c r="D15" s="466"/>
      <c r="E15" s="466"/>
      <c r="F15" s="466"/>
      <c r="G15" s="466"/>
      <c r="H15" s="466"/>
      <c r="I15" s="466"/>
      <c r="J15" s="467"/>
      <c r="K15" s="466"/>
    </row>
    <row r="16" spans="1:12" ht="15" customHeight="1" x14ac:dyDescent="0.2">
      <c r="A16" s="463" t="s">
        <v>1762</v>
      </c>
      <c r="B16" s="549">
        <v>1230</v>
      </c>
      <c r="C16" s="551"/>
      <c r="D16" s="466"/>
      <c r="E16" s="466"/>
      <c r="F16" s="466">
        <v>290208</v>
      </c>
      <c r="G16" s="466">
        <v>20000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26415</v>
      </c>
      <c r="D18" s="1731">
        <f t="shared" ref="D18:K18" si="1">SUM(D14:D17)</f>
        <v>0</v>
      </c>
      <c r="E18" s="1731">
        <f t="shared" si="1"/>
        <v>0</v>
      </c>
      <c r="F18" s="1731">
        <f t="shared" si="1"/>
        <v>290208</v>
      </c>
      <c r="G18" s="1731">
        <f t="shared" si="1"/>
        <v>20000</v>
      </c>
      <c r="H18" s="1731">
        <f t="shared" si="1"/>
        <v>0</v>
      </c>
      <c r="I18" s="1731">
        <f t="shared" si="1"/>
        <v>0</v>
      </c>
      <c r="J18" s="1731">
        <f t="shared" si="1"/>
        <v>0</v>
      </c>
      <c r="K18" s="1732">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500</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500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23009</v>
      </c>
      <c r="D65" s="466">
        <v>5764</v>
      </c>
      <c r="E65" s="466">
        <v>958</v>
      </c>
      <c r="F65" s="467">
        <v>2569</v>
      </c>
      <c r="G65" s="466">
        <v>4119</v>
      </c>
      <c r="H65" s="466">
        <v>1291</v>
      </c>
      <c r="I65" s="466">
        <v>9627</v>
      </c>
      <c r="J65" s="467">
        <v>2464</v>
      </c>
      <c r="K65" s="466">
        <v>8661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23009</v>
      </c>
      <c r="D67" s="1709">
        <f t="shared" ref="D67:K67" si="2">SUM(D65:D66)</f>
        <v>5764</v>
      </c>
      <c r="E67" s="1709">
        <f t="shared" si="2"/>
        <v>958</v>
      </c>
      <c r="F67" s="1709">
        <f t="shared" si="2"/>
        <v>2569</v>
      </c>
      <c r="G67" s="1709">
        <f t="shared" si="2"/>
        <v>4119</v>
      </c>
      <c r="H67" s="1709">
        <f t="shared" si="2"/>
        <v>1291</v>
      </c>
      <c r="I67" s="1709">
        <f t="shared" si="2"/>
        <v>9627</v>
      </c>
      <c r="J67" s="1709">
        <f t="shared" si="2"/>
        <v>2464</v>
      </c>
      <c r="K67" s="1709">
        <f t="shared" si="2"/>
        <v>8661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1981</v>
      </c>
      <c r="D69" s="468"/>
      <c r="E69" s="468"/>
      <c r="F69" s="468"/>
      <c r="G69" s="468"/>
      <c r="H69" s="468"/>
      <c r="I69" s="468"/>
      <c r="J69" s="468"/>
      <c r="K69" s="468"/>
    </row>
    <row r="70" spans="1:11" ht="12.75" customHeight="1" x14ac:dyDescent="0.2">
      <c r="A70" s="463" t="s">
        <v>1054</v>
      </c>
      <c r="B70" s="470">
        <v>1612</v>
      </c>
      <c r="C70" s="551">
        <v>347</v>
      </c>
      <c r="D70" s="468"/>
      <c r="E70" s="468"/>
      <c r="F70" s="468"/>
      <c r="G70" s="468"/>
      <c r="H70" s="468"/>
      <c r="I70" s="468"/>
      <c r="J70" s="468"/>
      <c r="K70" s="468"/>
    </row>
    <row r="71" spans="1:11" ht="12.75" customHeight="1" x14ac:dyDescent="0.2">
      <c r="A71" s="463" t="s">
        <v>291</v>
      </c>
      <c r="B71" s="470">
        <v>1613</v>
      </c>
      <c r="C71" s="551">
        <v>8246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1254</v>
      </c>
      <c r="D73" s="468"/>
      <c r="E73" s="468"/>
      <c r="F73" s="468"/>
      <c r="G73" s="468"/>
      <c r="H73" s="468"/>
      <c r="I73" s="468"/>
      <c r="J73" s="468"/>
      <c r="K73" s="468"/>
    </row>
    <row r="74" spans="1:11" ht="12.75" customHeight="1" x14ac:dyDescent="0.2">
      <c r="A74" s="463" t="s">
        <v>25</v>
      </c>
      <c r="B74" s="470">
        <v>1690</v>
      </c>
      <c r="C74" s="551">
        <v>21549</v>
      </c>
      <c r="D74" s="468"/>
      <c r="E74" s="468"/>
      <c r="F74" s="468"/>
      <c r="G74" s="468"/>
      <c r="H74" s="468"/>
      <c r="I74" s="468"/>
      <c r="J74" s="468"/>
      <c r="K74" s="468"/>
    </row>
    <row r="75" spans="1:11" ht="12.75" customHeight="1" thickBot="1" x14ac:dyDescent="0.25">
      <c r="A75" s="1729" t="s">
        <v>569</v>
      </c>
      <c r="B75" s="1730"/>
      <c r="C75" s="1709">
        <f>SUM(C69:C74)</f>
        <v>33377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25711</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155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20923</v>
      </c>
      <c r="D81" s="466"/>
      <c r="E81" s="468"/>
      <c r="F81" s="468"/>
      <c r="G81" s="468"/>
      <c r="H81" s="468"/>
      <c r="I81" s="468"/>
      <c r="J81" s="468"/>
      <c r="K81" s="468"/>
    </row>
    <row r="82" spans="1:11" ht="12.75" customHeight="1" thickBot="1" x14ac:dyDescent="0.25">
      <c r="A82" s="1729" t="s">
        <v>259</v>
      </c>
      <c r="B82" s="1730"/>
      <c r="C82" s="1728">
        <f>SUM(C77:C81)</f>
        <v>46789</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51810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v>1428</v>
      </c>
      <c r="D92" s="468"/>
      <c r="E92" s="468"/>
      <c r="F92" s="468"/>
      <c r="G92" s="468"/>
      <c r="H92" s="468"/>
      <c r="I92" s="468"/>
      <c r="J92" s="468"/>
      <c r="K92" s="468"/>
    </row>
    <row r="93" spans="1:11" ht="12.75" customHeight="1" thickBot="1" x14ac:dyDescent="0.25">
      <c r="A93" s="1729" t="s">
        <v>261</v>
      </c>
      <c r="B93" s="1730"/>
      <c r="C93" s="1709">
        <f>SUM(C84:C92)</f>
        <v>53238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53615</v>
      </c>
      <c r="E95" s="521"/>
      <c r="F95" s="521"/>
      <c r="G95" s="521"/>
      <c r="H95" s="521"/>
      <c r="I95" s="521"/>
      <c r="J95" s="521"/>
      <c r="K95" s="521"/>
    </row>
    <row r="96" spans="1:11" ht="12.75" customHeight="1" x14ac:dyDescent="0.2">
      <c r="A96" s="463" t="s">
        <v>409</v>
      </c>
      <c r="B96" s="470">
        <v>1920</v>
      </c>
      <c r="C96" s="551">
        <v>1358</v>
      </c>
      <c r="D96" s="551">
        <v>20648</v>
      </c>
      <c r="E96" s="479"/>
      <c r="F96" s="478"/>
      <c r="G96" s="478"/>
      <c r="H96" s="478">
        <v>410000</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213882</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2648</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604317</v>
      </c>
      <c r="I103" s="468"/>
      <c r="J103" s="510"/>
      <c r="K103" s="510"/>
    </row>
    <row r="104" spans="1:12" ht="12.75" customHeight="1" x14ac:dyDescent="0.2">
      <c r="A104" s="463" t="s">
        <v>885</v>
      </c>
      <c r="B104" s="470">
        <v>1991</v>
      </c>
      <c r="C104" s="489">
        <v>43746</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6876</v>
      </c>
      <c r="D107" s="466">
        <v>921</v>
      </c>
      <c r="E107" s="466"/>
      <c r="F107" s="466">
        <v>610</v>
      </c>
      <c r="G107" s="466">
        <v>215</v>
      </c>
      <c r="H107" s="466"/>
      <c r="I107" s="466"/>
      <c r="J107" s="467"/>
      <c r="K107" s="466"/>
    </row>
    <row r="108" spans="1:12" ht="12.75" customHeight="1" thickBot="1" x14ac:dyDescent="0.25">
      <c r="A108" s="1729" t="s">
        <v>508</v>
      </c>
      <c r="B108" s="1733"/>
      <c r="C108" s="1728">
        <f>SUM(C95:C107)</f>
        <v>268510</v>
      </c>
      <c r="D108" s="1728">
        <f t="shared" ref="D108:K108" si="3">SUM(D95:D107)</f>
        <v>75184</v>
      </c>
      <c r="E108" s="1728">
        <f t="shared" si="3"/>
        <v>0</v>
      </c>
      <c r="F108" s="1728">
        <f t="shared" si="3"/>
        <v>610</v>
      </c>
      <c r="G108" s="1728">
        <f t="shared" si="3"/>
        <v>215</v>
      </c>
      <c r="H108" s="1728">
        <f t="shared" si="3"/>
        <v>1014317</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3475099</v>
      </c>
      <c r="D109" s="1736">
        <f t="shared" si="4"/>
        <v>985492</v>
      </c>
      <c r="E109" s="1736">
        <f t="shared" si="4"/>
        <v>906019</v>
      </c>
      <c r="F109" s="1736">
        <f t="shared" si="4"/>
        <v>552328</v>
      </c>
      <c r="G109" s="1736">
        <f t="shared" si="4"/>
        <v>448048</v>
      </c>
      <c r="H109" s="1736">
        <f t="shared" si="4"/>
        <v>1015608</v>
      </c>
      <c r="I109" s="1736">
        <f t="shared" si="4"/>
        <v>74237</v>
      </c>
      <c r="J109" s="1736">
        <f t="shared" si="4"/>
        <v>700126</v>
      </c>
      <c r="K109" s="1723">
        <f t="shared" si="4"/>
        <v>73271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8015158</v>
      </c>
      <c r="D117" s="481">
        <v>112783</v>
      </c>
      <c r="E117" s="466"/>
      <c r="F117" s="481">
        <v>340700</v>
      </c>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8015158</v>
      </c>
      <c r="D121" s="1728">
        <f t="shared" si="5"/>
        <v>112783</v>
      </c>
      <c r="E121" s="1728">
        <f t="shared" si="5"/>
        <v>0</v>
      </c>
      <c r="F121" s="1728">
        <f t="shared" si="5"/>
        <v>340700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87430</v>
      </c>
      <c r="D124" s="561"/>
      <c r="E124" s="468"/>
      <c r="F124" s="548"/>
      <c r="G124" s="468"/>
      <c r="H124" s="468"/>
      <c r="I124" s="468"/>
      <c r="J124" s="468"/>
      <c r="K124" s="468"/>
    </row>
    <row r="125" spans="1:11" ht="12.75" customHeight="1" x14ac:dyDescent="0.2">
      <c r="A125" s="463" t="s">
        <v>1521</v>
      </c>
      <c r="B125" s="562">
        <v>3105</v>
      </c>
      <c r="C125" s="466">
        <v>115348</v>
      </c>
      <c r="D125" s="561"/>
      <c r="E125" s="468"/>
      <c r="F125" s="466"/>
      <c r="G125" s="468"/>
      <c r="H125" s="468"/>
      <c r="I125" s="468"/>
      <c r="J125" s="468"/>
      <c r="K125" s="468"/>
    </row>
    <row r="126" spans="1:11" ht="12.75" customHeight="1" x14ac:dyDescent="0.2">
      <c r="A126" s="463" t="s">
        <v>922</v>
      </c>
      <c r="B126" s="562">
        <v>3110</v>
      </c>
      <c r="C126" s="551">
        <v>46653</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1006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250437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22641</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8393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31034</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159674</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159674</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11956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30285</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356604</v>
      </c>
      <c r="G151" s="467"/>
      <c r="H151" s="468"/>
      <c r="I151" s="468"/>
      <c r="J151" s="468"/>
      <c r="K151" s="468"/>
    </row>
    <row r="152" spans="1:11" ht="12.75" customHeight="1" x14ac:dyDescent="0.2">
      <c r="A152" s="463" t="s">
        <v>1117</v>
      </c>
      <c r="B152" s="562">
        <v>3510</v>
      </c>
      <c r="C152" s="551"/>
      <c r="D152" s="466"/>
      <c r="E152" s="561"/>
      <c r="F152" s="466">
        <v>105754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462358</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599809</v>
      </c>
      <c r="D158" s="578"/>
      <c r="E158" s="561"/>
      <c r="F158" s="576">
        <v>97464</v>
      </c>
      <c r="G158" s="576">
        <v>28295</v>
      </c>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v>2218</v>
      </c>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3" t="s">
        <v>418</v>
      </c>
      <c r="B172" s="2164"/>
      <c r="C172" s="1743">
        <f t="shared" ref="C172:K172" si="6">SUM(C131,C140,C144,C145:C149,C154,C155:C170,C171)</f>
        <v>1085413</v>
      </c>
      <c r="D172" s="1743">
        <f t="shared" si="6"/>
        <v>0</v>
      </c>
      <c r="E172" s="1743">
        <f t="shared" si="6"/>
        <v>0</v>
      </c>
      <c r="F172" s="1743">
        <f t="shared" si="6"/>
        <v>559822</v>
      </c>
      <c r="G172" s="1743">
        <f t="shared" si="6"/>
        <v>28295</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9100571</v>
      </c>
      <c r="D173" s="1736">
        <f>SUM(D121,D172)</f>
        <v>112783</v>
      </c>
      <c r="E173" s="1736">
        <f>SUM(E121,E172)</f>
        <v>0</v>
      </c>
      <c r="F173" s="1736">
        <f t="shared" ref="F173:K173" si="7">SUM(F121,F172)</f>
        <v>900522</v>
      </c>
      <c r="G173" s="1736">
        <f t="shared" si="7"/>
        <v>28295</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5" t="s">
        <v>1572</v>
      </c>
      <c r="B175" s="2166"/>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9" t="s">
        <v>1764</v>
      </c>
      <c r="B178" s="2170"/>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3" t="s">
        <v>1763</v>
      </c>
      <c r="B179" s="2174"/>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1" t="s">
        <v>818</v>
      </c>
      <c r="B184" s="2172"/>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7" t="s">
        <v>1903</v>
      </c>
      <c r="B185" s="2168"/>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561</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561</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527386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177077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704463</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450015</v>
      </c>
      <c r="D203" s="466"/>
      <c r="E203" s="468"/>
      <c r="F203" s="466"/>
      <c r="G203" s="466">
        <v>8406</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450015</v>
      </c>
      <c r="D211" s="1728">
        <f>SUM(D203:D210)</f>
        <v>0</v>
      </c>
      <c r="E211" s="468"/>
      <c r="F211" s="1728">
        <f>SUM(F203:F210)</f>
        <v>0</v>
      </c>
      <c r="G211" s="1728">
        <f>SUM(G203:G210)</f>
        <v>8406</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15660</v>
      </c>
      <c r="D213" s="466"/>
      <c r="E213" s="468"/>
      <c r="F213" s="466"/>
      <c r="G213" s="466"/>
      <c r="H213" s="468"/>
      <c r="I213" s="468"/>
      <c r="J213" s="468"/>
      <c r="K213" s="468"/>
    </row>
    <row r="214" spans="1:11" ht="12.75" customHeight="1" x14ac:dyDescent="0.2">
      <c r="A214" s="463" t="s">
        <v>1528</v>
      </c>
      <c r="B214" s="470">
        <v>4421</v>
      </c>
      <c r="C214" s="551"/>
      <c r="D214" s="466"/>
      <c r="E214" s="468"/>
      <c r="F214" s="466">
        <v>8750</v>
      </c>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15660</v>
      </c>
      <c r="D216" s="1728">
        <f>SUM(D213:D215)</f>
        <v>0</v>
      </c>
      <c r="E216" s="468" t="s">
        <v>1231</v>
      </c>
      <c r="F216" s="1728">
        <f>SUM(F213:F215)</f>
        <v>8750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85396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85396</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135</v>
      </c>
      <c r="D227" s="466"/>
      <c r="E227" s="468"/>
      <c r="F227" s="468"/>
      <c r="G227" s="466"/>
      <c r="H227" s="468"/>
      <c r="I227" s="468"/>
      <c r="J227" s="468"/>
      <c r="K227" s="468"/>
    </row>
    <row r="228" spans="1:11" ht="12.75" customHeight="1" thickBot="1" x14ac:dyDescent="0.25">
      <c r="A228" s="1744" t="s">
        <v>1145</v>
      </c>
      <c r="B228" s="1745"/>
      <c r="C228" s="1728">
        <f>SUM(C226:C227)</f>
        <v>135</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v>2564</v>
      </c>
      <c r="D263" s="468"/>
      <c r="E263" s="468"/>
      <c r="F263" s="578"/>
      <c r="G263" s="573"/>
      <c r="H263" s="468"/>
      <c r="I263" s="468"/>
      <c r="J263" s="468"/>
      <c r="K263" s="468"/>
    </row>
    <row r="264" spans="1:11" ht="12.75" customHeight="1" thickTop="1" thickBot="1" x14ac:dyDescent="0.25">
      <c r="A264" s="463" t="s">
        <v>1532</v>
      </c>
      <c r="B264" s="470">
        <v>4909</v>
      </c>
      <c r="C264" s="576">
        <v>61351</v>
      </c>
      <c r="D264" s="468"/>
      <c r="E264" s="468"/>
      <c r="F264" s="576"/>
      <c r="G264" s="576">
        <v>291</v>
      </c>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98833</v>
      </c>
      <c r="D268" s="576"/>
      <c r="E268" s="468"/>
      <c r="F268" s="576"/>
      <c r="G268" s="576">
        <v>1323</v>
      </c>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v>8856</v>
      </c>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1418978</v>
      </c>
      <c r="D273" s="1736">
        <f t="shared" si="10"/>
        <v>0</v>
      </c>
      <c r="E273" s="1736">
        <f t="shared" si="10"/>
        <v>0</v>
      </c>
      <c r="F273" s="1736">
        <f t="shared" si="10"/>
        <v>17606</v>
      </c>
      <c r="G273" s="1736">
        <f t="shared" si="10"/>
        <v>10020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1418978</v>
      </c>
      <c r="D274" s="1736">
        <f>SUM(D178,D184,D273)</f>
        <v>0</v>
      </c>
      <c r="E274" s="1736">
        <f>SUM(E178,E273)</f>
        <v>0</v>
      </c>
      <c r="F274" s="1736">
        <f t="shared" ref="F274:K274" si="11">SUM(F178,F184,F273)</f>
        <v>17606</v>
      </c>
      <c r="G274" s="1736">
        <f t="shared" si="11"/>
        <v>10020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13994648</v>
      </c>
      <c r="D275" s="1736">
        <f t="shared" si="12"/>
        <v>1098275</v>
      </c>
      <c r="E275" s="1736">
        <f t="shared" si="12"/>
        <v>906019</v>
      </c>
      <c r="F275" s="1736">
        <f t="shared" si="12"/>
        <v>1470456</v>
      </c>
      <c r="G275" s="1736">
        <f t="shared" si="12"/>
        <v>486363</v>
      </c>
      <c r="H275" s="1736">
        <f t="shared" si="12"/>
        <v>1015608</v>
      </c>
      <c r="I275" s="1736">
        <f t="shared" si="12"/>
        <v>74237</v>
      </c>
      <c r="J275" s="1736">
        <f t="shared" si="12"/>
        <v>700126</v>
      </c>
      <c r="K275" s="1723">
        <f t="shared" si="12"/>
        <v>73271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39" activePane="bottomLeft" state="frozen"/>
      <selection activeCell="U34" sqref="U34"/>
      <selection pane="bottomLeft" activeCell="U34" sqref="U3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4461696</v>
      </c>
      <c r="D5" s="466">
        <v>596707</v>
      </c>
      <c r="E5" s="466">
        <v>70375</v>
      </c>
      <c r="F5" s="466">
        <v>258683</v>
      </c>
      <c r="G5" s="466">
        <v>3536</v>
      </c>
      <c r="H5" s="466"/>
      <c r="I5" s="467"/>
      <c r="J5" s="467"/>
      <c r="K5" s="1692">
        <f>SUM(C5:J5)</f>
        <v>5390997</v>
      </c>
      <c r="L5" s="466">
        <v>5665484</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v>233560</v>
      </c>
      <c r="D7" s="467">
        <v>27989</v>
      </c>
      <c r="E7" s="467">
        <v>4423</v>
      </c>
      <c r="F7" s="467">
        <v>20676</v>
      </c>
      <c r="G7" s="467">
        <v>1450</v>
      </c>
      <c r="H7" s="467"/>
      <c r="I7" s="467"/>
      <c r="J7" s="467"/>
      <c r="K7" s="1692">
        <f t="shared" ref="K7:K32" si="0">SUM(C7:J7)</f>
        <v>288098</v>
      </c>
      <c r="L7" s="466">
        <v>282138</v>
      </c>
    </row>
    <row r="8" spans="1:14" x14ac:dyDescent="0.2">
      <c r="A8" s="1526" t="s">
        <v>166</v>
      </c>
      <c r="B8" s="615">
        <v>1200</v>
      </c>
      <c r="C8" s="466">
        <v>563672</v>
      </c>
      <c r="D8" s="466">
        <v>65984</v>
      </c>
      <c r="E8" s="466">
        <v>21456</v>
      </c>
      <c r="F8" s="466">
        <v>35219</v>
      </c>
      <c r="G8" s="466"/>
      <c r="H8" s="466"/>
      <c r="I8" s="467"/>
      <c r="J8" s="467"/>
      <c r="K8" s="1692">
        <f t="shared" si="0"/>
        <v>686331</v>
      </c>
      <c r="L8" s="466">
        <v>688675</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213533</v>
      </c>
      <c r="D10" s="466">
        <v>53316</v>
      </c>
      <c r="E10" s="466">
        <v>48666</v>
      </c>
      <c r="F10" s="466">
        <v>24646</v>
      </c>
      <c r="G10" s="466">
        <v>2084</v>
      </c>
      <c r="H10" s="466"/>
      <c r="I10" s="467"/>
      <c r="J10" s="467"/>
      <c r="K10" s="1692">
        <f t="shared" si="0"/>
        <v>342245</v>
      </c>
      <c r="L10" s="466">
        <v>351519</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v>217391</v>
      </c>
      <c r="D13" s="466">
        <v>31645</v>
      </c>
      <c r="E13" s="466"/>
      <c r="F13" s="466"/>
      <c r="G13" s="466"/>
      <c r="H13" s="466"/>
      <c r="I13" s="467"/>
      <c r="J13" s="467"/>
      <c r="K13" s="1692">
        <f t="shared" si="0"/>
        <v>249036</v>
      </c>
      <c r="L13" s="466">
        <v>272108</v>
      </c>
    </row>
    <row r="14" spans="1:14" x14ac:dyDescent="0.2">
      <c r="A14" s="1526" t="s">
        <v>1020</v>
      </c>
      <c r="B14" s="615">
        <v>1500</v>
      </c>
      <c r="C14" s="466">
        <v>203923</v>
      </c>
      <c r="D14" s="466">
        <v>2241</v>
      </c>
      <c r="E14" s="466">
        <v>38626</v>
      </c>
      <c r="F14" s="466">
        <v>42912</v>
      </c>
      <c r="G14" s="466"/>
      <c r="H14" s="466">
        <v>21350</v>
      </c>
      <c r="I14" s="467"/>
      <c r="J14" s="467"/>
      <c r="K14" s="1692">
        <f t="shared" si="0"/>
        <v>309052</v>
      </c>
      <c r="L14" s="466">
        <v>361819</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v>41023</v>
      </c>
      <c r="D17" s="467">
        <v>3974</v>
      </c>
      <c r="E17" s="467"/>
      <c r="F17" s="467">
        <v>842</v>
      </c>
      <c r="G17" s="467"/>
      <c r="H17" s="467"/>
      <c r="I17" s="467"/>
      <c r="J17" s="467"/>
      <c r="K17" s="1692">
        <f t="shared" si="0"/>
        <v>45839</v>
      </c>
      <c r="L17" s="466">
        <v>46630</v>
      </c>
    </row>
    <row r="18" spans="1:12" x14ac:dyDescent="0.2">
      <c r="A18" s="1526" t="s">
        <v>1148</v>
      </c>
      <c r="B18" s="615">
        <v>1800</v>
      </c>
      <c r="C18" s="466">
        <v>8107</v>
      </c>
      <c r="D18" s="466">
        <v>9</v>
      </c>
      <c r="E18" s="466"/>
      <c r="F18" s="466">
        <v>26603</v>
      </c>
      <c r="G18" s="466"/>
      <c r="H18" s="466"/>
      <c r="I18" s="467"/>
      <c r="J18" s="467"/>
      <c r="K18" s="1692">
        <f t="shared" si="0"/>
        <v>34719</v>
      </c>
      <c r="L18" s="466">
        <v>20105</v>
      </c>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v>272162</v>
      </c>
      <c r="I22" s="617"/>
      <c r="J22" s="477"/>
      <c r="K22" s="1692">
        <f t="shared" si="0"/>
        <v>272162</v>
      </c>
      <c r="L22" s="471">
        <v>285000</v>
      </c>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5942905</v>
      </c>
      <c r="D33" s="1691">
        <f t="shared" ref="D33:L33" si="1">SUM(D5:D32)</f>
        <v>781865</v>
      </c>
      <c r="E33" s="1691">
        <f t="shared" si="1"/>
        <v>183546</v>
      </c>
      <c r="F33" s="1691">
        <f t="shared" si="1"/>
        <v>409581</v>
      </c>
      <c r="G33" s="1691">
        <f t="shared" si="1"/>
        <v>7070</v>
      </c>
      <c r="H33" s="1691">
        <f t="shared" si="1"/>
        <v>293512</v>
      </c>
      <c r="I33" s="1691">
        <f t="shared" si="1"/>
        <v>0</v>
      </c>
      <c r="J33" s="1691">
        <f t="shared" si="1"/>
        <v>0</v>
      </c>
      <c r="K33" s="1691">
        <f t="shared" si="1"/>
        <v>7618479</v>
      </c>
      <c r="L33" s="1691">
        <f t="shared" si="1"/>
        <v>7973478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32728</v>
      </c>
      <c r="D36" s="481">
        <v>5406</v>
      </c>
      <c r="E36" s="481"/>
      <c r="F36" s="481"/>
      <c r="G36" s="481"/>
      <c r="H36" s="481"/>
      <c r="I36" s="467"/>
      <c r="J36" s="467"/>
      <c r="K36" s="1692">
        <f t="shared" ref="K36:K41" si="2">SUM(C36:J36)</f>
        <v>38134</v>
      </c>
      <c r="L36" s="466">
        <v>55498</v>
      </c>
    </row>
    <row r="37" spans="1:14" x14ac:dyDescent="0.2">
      <c r="A37" s="1526" t="s">
        <v>1151</v>
      </c>
      <c r="B37" s="615">
        <v>2120</v>
      </c>
      <c r="C37" s="466">
        <v>251635</v>
      </c>
      <c r="D37" s="466">
        <v>44231</v>
      </c>
      <c r="E37" s="466"/>
      <c r="F37" s="466"/>
      <c r="G37" s="466"/>
      <c r="H37" s="466"/>
      <c r="I37" s="467"/>
      <c r="J37" s="467"/>
      <c r="K37" s="1692">
        <f t="shared" si="2"/>
        <v>295866</v>
      </c>
      <c r="L37" s="466">
        <v>295041</v>
      </c>
    </row>
    <row r="38" spans="1:14" x14ac:dyDescent="0.2">
      <c r="A38" s="1526" t="s">
        <v>207</v>
      </c>
      <c r="B38" s="615">
        <v>2130</v>
      </c>
      <c r="C38" s="466">
        <v>17624</v>
      </c>
      <c r="D38" s="466">
        <v>3196</v>
      </c>
      <c r="E38" s="466">
        <v>615</v>
      </c>
      <c r="F38" s="466">
        <v>2212</v>
      </c>
      <c r="G38" s="466"/>
      <c r="H38" s="466"/>
      <c r="I38" s="467"/>
      <c r="J38" s="467"/>
      <c r="K38" s="1692">
        <f t="shared" si="2"/>
        <v>23647</v>
      </c>
      <c r="L38" s="466">
        <v>24485</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301987</v>
      </c>
      <c r="D42" s="1691">
        <f t="shared" ref="D42:L42" si="3">SUM(D36:D41)</f>
        <v>52833</v>
      </c>
      <c r="E42" s="1691">
        <f t="shared" si="3"/>
        <v>615</v>
      </c>
      <c r="F42" s="1691">
        <f t="shared" si="3"/>
        <v>2212</v>
      </c>
      <c r="G42" s="1691">
        <f t="shared" si="3"/>
        <v>0</v>
      </c>
      <c r="H42" s="1691">
        <f t="shared" si="3"/>
        <v>0</v>
      </c>
      <c r="I42" s="1691">
        <f t="shared" si="3"/>
        <v>0</v>
      </c>
      <c r="J42" s="1691">
        <f t="shared" si="3"/>
        <v>0</v>
      </c>
      <c r="K42" s="1691">
        <f t="shared" si="3"/>
        <v>357647</v>
      </c>
      <c r="L42" s="1691">
        <f t="shared" si="3"/>
        <v>375024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6975</v>
      </c>
      <c r="D44" s="481">
        <v>610</v>
      </c>
      <c r="E44" s="481">
        <v>65704</v>
      </c>
      <c r="F44" s="481">
        <v>150</v>
      </c>
      <c r="G44" s="481"/>
      <c r="H44" s="481"/>
      <c r="I44" s="467"/>
      <c r="J44" s="467"/>
      <c r="K44" s="1693">
        <f>SUM(C44:J44)</f>
        <v>73439</v>
      </c>
      <c r="L44" s="481">
        <v>162182</v>
      </c>
    </row>
    <row r="45" spans="1:14" x14ac:dyDescent="0.2">
      <c r="A45" s="1526" t="s">
        <v>869</v>
      </c>
      <c r="B45" s="615">
        <v>2220</v>
      </c>
      <c r="C45" s="466"/>
      <c r="D45" s="466"/>
      <c r="E45" s="466">
        <v>51624</v>
      </c>
      <c r="F45" s="466">
        <v>118348</v>
      </c>
      <c r="G45" s="466">
        <v>50298</v>
      </c>
      <c r="H45" s="466"/>
      <c r="I45" s="467"/>
      <c r="J45" s="467"/>
      <c r="K45" s="1693">
        <f>SUM(C45:J45)</f>
        <v>220270</v>
      </c>
      <c r="L45" s="466">
        <v>234950</v>
      </c>
    </row>
    <row r="46" spans="1:14" x14ac:dyDescent="0.2">
      <c r="A46" s="1526" t="s">
        <v>870</v>
      </c>
      <c r="B46" s="615">
        <v>2230</v>
      </c>
      <c r="C46" s="466"/>
      <c r="D46" s="466"/>
      <c r="E46" s="466"/>
      <c r="F46" s="466">
        <v>9475</v>
      </c>
      <c r="G46" s="466"/>
      <c r="H46" s="466"/>
      <c r="I46" s="467"/>
      <c r="J46" s="467"/>
      <c r="K46" s="1693">
        <f>SUM(C46:J46)</f>
        <v>9475</v>
      </c>
      <c r="L46" s="466"/>
    </row>
    <row r="47" spans="1:14" ht="12.75" customHeight="1" thickBot="1" x14ac:dyDescent="0.25">
      <c r="A47" s="1689" t="s">
        <v>582</v>
      </c>
      <c r="B47" s="1690" t="s">
        <v>32</v>
      </c>
      <c r="C47" s="1691">
        <f>SUM(C44:C46)</f>
        <v>6975</v>
      </c>
      <c r="D47" s="1691">
        <f t="shared" ref="D47:K47" si="4">SUM(D44:D46)</f>
        <v>610</v>
      </c>
      <c r="E47" s="1691">
        <f t="shared" si="4"/>
        <v>117328</v>
      </c>
      <c r="F47" s="1691">
        <f t="shared" si="4"/>
        <v>127973</v>
      </c>
      <c r="G47" s="1691">
        <f t="shared" si="4"/>
        <v>50298</v>
      </c>
      <c r="H47" s="1691">
        <f t="shared" si="4"/>
        <v>0</v>
      </c>
      <c r="I47" s="1691">
        <f t="shared" si="4"/>
        <v>0</v>
      </c>
      <c r="J47" s="1691">
        <f t="shared" si="4"/>
        <v>0</v>
      </c>
      <c r="K47" s="1691">
        <f t="shared" si="4"/>
        <v>303184</v>
      </c>
      <c r="L47" s="1691">
        <f>SUM(L44:L46)</f>
        <v>397132</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6500</v>
      </c>
      <c r="D49" s="481">
        <v>18628</v>
      </c>
      <c r="E49" s="481">
        <v>37224</v>
      </c>
      <c r="F49" s="481">
        <v>5129</v>
      </c>
      <c r="G49" s="481"/>
      <c r="H49" s="481">
        <v>5155</v>
      </c>
      <c r="I49" s="467"/>
      <c r="J49" s="467"/>
      <c r="K49" s="1693">
        <f>SUM(C49:J49)</f>
        <v>72636</v>
      </c>
      <c r="L49" s="481">
        <v>86000</v>
      </c>
    </row>
    <row r="50" spans="1:14" x14ac:dyDescent="0.2">
      <c r="A50" s="1526" t="s">
        <v>872</v>
      </c>
      <c r="B50" s="615">
        <v>2320</v>
      </c>
      <c r="C50" s="466">
        <v>205651</v>
      </c>
      <c r="D50" s="466">
        <v>24742</v>
      </c>
      <c r="E50" s="466">
        <v>10787</v>
      </c>
      <c r="F50" s="466">
        <v>8588</v>
      </c>
      <c r="G50" s="466"/>
      <c r="H50" s="466">
        <v>4591</v>
      </c>
      <c r="I50" s="467"/>
      <c r="J50" s="467"/>
      <c r="K50" s="1693">
        <f>SUM(C50:J50)</f>
        <v>254359</v>
      </c>
      <c r="L50" s="466">
        <v>249965</v>
      </c>
    </row>
    <row r="51" spans="1:14" x14ac:dyDescent="0.2">
      <c r="A51" s="1526" t="s">
        <v>44</v>
      </c>
      <c r="B51" s="615">
        <v>2330</v>
      </c>
      <c r="C51" s="466"/>
      <c r="D51" s="466"/>
      <c r="E51" s="466">
        <v>599</v>
      </c>
      <c r="F51" s="466"/>
      <c r="G51" s="466"/>
      <c r="H51" s="466"/>
      <c r="I51" s="467"/>
      <c r="J51" s="467"/>
      <c r="K51" s="1693">
        <f>SUM(C51:J51)</f>
        <v>599</v>
      </c>
      <c r="L51" s="466">
        <v>600</v>
      </c>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212151</v>
      </c>
      <c r="D53" s="1691">
        <f t="shared" ref="D53:L53" si="5">SUM(D49:D52)</f>
        <v>43370</v>
      </c>
      <c r="E53" s="1691">
        <f t="shared" si="5"/>
        <v>48610</v>
      </c>
      <c r="F53" s="1691">
        <f t="shared" si="5"/>
        <v>13717</v>
      </c>
      <c r="G53" s="1691">
        <f t="shared" si="5"/>
        <v>0</v>
      </c>
      <c r="H53" s="1691">
        <f t="shared" si="5"/>
        <v>9746</v>
      </c>
      <c r="I53" s="1691">
        <f t="shared" si="5"/>
        <v>0</v>
      </c>
      <c r="J53" s="1691">
        <f t="shared" si="5"/>
        <v>0</v>
      </c>
      <c r="K53" s="1691">
        <f t="shared" si="5"/>
        <v>327594</v>
      </c>
      <c r="L53" s="1691">
        <f t="shared" si="5"/>
        <v>336565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834377</v>
      </c>
      <c r="D55" s="481">
        <v>87802</v>
      </c>
      <c r="E55" s="481">
        <v>1389</v>
      </c>
      <c r="F55" s="481">
        <v>43444</v>
      </c>
      <c r="G55" s="481"/>
      <c r="H55" s="481">
        <v>5144</v>
      </c>
      <c r="I55" s="467"/>
      <c r="J55" s="467"/>
      <c r="K55" s="1693">
        <f>SUM(C55:J55)</f>
        <v>972156</v>
      </c>
      <c r="L55" s="481">
        <v>959397</v>
      </c>
    </row>
    <row r="56" spans="1:14" ht="12.75" customHeight="1" x14ac:dyDescent="0.2">
      <c r="A56" s="1530"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834377</v>
      </c>
      <c r="D57" s="1695">
        <f t="shared" ref="D57:K57" si="6">SUM(D55:D56)</f>
        <v>87802</v>
      </c>
      <c r="E57" s="1695">
        <f t="shared" si="6"/>
        <v>1389</v>
      </c>
      <c r="F57" s="1695">
        <f t="shared" si="6"/>
        <v>43444</v>
      </c>
      <c r="G57" s="1695">
        <f t="shared" si="6"/>
        <v>0</v>
      </c>
      <c r="H57" s="1695">
        <f t="shared" si="6"/>
        <v>5144</v>
      </c>
      <c r="I57" s="1695">
        <f t="shared" si="6"/>
        <v>0</v>
      </c>
      <c r="J57" s="1695">
        <f t="shared" si="6"/>
        <v>0</v>
      </c>
      <c r="K57" s="1695">
        <f t="shared" si="6"/>
        <v>972156</v>
      </c>
      <c r="L57" s="1691">
        <f>SUM(L55:L56)</f>
        <v>959397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6" t="s">
        <v>483</v>
      </c>
      <c r="B60" s="615">
        <v>2520</v>
      </c>
      <c r="C60" s="466">
        <v>73960</v>
      </c>
      <c r="D60" s="466">
        <v>7156</v>
      </c>
      <c r="E60" s="466">
        <v>3681</v>
      </c>
      <c r="F60" s="466">
        <v>696</v>
      </c>
      <c r="G60" s="466"/>
      <c r="H60" s="466"/>
      <c r="I60" s="467"/>
      <c r="J60" s="467"/>
      <c r="K60" s="1693">
        <f t="shared" si="7"/>
        <v>85493</v>
      </c>
      <c r="L60" s="466">
        <v>86168</v>
      </c>
      <c r="M60" s="610"/>
      <c r="N60" s="610"/>
    </row>
    <row r="61" spans="1:14" s="343" customFormat="1" x14ac:dyDescent="0.2">
      <c r="A61" s="1526" t="s">
        <v>206</v>
      </c>
      <c r="B61" s="615">
        <v>2540</v>
      </c>
      <c r="C61" s="466">
        <v>286806</v>
      </c>
      <c r="D61" s="466">
        <v>34774</v>
      </c>
      <c r="E61" s="466">
        <v>4234</v>
      </c>
      <c r="F61" s="466"/>
      <c r="G61" s="466">
        <v>88100</v>
      </c>
      <c r="H61" s="466"/>
      <c r="I61" s="467"/>
      <c r="J61" s="467"/>
      <c r="K61" s="1693">
        <f t="shared" si="7"/>
        <v>413914</v>
      </c>
      <c r="L61" s="466">
        <v>293415</v>
      </c>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303585</v>
      </c>
      <c r="D63" s="466">
        <v>12895</v>
      </c>
      <c r="E63" s="466">
        <v>14985</v>
      </c>
      <c r="F63" s="466">
        <v>350371</v>
      </c>
      <c r="G63" s="466">
        <v>788</v>
      </c>
      <c r="H63" s="466">
        <v>725</v>
      </c>
      <c r="I63" s="467"/>
      <c r="J63" s="467"/>
      <c r="K63" s="1693">
        <f t="shared" si="7"/>
        <v>683349</v>
      </c>
      <c r="L63" s="466">
        <v>766536</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664351</v>
      </c>
      <c r="D65" s="1691">
        <f t="shared" ref="D65:L65" si="8">SUM(D59:D64)</f>
        <v>54825</v>
      </c>
      <c r="E65" s="1691">
        <f t="shared" si="8"/>
        <v>22900</v>
      </c>
      <c r="F65" s="1691">
        <f t="shared" si="8"/>
        <v>351067</v>
      </c>
      <c r="G65" s="1691">
        <f t="shared" si="8"/>
        <v>88888</v>
      </c>
      <c r="H65" s="1691">
        <f t="shared" si="8"/>
        <v>725</v>
      </c>
      <c r="I65" s="1691">
        <f t="shared" si="8"/>
        <v>0</v>
      </c>
      <c r="J65" s="1691">
        <f t="shared" si="8"/>
        <v>0</v>
      </c>
      <c r="K65" s="1691">
        <f t="shared" si="8"/>
        <v>1182756</v>
      </c>
      <c r="L65" s="1691">
        <f t="shared" si="8"/>
        <v>1146119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c r="D69" s="466"/>
      <c r="E69" s="466"/>
      <c r="F69" s="466"/>
      <c r="G69" s="466"/>
      <c r="H69" s="466"/>
      <c r="I69" s="467"/>
      <c r="J69" s="467"/>
      <c r="K69" s="1693">
        <f>SUM(C69:J69)</f>
        <v>0</v>
      </c>
      <c r="L69" s="466"/>
      <c r="M69" s="610"/>
      <c r="N69" s="610"/>
    </row>
    <row r="70" spans="1:14" s="343" customFormat="1" x14ac:dyDescent="0.2">
      <c r="A70" s="1526" t="s">
        <v>423</v>
      </c>
      <c r="B70" s="615">
        <v>2640</v>
      </c>
      <c r="C70" s="466"/>
      <c r="D70" s="466"/>
      <c r="E70" s="466">
        <v>8907</v>
      </c>
      <c r="F70" s="466"/>
      <c r="G70" s="466"/>
      <c r="H70" s="466"/>
      <c r="I70" s="467"/>
      <c r="J70" s="467"/>
      <c r="K70" s="1693">
        <f>SUM(C70:J70)</f>
        <v>8907</v>
      </c>
      <c r="L70" s="466">
        <v>8311</v>
      </c>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8907</v>
      </c>
      <c r="F72" s="1691">
        <f t="shared" si="9"/>
        <v>0</v>
      </c>
      <c r="G72" s="1691">
        <f t="shared" si="9"/>
        <v>0</v>
      </c>
      <c r="H72" s="1691">
        <f t="shared" si="9"/>
        <v>0</v>
      </c>
      <c r="I72" s="1691">
        <f t="shared" si="9"/>
        <v>0</v>
      </c>
      <c r="J72" s="1691">
        <f t="shared" si="9"/>
        <v>0</v>
      </c>
      <c r="K72" s="1691">
        <f t="shared" si="9"/>
        <v>8907</v>
      </c>
      <c r="L72" s="1691">
        <f>SUM(L67:L71)</f>
        <v>8311</v>
      </c>
      <c r="M72" s="610"/>
      <c r="N72" s="610"/>
    </row>
    <row r="73" spans="1:14" s="343" customFormat="1" ht="14.25" thickTop="1" thickBot="1" x14ac:dyDescent="0.25">
      <c r="A73" s="1532" t="s">
        <v>1037</v>
      </c>
      <c r="B73" s="633" t="s">
        <v>595</v>
      </c>
      <c r="C73" s="573">
        <v>83689</v>
      </c>
      <c r="D73" s="573">
        <v>7156</v>
      </c>
      <c r="E73" s="573"/>
      <c r="F73" s="573"/>
      <c r="G73" s="573"/>
      <c r="H73" s="573"/>
      <c r="I73" s="531"/>
      <c r="J73" s="531"/>
      <c r="K73" s="1691">
        <f>SUM(C73:J73)</f>
        <v>90845</v>
      </c>
      <c r="L73" s="576">
        <v>90630</v>
      </c>
      <c r="M73" s="610"/>
      <c r="N73" s="610"/>
    </row>
    <row r="74" spans="1:14" ht="12.75" customHeight="1" thickTop="1" thickBot="1" x14ac:dyDescent="0.25">
      <c r="A74" s="1689" t="s">
        <v>865</v>
      </c>
      <c r="B74" s="1697">
        <v>2000</v>
      </c>
      <c r="C74" s="1698">
        <f>SUM(C42,C47,C53,C57,C65,C72,C73)</f>
        <v>2103530</v>
      </c>
      <c r="D74" s="1698">
        <f t="shared" ref="D74:K74" si="10">SUM(D42,D47,D53,D57,D65,D72,D73)</f>
        <v>246596</v>
      </c>
      <c r="E74" s="1698">
        <f t="shared" si="10"/>
        <v>199749</v>
      </c>
      <c r="F74" s="1698">
        <f t="shared" si="10"/>
        <v>538413</v>
      </c>
      <c r="G74" s="1698">
        <f t="shared" si="10"/>
        <v>139186</v>
      </c>
      <c r="H74" s="1698">
        <f t="shared" si="10"/>
        <v>15615</v>
      </c>
      <c r="I74" s="1698">
        <f t="shared" si="10"/>
        <v>0</v>
      </c>
      <c r="J74" s="1698">
        <f t="shared" si="10"/>
        <v>0</v>
      </c>
      <c r="K74" s="1698">
        <f t="shared" si="10"/>
        <v>3243089</v>
      </c>
      <c r="L74" s="1698">
        <f>SUM(L42,L47,L53,L57,L65,L72,L73)</f>
        <v>3313178</v>
      </c>
    </row>
    <row r="75" spans="1:14" s="259" customFormat="1" ht="15.75" customHeight="1" thickTop="1" thickBot="1" x14ac:dyDescent="0.25">
      <c r="A75" s="1632" t="s">
        <v>49</v>
      </c>
      <c r="B75" s="1633" t="s">
        <v>596</v>
      </c>
      <c r="C75" s="573">
        <v>9315</v>
      </c>
      <c r="D75" s="573">
        <v>709</v>
      </c>
      <c r="E75" s="573">
        <v>24249</v>
      </c>
      <c r="F75" s="573">
        <v>3495</v>
      </c>
      <c r="G75" s="573">
        <v>1724</v>
      </c>
      <c r="H75" s="573">
        <v>280</v>
      </c>
      <c r="I75" s="531"/>
      <c r="J75" s="531"/>
      <c r="K75" s="1691">
        <f>SUM(C75:J75)</f>
        <v>39772</v>
      </c>
      <c r="L75" s="576">
        <v>36951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5000</v>
      </c>
      <c r="I78" s="477"/>
      <c r="J78" s="477"/>
      <c r="K78" s="1692">
        <f t="shared" ref="K78:K83" si="11">SUM(C78:J78)</f>
        <v>5000</v>
      </c>
      <c r="L78" s="481">
        <v>5000</v>
      </c>
    </row>
    <row r="79" spans="1:14" x14ac:dyDescent="0.2">
      <c r="A79" s="1526" t="s">
        <v>322</v>
      </c>
      <c r="B79" s="615">
        <v>4120</v>
      </c>
      <c r="C79" s="617"/>
      <c r="D79" s="617"/>
      <c r="E79" s="466">
        <v>436960</v>
      </c>
      <c r="F79" s="617"/>
      <c r="G79" s="617"/>
      <c r="H79" s="466"/>
      <c r="I79" s="477"/>
      <c r="J79" s="477"/>
      <c r="K79" s="1692">
        <f t="shared" si="11"/>
        <v>436960</v>
      </c>
      <c r="L79" s="466">
        <v>718144</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v>2793</v>
      </c>
      <c r="I83" s="477"/>
      <c r="J83" s="477"/>
      <c r="K83" s="1692">
        <f t="shared" si="11"/>
        <v>2793</v>
      </c>
      <c r="L83" s="466"/>
    </row>
    <row r="84" spans="1:12" ht="13.5" thickBot="1" x14ac:dyDescent="0.25">
      <c r="A84" s="1689" t="s">
        <v>1565</v>
      </c>
      <c r="B84" s="1699">
        <v>4100</v>
      </c>
      <c r="C84" s="617"/>
      <c r="D84" s="617"/>
      <c r="E84" s="1691">
        <f>SUM(E78:E83)</f>
        <v>436960</v>
      </c>
      <c r="F84" s="617"/>
      <c r="G84" s="617"/>
      <c r="H84" s="1691">
        <f>SUM(H78:H83)</f>
        <v>7793</v>
      </c>
      <c r="I84" s="477"/>
      <c r="J84" s="477"/>
      <c r="K84" s="1691">
        <f>SUM(K78:K83)</f>
        <v>444753</v>
      </c>
      <c r="L84" s="1691">
        <f>SUM(L78:L83)</f>
        <v>723144</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8500</v>
      </c>
      <c r="I86" s="477"/>
      <c r="J86" s="477"/>
      <c r="K86" s="1698">
        <f t="shared" ref="K86:K98" si="12">H86</f>
        <v>8500</v>
      </c>
      <c r="L86" s="530">
        <v>29654</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v>10833</v>
      </c>
      <c r="I88" s="477"/>
      <c r="J88" s="477"/>
      <c r="K88" s="1698">
        <f t="shared" si="12"/>
        <v>10833</v>
      </c>
      <c r="L88" s="530">
        <v>14500</v>
      </c>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19333</v>
      </c>
      <c r="I92" s="477"/>
      <c r="J92" s="477"/>
      <c r="K92" s="1698">
        <f t="shared" si="12"/>
        <v>19333</v>
      </c>
      <c r="L92" s="1691">
        <f>SUM(L85:L91)</f>
        <v>44154</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436960</v>
      </c>
      <c r="F102" s="617"/>
      <c r="G102" s="617"/>
      <c r="H102" s="1698">
        <f>SUM(H84,H92,H100,H101)</f>
        <v>27126</v>
      </c>
      <c r="I102" s="477"/>
      <c r="J102" s="477"/>
      <c r="K102" s="1698">
        <f>SUM(K84,K92,K100,K101)</f>
        <v>464086</v>
      </c>
      <c r="L102" s="1698">
        <f>SUM(L84,L92,L100,L101)</f>
        <v>767298</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v>566</v>
      </c>
      <c r="I111" s="468"/>
      <c r="J111" s="468"/>
      <c r="K111" s="1704">
        <f>H111</f>
        <v>566</v>
      </c>
      <c r="L111" s="532">
        <v>566</v>
      </c>
      <c r="M111" s="210"/>
      <c r="N111" s="210"/>
    </row>
    <row r="112" spans="1:14" s="598" customFormat="1" ht="12.75" customHeight="1" thickTop="1" thickBot="1" x14ac:dyDescent="0.25">
      <c r="A112" s="1689" t="s">
        <v>659</v>
      </c>
      <c r="B112" s="1690" t="s">
        <v>513</v>
      </c>
      <c r="C112" s="617"/>
      <c r="D112" s="617"/>
      <c r="E112" s="617"/>
      <c r="F112" s="617"/>
      <c r="G112" s="617"/>
      <c r="H112" s="1691">
        <f>SUM(H110:H111)</f>
        <v>566</v>
      </c>
      <c r="I112" s="468"/>
      <c r="J112" s="468"/>
      <c r="K112" s="1691">
        <f>SUM(K110:K111)</f>
        <v>566</v>
      </c>
      <c r="L112" s="1698">
        <f>SUM(L110,L111)</f>
        <v>566</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45000</v>
      </c>
      <c r="M113" s="614"/>
      <c r="N113" s="614"/>
    </row>
    <row r="114" spans="1:14" ht="12.75" customHeight="1" thickTop="1" thickBot="1" x14ac:dyDescent="0.25">
      <c r="A114" s="1689" t="s">
        <v>50</v>
      </c>
      <c r="B114" s="1703"/>
      <c r="C114" s="1691">
        <f>SUM(C33,C74,C75,C102,C112,C113)</f>
        <v>8055750</v>
      </c>
      <c r="D114" s="1691">
        <f t="shared" ref="D114:K114" si="13">SUM(D33,D74,D75,D102,D112,D113)</f>
        <v>1029170</v>
      </c>
      <c r="E114" s="1691">
        <f t="shared" si="13"/>
        <v>844504</v>
      </c>
      <c r="F114" s="1691">
        <f t="shared" si="13"/>
        <v>951489</v>
      </c>
      <c r="G114" s="1691">
        <f t="shared" si="13"/>
        <v>147980</v>
      </c>
      <c r="H114" s="1691">
        <f>SUM(H33,H74,H75,H102,H112,H113)</f>
        <v>337099</v>
      </c>
      <c r="I114" s="1691">
        <f t="shared" si="13"/>
        <v>0</v>
      </c>
      <c r="J114" s="1691">
        <f t="shared" si="13"/>
        <v>0</v>
      </c>
      <c r="K114" s="1691">
        <f t="shared" si="13"/>
        <v>11365992</v>
      </c>
      <c r="L114" s="1691">
        <f>SUM(L33,L74,L75,L102,L112,L113)</f>
        <v>12136471</v>
      </c>
    </row>
    <row r="115" spans="1:14" ht="13.5" thickTop="1" x14ac:dyDescent="0.2">
      <c r="A115" s="2200" t="s">
        <v>1053</v>
      </c>
      <c r="B115" s="2201"/>
      <c r="C115" s="619"/>
      <c r="D115" s="619"/>
      <c r="E115" s="619"/>
      <c r="F115" s="619"/>
      <c r="G115" s="619"/>
      <c r="H115" s="619"/>
      <c r="I115" s="619"/>
      <c r="J115" s="619"/>
      <c r="K115" s="1705">
        <f>'Revenues 9-14'!C275-'Expenditures 15-22'!K114</f>
        <v>2628656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41645</v>
      </c>
      <c r="D124" s="466">
        <v>5682</v>
      </c>
      <c r="E124" s="466">
        <v>345632</v>
      </c>
      <c r="F124" s="466">
        <v>353234</v>
      </c>
      <c r="G124" s="466">
        <v>90042</v>
      </c>
      <c r="H124" s="466">
        <v>5388</v>
      </c>
      <c r="I124" s="467"/>
      <c r="J124" s="467"/>
      <c r="K124" s="1691">
        <f>SUM(C124:J124)</f>
        <v>841623</v>
      </c>
      <c r="L124" s="466">
        <v>899030</v>
      </c>
    </row>
    <row r="125" spans="1:14" ht="14.25" thickTop="1" thickBot="1" x14ac:dyDescent="0.25">
      <c r="A125" s="1526" t="s">
        <v>1010</v>
      </c>
      <c r="B125" s="615">
        <v>2550</v>
      </c>
      <c r="C125" s="466"/>
      <c r="D125" s="466"/>
      <c r="E125" s="466">
        <v>1141</v>
      </c>
      <c r="F125" s="466"/>
      <c r="G125" s="466"/>
      <c r="H125" s="466"/>
      <c r="I125" s="467"/>
      <c r="J125" s="467"/>
      <c r="K125" s="1691">
        <f>SUM(C125:J125)</f>
        <v>1141</v>
      </c>
      <c r="L125" s="466">
        <v>1925</v>
      </c>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41645</v>
      </c>
      <c r="D127" s="1691">
        <f t="shared" ref="D127:L127" si="14">SUM(D122:D126)</f>
        <v>5682</v>
      </c>
      <c r="E127" s="1691">
        <f t="shared" si="14"/>
        <v>346773</v>
      </c>
      <c r="F127" s="1691">
        <f t="shared" si="14"/>
        <v>353234</v>
      </c>
      <c r="G127" s="1691">
        <f t="shared" si="14"/>
        <v>90042</v>
      </c>
      <c r="H127" s="1691">
        <f t="shared" si="14"/>
        <v>5388</v>
      </c>
      <c r="I127" s="1691">
        <f t="shared" si="14"/>
        <v>0</v>
      </c>
      <c r="J127" s="1691">
        <f t="shared" si="14"/>
        <v>0</v>
      </c>
      <c r="K127" s="1691">
        <f t="shared" si="14"/>
        <v>842764</v>
      </c>
      <c r="L127" s="1691">
        <f t="shared" si="14"/>
        <v>900955</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41645</v>
      </c>
      <c r="D129" s="1698">
        <f t="shared" ref="D129:L129" si="15">SUM(D120,D127,D128)</f>
        <v>5682</v>
      </c>
      <c r="E129" s="1698">
        <f t="shared" si="15"/>
        <v>346773</v>
      </c>
      <c r="F129" s="1698">
        <f t="shared" si="15"/>
        <v>353234</v>
      </c>
      <c r="G129" s="1698">
        <f t="shared" si="15"/>
        <v>90042</v>
      </c>
      <c r="H129" s="1698">
        <f t="shared" si="15"/>
        <v>5388</v>
      </c>
      <c r="I129" s="1698">
        <f t="shared" si="15"/>
        <v>0</v>
      </c>
      <c r="J129" s="1698">
        <f t="shared" si="15"/>
        <v>0</v>
      </c>
      <c r="K129" s="1698">
        <f t="shared" si="15"/>
        <v>842764</v>
      </c>
      <c r="L129" s="1698">
        <f t="shared" si="15"/>
        <v>900955</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1954</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5000</v>
      </c>
    </row>
    <row r="151" spans="1:14" ht="12.75" customHeight="1" thickTop="1" thickBot="1" x14ac:dyDescent="0.25">
      <c r="A151" s="2190" t="s">
        <v>641</v>
      </c>
      <c r="B151" s="2172"/>
      <c r="C151" s="1691">
        <f>SUM(C129,C130,C139,C149,C150)</f>
        <v>41645</v>
      </c>
      <c r="D151" s="1691">
        <f t="shared" ref="D151:K151" si="16">SUM(D129,D130,D139,D149,D150)</f>
        <v>5682</v>
      </c>
      <c r="E151" s="1691">
        <f t="shared" si="16"/>
        <v>346773</v>
      </c>
      <c r="F151" s="1691">
        <f t="shared" si="16"/>
        <v>353234</v>
      </c>
      <c r="G151" s="1691">
        <f t="shared" si="16"/>
        <v>90042</v>
      </c>
      <c r="H151" s="1691">
        <f t="shared" si="16"/>
        <v>5388</v>
      </c>
      <c r="I151" s="1691">
        <f t="shared" si="16"/>
        <v>0</v>
      </c>
      <c r="J151" s="1691">
        <f t="shared" si="16"/>
        <v>0</v>
      </c>
      <c r="K151" s="1691">
        <f t="shared" si="16"/>
        <v>842764</v>
      </c>
      <c r="L151" s="1691">
        <f>SUM(L129,L130,L139,L149,L150)</f>
        <v>905955</v>
      </c>
    </row>
    <row r="152" spans="1:14" ht="12.75" customHeight="1" thickTop="1" x14ac:dyDescent="0.2">
      <c r="A152" s="2193" t="s">
        <v>1240</v>
      </c>
      <c r="B152" s="2194"/>
      <c r="C152" s="619"/>
      <c r="D152" s="619"/>
      <c r="E152" s="619"/>
      <c r="F152" s="619"/>
      <c r="G152" s="619"/>
      <c r="H152" s="619"/>
      <c r="I152" s="619"/>
      <c r="J152" s="617"/>
      <c r="K152" s="1705">
        <f>'Revenues 9-14'!D275-'Expenditures 15-22'!K151</f>
        <v>255511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1955</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1954</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1956</v>
      </c>
      <c r="C158" s="617"/>
      <c r="D158" s="617"/>
      <c r="E158" s="617"/>
      <c r="F158" s="617"/>
      <c r="G158" s="617"/>
      <c r="H158" s="467"/>
      <c r="I158" s="617"/>
      <c r="J158" s="617"/>
      <c r="K158" s="1692">
        <f>H158</f>
        <v>0</v>
      </c>
      <c r="L158" s="467"/>
      <c r="M158" s="620"/>
      <c r="N158" s="620"/>
    </row>
    <row r="159" spans="1:14" s="621" customFormat="1" ht="12" x14ac:dyDescent="0.2">
      <c r="A159" s="1848" t="s">
        <v>1957</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1958</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203000</v>
      </c>
      <c r="I169" s="617"/>
      <c r="J169" s="617"/>
      <c r="K169" s="1692">
        <f>SUM(C169:H169)</f>
        <v>203000</v>
      </c>
      <c r="L169" s="657">
        <v>203001</v>
      </c>
    </row>
    <row r="170" spans="1:14" ht="33.75" customHeight="1" x14ac:dyDescent="0.2">
      <c r="A170" s="670" t="s">
        <v>1769</v>
      </c>
      <c r="B170" s="672" t="s">
        <v>31</v>
      </c>
      <c r="C170" s="617"/>
      <c r="D170" s="617"/>
      <c r="E170" s="617"/>
      <c r="F170" s="617"/>
      <c r="G170" s="617"/>
      <c r="H170" s="569">
        <v>759000</v>
      </c>
      <c r="I170" s="617"/>
      <c r="J170" s="617"/>
      <c r="K170" s="1692">
        <f>SUM(C170:J170)</f>
        <v>759000</v>
      </c>
      <c r="L170" s="569">
        <v>759000</v>
      </c>
    </row>
    <row r="171" spans="1:14" ht="15.75" customHeight="1" x14ac:dyDescent="0.2">
      <c r="A171" s="622" t="s">
        <v>790</v>
      </c>
      <c r="B171" s="673" t="s">
        <v>86</v>
      </c>
      <c r="C171" s="617"/>
      <c r="D171" s="617"/>
      <c r="E171" s="466"/>
      <c r="F171" s="617"/>
      <c r="G171" s="617"/>
      <c r="H171" s="569">
        <v>1118</v>
      </c>
      <c r="I171" s="477"/>
      <c r="J171" s="617"/>
      <c r="K171" s="1692">
        <f>SUM(C171:J171)</f>
        <v>1118</v>
      </c>
      <c r="L171" s="569">
        <v>1000</v>
      </c>
    </row>
    <row r="172" spans="1:14" ht="12.75" customHeight="1" thickBot="1" x14ac:dyDescent="0.25">
      <c r="A172" s="1689" t="s">
        <v>659</v>
      </c>
      <c r="B172" s="1690" t="s">
        <v>513</v>
      </c>
      <c r="C172" s="617"/>
      <c r="D172" s="617"/>
      <c r="E172" s="1698">
        <f>SUM(E168,E169,E170,E171)</f>
        <v>0</v>
      </c>
      <c r="F172" s="617"/>
      <c r="G172" s="617"/>
      <c r="H172" s="1698">
        <f>SUM(H168,H169,H170,H171)</f>
        <v>963118</v>
      </c>
      <c r="I172" s="639"/>
      <c r="J172" s="617"/>
      <c r="K172" s="1698">
        <f>SUM(K168,K169,K170,K171)</f>
        <v>963118</v>
      </c>
      <c r="L172" s="1698">
        <f>SUM(L168,L169,L170,L171)</f>
        <v>963001</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963118</v>
      </c>
      <c r="I174" s="639"/>
      <c r="J174" s="617"/>
      <c r="K174" s="1698">
        <f>SUM(K160,K172,K173)</f>
        <v>963118</v>
      </c>
      <c r="L174" s="1698">
        <f>SUM(L160,L172,L173)</f>
        <v>963001</v>
      </c>
    </row>
    <row r="175" spans="1:14" ht="13.5" thickTop="1" x14ac:dyDescent="0.2">
      <c r="A175" s="2200" t="s">
        <v>1053</v>
      </c>
      <c r="B175" s="2201"/>
      <c r="C175" s="617"/>
      <c r="D175" s="617"/>
      <c r="E175" s="617"/>
      <c r="F175" s="617"/>
      <c r="G175" s="617"/>
      <c r="H175" s="619"/>
      <c r="I175" s="617"/>
      <c r="J175" s="617"/>
      <c r="K175" s="1705">
        <f>'Revenues 9-14'!E275-'Expenditures 15-22'!K174</f>
        <v>-57099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434219</v>
      </c>
      <c r="D182" s="466">
        <v>18466</v>
      </c>
      <c r="E182" s="466">
        <v>320407</v>
      </c>
      <c r="F182" s="466">
        <v>99807</v>
      </c>
      <c r="G182" s="466">
        <v>1605</v>
      </c>
      <c r="H182" s="466"/>
      <c r="I182" s="467"/>
      <c r="J182" s="467"/>
      <c r="K182" s="1692">
        <f>SUM(C182:J182)</f>
        <v>874504</v>
      </c>
      <c r="L182" s="466">
        <v>979079</v>
      </c>
    </row>
    <row r="183" spans="1:14" ht="12.75" customHeight="1" thickBot="1" x14ac:dyDescent="0.25">
      <c r="A183" s="1531" t="s">
        <v>1037</v>
      </c>
      <c r="B183" s="678">
        <v>2900</v>
      </c>
      <c r="C183" s="573"/>
      <c r="D183" s="573"/>
      <c r="E183" s="573">
        <v>449</v>
      </c>
      <c r="F183" s="573"/>
      <c r="G183" s="573"/>
      <c r="H183" s="573"/>
      <c r="I183" s="532"/>
      <c r="J183" s="532"/>
      <c r="K183" s="1698">
        <f>SUM(C183:J183)</f>
        <v>449</v>
      </c>
      <c r="L183" s="573">
        <v>325</v>
      </c>
    </row>
    <row r="184" spans="1:14" ht="12.75" customHeight="1" thickTop="1" thickBot="1" x14ac:dyDescent="0.25">
      <c r="A184" s="1712" t="s">
        <v>865</v>
      </c>
      <c r="B184" s="1690" t="s">
        <v>590</v>
      </c>
      <c r="C184" s="1698">
        <f>SUM(C180,C182,C183)</f>
        <v>434219</v>
      </c>
      <c r="D184" s="1698">
        <f t="shared" ref="D184:J184" si="17">SUM(D180,D182,D183)</f>
        <v>18466</v>
      </c>
      <c r="E184" s="1698">
        <f t="shared" si="17"/>
        <v>320856</v>
      </c>
      <c r="F184" s="1698">
        <f t="shared" si="17"/>
        <v>99807</v>
      </c>
      <c r="G184" s="1698">
        <f t="shared" si="17"/>
        <v>1605</v>
      </c>
      <c r="H184" s="1698">
        <f t="shared" si="17"/>
        <v>0</v>
      </c>
      <c r="I184" s="1698">
        <f t="shared" si="17"/>
        <v>0</v>
      </c>
      <c r="J184" s="1698">
        <f t="shared" si="17"/>
        <v>0</v>
      </c>
      <c r="K184" s="1698">
        <f>SUM(K180,K182,K183)</f>
        <v>874953</v>
      </c>
      <c r="L184" s="1698">
        <f>SUM(L180, L182:L183)</f>
        <v>979404</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v>115742</v>
      </c>
      <c r="F189" s="617"/>
      <c r="G189" s="617"/>
      <c r="H189" s="466"/>
      <c r="I189" s="477"/>
      <c r="J189" s="617"/>
      <c r="K189" s="1692">
        <f t="shared" si="18"/>
        <v>115742</v>
      </c>
      <c r="L189" s="466">
        <v>102000</v>
      </c>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115742</v>
      </c>
      <c r="F194" s="617"/>
      <c r="G194" s="617"/>
      <c r="H194" s="1691">
        <f>SUM(H188:H193)</f>
        <v>0</v>
      </c>
      <c r="I194" s="477"/>
      <c r="J194" s="617"/>
      <c r="K194" s="1691">
        <f>SUM(K188:K193)</f>
        <v>115742</v>
      </c>
      <c r="L194" s="1691">
        <f>SUM(L188:L193)</f>
        <v>102000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115742</v>
      </c>
      <c r="F196" s="617"/>
      <c r="G196" s="617"/>
      <c r="H196" s="1698">
        <f>SUM(H194,H195)</f>
        <v>0</v>
      </c>
      <c r="I196" s="477"/>
      <c r="J196" s="617"/>
      <c r="K196" s="1698">
        <f>SUM(K194,K195)</f>
        <v>115742</v>
      </c>
      <c r="L196" s="1698">
        <f>SUM(L194,L195)</f>
        <v>102000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10000</v>
      </c>
    </row>
    <row r="210" spans="1:14" ht="12.75" customHeight="1" thickTop="1" thickBot="1" x14ac:dyDescent="0.25">
      <c r="A210" s="1713" t="s">
        <v>295</v>
      </c>
      <c r="B210" s="1714"/>
      <c r="C210" s="1691">
        <f>SUM(C184,C185)</f>
        <v>434219</v>
      </c>
      <c r="D210" s="1691">
        <f>SUM(D184,D185)</f>
        <v>18466</v>
      </c>
      <c r="E210" s="1691">
        <f>SUM(E184,E185,E196)</f>
        <v>436598</v>
      </c>
      <c r="F210" s="1691">
        <f>SUM(F184,F185)</f>
        <v>99807</v>
      </c>
      <c r="G210" s="1691">
        <f>SUM(G184,G185)</f>
        <v>1605</v>
      </c>
      <c r="H210" s="1691">
        <f>SUM(H184,H185,H196,H208,H209)</f>
        <v>0</v>
      </c>
      <c r="I210" s="1691">
        <f>SUM(I184,I185)</f>
        <v>0</v>
      </c>
      <c r="J210" s="1691">
        <f>SUM(J184,J185)</f>
        <v>0</v>
      </c>
      <c r="K210" s="1692">
        <f>SUM(K184,K185,K196,K208,K209)</f>
        <v>990695</v>
      </c>
      <c r="L210" s="1691">
        <f>SUM(L184,L185,L196,L208,L209)</f>
        <v>1091404</v>
      </c>
    </row>
    <row r="211" spans="1:14" ht="13.5" thickTop="1" x14ac:dyDescent="0.2">
      <c r="A211" s="2200" t="s">
        <v>1053</v>
      </c>
      <c r="B211" s="2201"/>
      <c r="C211" s="619"/>
      <c r="D211" s="619"/>
      <c r="E211" s="619"/>
      <c r="F211" s="619"/>
      <c r="G211" s="619"/>
      <c r="H211" s="619"/>
      <c r="I211" s="617"/>
      <c r="J211" s="617"/>
      <c r="K211" s="1705">
        <f>'Revenues 9-14'!F275-'Expenditures 15-22'!K210</f>
        <v>479761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88198</v>
      </c>
      <c r="E215" s="617"/>
      <c r="F215" s="617"/>
      <c r="G215" s="617"/>
      <c r="H215" s="617"/>
      <c r="I215" s="617"/>
      <c r="J215" s="617"/>
      <c r="K215" s="1692">
        <f>D215</f>
        <v>88198</v>
      </c>
      <c r="L215" s="466">
        <v>89871</v>
      </c>
    </row>
    <row r="216" spans="1:14" x14ac:dyDescent="0.2">
      <c r="A216" s="1526" t="s">
        <v>165</v>
      </c>
      <c r="B216" s="615" t="s">
        <v>1024</v>
      </c>
      <c r="C216" s="617"/>
      <c r="D216" s="467">
        <v>14490</v>
      </c>
      <c r="E216" s="617"/>
      <c r="F216" s="617"/>
      <c r="G216" s="617"/>
      <c r="H216" s="617"/>
      <c r="I216" s="617"/>
      <c r="J216" s="617"/>
      <c r="K216" s="1692">
        <f t="shared" ref="K216:K228" si="19">D216</f>
        <v>14490</v>
      </c>
      <c r="L216" s="466">
        <v>14726</v>
      </c>
    </row>
    <row r="217" spans="1:14" x14ac:dyDescent="0.2">
      <c r="A217" s="1526" t="s">
        <v>166</v>
      </c>
      <c r="B217" s="615">
        <v>1200</v>
      </c>
      <c r="C217" s="617"/>
      <c r="D217" s="466">
        <v>40786</v>
      </c>
      <c r="E217" s="617"/>
      <c r="F217" s="617"/>
      <c r="G217" s="617"/>
      <c r="H217" s="617"/>
      <c r="I217" s="617"/>
      <c r="J217" s="617"/>
      <c r="K217" s="1692">
        <f t="shared" si="19"/>
        <v>40786</v>
      </c>
      <c r="L217" s="466">
        <v>32450</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3014</v>
      </c>
      <c r="E219" s="617"/>
      <c r="F219" s="617"/>
      <c r="G219" s="617"/>
      <c r="H219" s="617"/>
      <c r="I219" s="617"/>
      <c r="J219" s="617"/>
      <c r="K219" s="1692">
        <f t="shared" si="19"/>
        <v>3014</v>
      </c>
      <c r="L219" s="466">
        <v>3058</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v>3107</v>
      </c>
      <c r="E222" s="617"/>
      <c r="F222" s="617"/>
      <c r="G222" s="617"/>
      <c r="H222" s="617"/>
      <c r="I222" s="617"/>
      <c r="J222" s="617"/>
      <c r="K222" s="1692">
        <f t="shared" si="19"/>
        <v>3107</v>
      </c>
      <c r="L222" s="466">
        <v>3202</v>
      </c>
    </row>
    <row r="223" spans="1:14" x14ac:dyDescent="0.2">
      <c r="A223" s="1526" t="s">
        <v>1020</v>
      </c>
      <c r="B223" s="615">
        <v>1500</v>
      </c>
      <c r="C223" s="617"/>
      <c r="D223" s="466">
        <v>6474</v>
      </c>
      <c r="E223" s="617"/>
      <c r="F223" s="617"/>
      <c r="G223" s="617"/>
      <c r="H223" s="617"/>
      <c r="I223" s="617"/>
      <c r="J223" s="617"/>
      <c r="K223" s="1692">
        <f t="shared" si="19"/>
        <v>6474</v>
      </c>
      <c r="L223" s="466">
        <v>8026</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v>589</v>
      </c>
      <c r="E226" s="617"/>
      <c r="F226" s="617"/>
      <c r="G226" s="617"/>
      <c r="H226" s="617"/>
      <c r="I226" s="617"/>
      <c r="J226" s="617"/>
      <c r="K226" s="1692">
        <f t="shared" si="19"/>
        <v>589</v>
      </c>
      <c r="L226" s="466">
        <v>600</v>
      </c>
    </row>
    <row r="227" spans="1:12" x14ac:dyDescent="0.2">
      <c r="A227" s="1526" t="s">
        <v>1148</v>
      </c>
      <c r="B227" s="615">
        <v>1800</v>
      </c>
      <c r="C227" s="617"/>
      <c r="D227" s="466">
        <v>117</v>
      </c>
      <c r="E227" s="617"/>
      <c r="F227" s="617"/>
      <c r="G227" s="617"/>
      <c r="H227" s="617"/>
      <c r="I227" s="617"/>
      <c r="J227" s="617"/>
      <c r="K227" s="1692">
        <f t="shared" si="19"/>
        <v>117</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156775</v>
      </c>
      <c r="E229" s="617"/>
      <c r="F229" s="617"/>
      <c r="G229" s="617"/>
      <c r="H229" s="617"/>
      <c r="I229" s="617"/>
      <c r="J229" s="617"/>
      <c r="K229" s="1691">
        <f>SUM(K215:K228)</f>
        <v>156775</v>
      </c>
      <c r="L229" s="1691">
        <f>SUM(L215:L228)</f>
        <v>151933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5728</v>
      </c>
      <c r="E232" s="617"/>
      <c r="F232" s="617"/>
      <c r="G232" s="617"/>
      <c r="H232" s="617"/>
      <c r="I232" s="617"/>
      <c r="J232" s="617"/>
      <c r="K232" s="1692">
        <f t="shared" ref="K232:K237" si="20">D232</f>
        <v>5728</v>
      </c>
      <c r="L232" s="466">
        <v>7455</v>
      </c>
    </row>
    <row r="233" spans="1:12" x14ac:dyDescent="0.2">
      <c r="A233" s="1526" t="s">
        <v>1151</v>
      </c>
      <c r="B233" s="615">
        <v>2120</v>
      </c>
      <c r="C233" s="617"/>
      <c r="D233" s="466">
        <v>3584</v>
      </c>
      <c r="E233" s="617"/>
      <c r="F233" s="617"/>
      <c r="G233" s="617"/>
      <c r="H233" s="617"/>
      <c r="I233" s="617"/>
      <c r="J233" s="617"/>
      <c r="K233" s="1692">
        <f t="shared" si="20"/>
        <v>3584</v>
      </c>
      <c r="L233" s="466">
        <v>3657</v>
      </c>
    </row>
    <row r="234" spans="1:12" x14ac:dyDescent="0.2">
      <c r="A234" s="1526" t="s">
        <v>207</v>
      </c>
      <c r="B234" s="615">
        <v>2130</v>
      </c>
      <c r="C234" s="617"/>
      <c r="D234" s="466">
        <v>3089</v>
      </c>
      <c r="E234" s="617"/>
      <c r="F234" s="617"/>
      <c r="G234" s="617"/>
      <c r="H234" s="617"/>
      <c r="I234" s="617"/>
      <c r="J234" s="617"/>
      <c r="K234" s="1692">
        <f t="shared" si="20"/>
        <v>3089</v>
      </c>
      <c r="L234" s="466">
        <v>3147</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12401</v>
      </c>
      <c r="E238" s="617"/>
      <c r="F238" s="617"/>
      <c r="G238" s="617"/>
      <c r="H238" s="617"/>
      <c r="I238" s="617"/>
      <c r="J238" s="617"/>
      <c r="K238" s="1691">
        <f>SUM(K232:K237)</f>
        <v>12401</v>
      </c>
      <c r="L238" s="1691">
        <f>SUM(L232:L237)</f>
        <v>14259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101</v>
      </c>
      <c r="E240" s="617"/>
      <c r="F240" s="617"/>
      <c r="G240" s="617"/>
      <c r="H240" s="617"/>
      <c r="I240" s="617"/>
      <c r="J240" s="617"/>
      <c r="K240" s="1693">
        <f>D240</f>
        <v>101</v>
      </c>
      <c r="L240" s="481">
        <v>80</v>
      </c>
    </row>
    <row r="241" spans="1:12" x14ac:dyDescent="0.2">
      <c r="A241" s="1526" t="s">
        <v>869</v>
      </c>
      <c r="B241" s="615">
        <v>2220</v>
      </c>
      <c r="C241" s="617"/>
      <c r="D241" s="466"/>
      <c r="E241" s="617"/>
      <c r="F241" s="617"/>
      <c r="G241" s="617"/>
      <c r="H241" s="617"/>
      <c r="I241" s="617"/>
      <c r="J241" s="617"/>
      <c r="K241" s="1693">
        <f>D241</f>
        <v>0</v>
      </c>
      <c r="L241" s="466"/>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101</v>
      </c>
      <c r="E243" s="617"/>
      <c r="F243" s="617"/>
      <c r="G243" s="617"/>
      <c r="H243" s="617"/>
      <c r="I243" s="617"/>
      <c r="J243" s="617"/>
      <c r="K243" s="1691">
        <f>SUM(K240:K242)</f>
        <v>101</v>
      </c>
      <c r="L243" s="1691">
        <f>SUM(L240:L242)</f>
        <v>80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1101</v>
      </c>
      <c r="E245" s="617"/>
      <c r="F245" s="617"/>
      <c r="G245" s="617"/>
      <c r="H245" s="617"/>
      <c r="I245" s="617"/>
      <c r="J245" s="617"/>
      <c r="K245" s="1693">
        <f>D245</f>
        <v>1101</v>
      </c>
      <c r="L245" s="481">
        <v>625</v>
      </c>
    </row>
    <row r="246" spans="1:12" x14ac:dyDescent="0.2">
      <c r="A246" s="1526" t="s">
        <v>872</v>
      </c>
      <c r="B246" s="615">
        <v>2320</v>
      </c>
      <c r="C246" s="617"/>
      <c r="D246" s="466">
        <v>11309</v>
      </c>
      <c r="E246" s="617"/>
      <c r="F246" s="617"/>
      <c r="G246" s="617"/>
      <c r="H246" s="617"/>
      <c r="I246" s="617"/>
      <c r="J246" s="617"/>
      <c r="K246" s="1693">
        <f t="shared" ref="K246:K256" si="21">D246</f>
        <v>11309</v>
      </c>
      <c r="L246" s="466">
        <v>11087</v>
      </c>
    </row>
    <row r="247" spans="1:12" x14ac:dyDescent="0.2">
      <c r="A247" s="1526" t="s">
        <v>873</v>
      </c>
      <c r="B247" s="615">
        <v>2330</v>
      </c>
      <c r="C247" s="617"/>
      <c r="D247" s="466"/>
      <c r="E247" s="617"/>
      <c r="F247" s="617"/>
      <c r="G247" s="617"/>
      <c r="H247" s="617"/>
      <c r="I247" s="617"/>
      <c r="J247" s="617"/>
      <c r="K247" s="1693">
        <f t="shared" si="21"/>
        <v>0</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1905</v>
      </c>
      <c r="B249" s="684" t="s">
        <v>300</v>
      </c>
      <c r="C249" s="617"/>
      <c r="D249" s="474"/>
      <c r="E249" s="617"/>
      <c r="F249" s="617"/>
      <c r="G249" s="617"/>
      <c r="H249" s="617"/>
      <c r="I249" s="617"/>
      <c r="J249" s="617"/>
      <c r="K249" s="1693">
        <f t="shared" si="21"/>
        <v>0</v>
      </c>
      <c r="L249" s="466"/>
    </row>
    <row r="250" spans="1:12" x14ac:dyDescent="0.2">
      <c r="A250" s="1527" t="s">
        <v>1906</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v>52045</v>
      </c>
      <c r="E254" s="617"/>
      <c r="F254" s="617"/>
      <c r="G254" s="617"/>
      <c r="H254" s="617"/>
      <c r="I254" s="617"/>
      <c r="J254" s="617"/>
      <c r="K254" s="1693">
        <f t="shared" si="21"/>
        <v>52045</v>
      </c>
      <c r="L254" s="466">
        <v>51382</v>
      </c>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64455</v>
      </c>
      <c r="E257" s="617"/>
      <c r="F257" s="617"/>
      <c r="G257" s="617"/>
      <c r="H257" s="617"/>
      <c r="I257" s="617"/>
      <c r="J257" s="617"/>
      <c r="K257" s="1691">
        <f>SUM(K245:K256)</f>
        <v>64455</v>
      </c>
      <c r="L257" s="1691">
        <f>SUM(L245:L256)</f>
        <v>63094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3">
        <f>D259</f>
        <v>0</v>
      </c>
      <c r="L259" s="481">
        <v>43957</v>
      </c>
    </row>
    <row r="260" spans="1:14" s="598" customFormat="1" x14ac:dyDescent="0.2">
      <c r="A260" s="1544" t="s">
        <v>1904</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43957</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46548</v>
      </c>
      <c r="E263" s="617"/>
      <c r="F263" s="617"/>
      <c r="G263" s="617"/>
      <c r="H263" s="617"/>
      <c r="I263" s="617"/>
      <c r="J263" s="617"/>
      <c r="K263" s="1693">
        <f>D263</f>
        <v>46548</v>
      </c>
      <c r="L263" s="481"/>
    </row>
    <row r="264" spans="1:14" x14ac:dyDescent="0.2">
      <c r="A264" s="1526" t="s">
        <v>483</v>
      </c>
      <c r="B264" s="686">
        <v>2520</v>
      </c>
      <c r="C264" s="617"/>
      <c r="D264" s="466">
        <v>13016</v>
      </c>
      <c r="E264" s="617"/>
      <c r="F264" s="617"/>
      <c r="G264" s="617"/>
      <c r="H264" s="617"/>
      <c r="I264" s="617"/>
      <c r="J264" s="617"/>
      <c r="K264" s="1693">
        <f t="shared" ref="K264:K269" si="22">D264</f>
        <v>13016</v>
      </c>
      <c r="L264" s="466">
        <v>13016</v>
      </c>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58902</v>
      </c>
      <c r="E266" s="617"/>
      <c r="F266" s="617"/>
      <c r="G266" s="617"/>
      <c r="H266" s="617"/>
      <c r="I266" s="617"/>
      <c r="J266" s="617"/>
      <c r="K266" s="1693">
        <f t="shared" si="22"/>
        <v>58902</v>
      </c>
      <c r="L266" s="466">
        <v>54855</v>
      </c>
    </row>
    <row r="267" spans="1:14" x14ac:dyDescent="0.2">
      <c r="A267" s="1526" t="s">
        <v>1010</v>
      </c>
      <c r="B267" s="615">
        <v>2550</v>
      </c>
      <c r="C267" s="617"/>
      <c r="D267" s="466">
        <v>65311</v>
      </c>
      <c r="E267" s="617"/>
      <c r="F267" s="617"/>
      <c r="G267" s="617"/>
      <c r="H267" s="617"/>
      <c r="I267" s="617"/>
      <c r="J267" s="617"/>
      <c r="K267" s="1693">
        <f t="shared" si="22"/>
        <v>65311</v>
      </c>
      <c r="L267" s="466">
        <v>65610</v>
      </c>
    </row>
    <row r="268" spans="1:14" x14ac:dyDescent="0.2">
      <c r="A268" s="1526" t="s">
        <v>102</v>
      </c>
      <c r="B268" s="615">
        <v>2560</v>
      </c>
      <c r="C268" s="617"/>
      <c r="D268" s="466">
        <v>50085</v>
      </c>
      <c r="E268" s="617"/>
      <c r="F268" s="617"/>
      <c r="G268" s="617"/>
      <c r="H268" s="617"/>
      <c r="I268" s="617"/>
      <c r="J268" s="617"/>
      <c r="K268" s="1693">
        <f t="shared" si="22"/>
        <v>50085</v>
      </c>
      <c r="L268" s="466">
        <v>51938</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233862</v>
      </c>
      <c r="E270" s="617"/>
      <c r="F270" s="617"/>
      <c r="G270" s="617"/>
      <c r="H270" s="617"/>
      <c r="I270" s="617"/>
      <c r="J270" s="617"/>
      <c r="K270" s="1691">
        <f>SUM(K263:K269)</f>
        <v>233862</v>
      </c>
      <c r="L270" s="1691">
        <f>SUM(L263:L269)</f>
        <v>185419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c r="E274" s="617"/>
      <c r="F274" s="617"/>
      <c r="G274" s="617"/>
      <c r="H274" s="617"/>
      <c r="I274" s="617"/>
      <c r="J274" s="617"/>
      <c r="K274" s="1693">
        <f>D274</f>
        <v>0</v>
      </c>
      <c r="L274" s="466"/>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v>5190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5190</v>
      </c>
    </row>
    <row r="278" spans="1:12" ht="13.5" customHeight="1" thickTop="1" x14ac:dyDescent="0.2">
      <c r="A278" s="1532" t="s">
        <v>1037</v>
      </c>
      <c r="B278" s="656" t="s">
        <v>595</v>
      </c>
      <c r="C278" s="617"/>
      <c r="D278" s="657">
        <v>14736</v>
      </c>
      <c r="E278" s="617"/>
      <c r="F278" s="617"/>
      <c r="G278" s="617"/>
      <c r="H278" s="617"/>
      <c r="I278" s="617"/>
      <c r="J278" s="617"/>
      <c r="K278" s="1706">
        <f>D278</f>
        <v>14736</v>
      </c>
      <c r="L278" s="657">
        <v>1214</v>
      </c>
    </row>
    <row r="279" spans="1:12" ht="12.75" customHeight="1" thickBot="1" x14ac:dyDescent="0.25">
      <c r="A279" s="1719" t="s">
        <v>865</v>
      </c>
      <c r="B279" s="1702">
        <v>2000</v>
      </c>
      <c r="C279" s="617"/>
      <c r="D279" s="1698">
        <f>SUM(D238,D243,D257,D261,D270,D277,D278)</f>
        <v>325555</v>
      </c>
      <c r="E279" s="617"/>
      <c r="F279" s="617"/>
      <c r="G279" s="617"/>
      <c r="H279" s="617"/>
      <c r="I279" s="617"/>
      <c r="J279" s="617"/>
      <c r="K279" s="1698">
        <f>SUM(K238,K243,K257,K261,K270,K277,K278)</f>
        <v>325555</v>
      </c>
      <c r="L279" s="1698">
        <f>SUM(L238,L243,L257,L261,L270,L277,L278)</f>
        <v>313213</v>
      </c>
    </row>
    <row r="280" spans="1:12" ht="15.75" customHeight="1" thickTop="1" thickBot="1" x14ac:dyDescent="0.25">
      <c r="A280" s="1646" t="s">
        <v>930</v>
      </c>
      <c r="B280" s="1635">
        <v>3000</v>
      </c>
      <c r="C280" s="617"/>
      <c r="D280" s="576">
        <v>566</v>
      </c>
      <c r="E280" s="617"/>
      <c r="F280" s="617"/>
      <c r="G280" s="617"/>
      <c r="H280" s="617"/>
      <c r="I280" s="617"/>
      <c r="J280" s="617"/>
      <c r="K280" s="1700">
        <f>D280</f>
        <v>566</v>
      </c>
      <c r="L280" s="576">
        <v>291</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1954</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1">
        <f>SUM(D229,D279,D280,D285)</f>
        <v>482896</v>
      </c>
      <c r="E295" s="617"/>
      <c r="F295" s="617"/>
      <c r="G295" s="617"/>
      <c r="H295" s="1691">
        <f>H293</f>
        <v>0</v>
      </c>
      <c r="I295" s="617"/>
      <c r="J295" s="617"/>
      <c r="K295" s="1691">
        <f>SUM(K229,K279,K280,K285,K293,K294)</f>
        <v>482896</v>
      </c>
      <c r="L295" s="1691">
        <f>SUM(L229,L279,L280,L285,L293,L294)</f>
        <v>465437</v>
      </c>
    </row>
    <row r="296" spans="1:14" ht="13.5" thickTop="1" x14ac:dyDescent="0.2">
      <c r="A296" s="2200" t="s">
        <v>1053</v>
      </c>
      <c r="B296" s="2201"/>
      <c r="C296" s="617"/>
      <c r="D296" s="619"/>
      <c r="E296" s="617"/>
      <c r="F296" s="617"/>
      <c r="G296" s="617"/>
      <c r="H296" s="688"/>
      <c r="I296" s="617"/>
      <c r="J296" s="617"/>
      <c r="K296" s="1705">
        <f>'Revenues 9-14'!G275-'Expenditures 15-22'!K295</f>
        <v>3467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1368556</v>
      </c>
      <c r="H301" s="466"/>
      <c r="I301" s="467"/>
      <c r="J301" s="467"/>
      <c r="K301" s="1692">
        <f>SUM(C301:J301)</f>
        <v>1368556</v>
      </c>
      <c r="L301" s="467">
        <v>1371000</v>
      </c>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1368556</v>
      </c>
      <c r="H303" s="1698">
        <f t="shared" si="23"/>
        <v>0</v>
      </c>
      <c r="I303" s="1698">
        <f t="shared" si="23"/>
        <v>0</v>
      </c>
      <c r="J303" s="1698">
        <f t="shared" si="23"/>
        <v>0</v>
      </c>
      <c r="K303" s="1698">
        <f t="shared" si="23"/>
        <v>1368556</v>
      </c>
      <c r="L303" s="1698">
        <f t="shared" si="23"/>
        <v>1371000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1">
        <f>SUM(C303)</f>
        <v>0</v>
      </c>
      <c r="D312" s="1691">
        <f>SUM(D303)</f>
        <v>0</v>
      </c>
      <c r="E312" s="1691">
        <f>SUM(E303,E310)</f>
        <v>0</v>
      </c>
      <c r="F312" s="1691">
        <f>SUM(F303)</f>
        <v>0</v>
      </c>
      <c r="G312" s="1691">
        <f>SUM(G303)</f>
        <v>1368556</v>
      </c>
      <c r="H312" s="1691">
        <f>SUM(H303,H310)</f>
        <v>0</v>
      </c>
      <c r="I312" s="1691">
        <f>SUM(I303)</f>
        <v>0</v>
      </c>
      <c r="J312" s="1691">
        <f>SUM(J303)</f>
        <v>0</v>
      </c>
      <c r="K312" s="1691">
        <f>SUM(K303,K310,K311)</f>
        <v>1368556</v>
      </c>
      <c r="L312" s="1691">
        <f>SUM(L303,L310,L311)</f>
        <v>1371000</v>
      </c>
      <c r="M312" s="666"/>
      <c r="N312" s="666"/>
    </row>
    <row r="313" spans="1:14" ht="13.5" thickTop="1" x14ac:dyDescent="0.2">
      <c r="A313" s="2184" t="s">
        <v>1053</v>
      </c>
      <c r="B313" s="2185"/>
      <c r="C313" s="627"/>
      <c r="D313" s="627"/>
      <c r="E313" s="627"/>
      <c r="F313" s="627"/>
      <c r="G313" s="627"/>
      <c r="H313" s="627"/>
      <c r="I313" s="627"/>
      <c r="J313" s="627"/>
      <c r="K313" s="1706">
        <f>'Revenues 9-14'!H275-'Expenditures 15-22'!K312</f>
        <v>-352948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1905</v>
      </c>
      <c r="B320" s="699" t="s">
        <v>300</v>
      </c>
      <c r="C320" s="467"/>
      <c r="D320" s="467"/>
      <c r="E320" s="467">
        <v>70054</v>
      </c>
      <c r="F320" s="467"/>
      <c r="G320" s="467"/>
      <c r="H320" s="467"/>
      <c r="I320" s="467"/>
      <c r="J320" s="467"/>
      <c r="K320" s="1692">
        <f t="shared" ref="K320:K327" si="24">SUM(C320:J320)</f>
        <v>70054</v>
      </c>
      <c r="L320" s="467">
        <v>49915</v>
      </c>
      <c r="M320" s="666"/>
      <c r="N320" s="666"/>
    </row>
    <row r="321" spans="1:14" s="675" customFormat="1" x14ac:dyDescent="0.2">
      <c r="A321" s="1541" t="s">
        <v>318</v>
      </c>
      <c r="B321" s="698" t="s">
        <v>301</v>
      </c>
      <c r="C321" s="467"/>
      <c r="D321" s="467"/>
      <c r="E321" s="467">
        <v>6409</v>
      </c>
      <c r="F321" s="467"/>
      <c r="G321" s="467"/>
      <c r="H321" s="467"/>
      <c r="I321" s="467"/>
      <c r="J321" s="467"/>
      <c r="K321" s="1692">
        <f t="shared" si="24"/>
        <v>6409</v>
      </c>
      <c r="L321" s="467">
        <v>10000</v>
      </c>
      <c r="M321" s="666"/>
      <c r="N321" s="666"/>
    </row>
    <row r="322" spans="1:14" s="675" customFormat="1" x14ac:dyDescent="0.2">
      <c r="A322" s="1541" t="s">
        <v>256</v>
      </c>
      <c r="B322" s="698" t="s">
        <v>302</v>
      </c>
      <c r="C322" s="467"/>
      <c r="D322" s="467"/>
      <c r="E322" s="467">
        <v>90216</v>
      </c>
      <c r="F322" s="467"/>
      <c r="G322" s="467"/>
      <c r="H322" s="467"/>
      <c r="I322" s="467"/>
      <c r="J322" s="467"/>
      <c r="K322" s="1692">
        <f t="shared" si="24"/>
        <v>90216</v>
      </c>
      <c r="L322" s="467">
        <v>88000</v>
      </c>
      <c r="M322" s="666"/>
      <c r="N322" s="666"/>
    </row>
    <row r="323" spans="1:14" s="675" customFormat="1" x14ac:dyDescent="0.2">
      <c r="A323" s="1541" t="s">
        <v>726</v>
      </c>
      <c r="B323" s="698" t="s">
        <v>303</v>
      </c>
      <c r="C323" s="467"/>
      <c r="D323" s="467"/>
      <c r="E323" s="467">
        <v>16283</v>
      </c>
      <c r="F323" s="467"/>
      <c r="G323" s="467"/>
      <c r="H323" s="467"/>
      <c r="I323" s="467"/>
      <c r="J323" s="467"/>
      <c r="K323" s="1692">
        <f t="shared" si="24"/>
        <v>16283</v>
      </c>
      <c r="L323" s="467">
        <v>14200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v>410735</v>
      </c>
      <c r="D325" s="467">
        <v>35343</v>
      </c>
      <c r="E325" s="467">
        <v>7502</v>
      </c>
      <c r="F325" s="467"/>
      <c r="G325" s="467">
        <v>14997</v>
      </c>
      <c r="H325" s="467"/>
      <c r="I325" s="467"/>
      <c r="J325" s="467"/>
      <c r="K325" s="1692">
        <f t="shared" si="24"/>
        <v>468577</v>
      </c>
      <c r="L325" s="467">
        <v>452688</v>
      </c>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v>39683</v>
      </c>
      <c r="F327" s="467"/>
      <c r="G327" s="467"/>
      <c r="H327" s="467"/>
      <c r="I327" s="467"/>
      <c r="J327" s="467"/>
      <c r="K327" s="1692">
        <f t="shared" si="24"/>
        <v>39683</v>
      </c>
      <c r="L327" s="467">
        <v>52781</v>
      </c>
      <c r="M327" s="666"/>
      <c r="N327" s="666"/>
    </row>
    <row r="328" spans="1:14" s="675" customFormat="1" x14ac:dyDescent="0.2">
      <c r="A328" s="1542" t="s">
        <v>492</v>
      </c>
      <c r="B328" s="691" t="s">
        <v>1194</v>
      </c>
      <c r="C328" s="474"/>
      <c r="D328" s="474"/>
      <c r="E328" s="474">
        <v>5363</v>
      </c>
      <c r="F328" s="474"/>
      <c r="G328" s="474"/>
      <c r="H328" s="474"/>
      <c r="I328" s="474"/>
      <c r="J328" s="474"/>
      <c r="K328" s="1720">
        <f>SUM(C328:J328)</f>
        <v>5363</v>
      </c>
      <c r="L328" s="474">
        <v>26545</v>
      </c>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410735</v>
      </c>
      <c r="D330" s="1691">
        <f t="shared" ref="D330:J330" si="25">SUM(D319:D329)</f>
        <v>35343</v>
      </c>
      <c r="E330" s="1691">
        <f t="shared" si="25"/>
        <v>235510</v>
      </c>
      <c r="F330" s="1691">
        <f t="shared" si="25"/>
        <v>0</v>
      </c>
      <c r="G330" s="1691">
        <f t="shared" si="25"/>
        <v>14997</v>
      </c>
      <c r="H330" s="1691">
        <f t="shared" si="25"/>
        <v>0</v>
      </c>
      <c r="I330" s="1691">
        <f t="shared" si="25"/>
        <v>0</v>
      </c>
      <c r="J330" s="1691">
        <f t="shared" si="25"/>
        <v>0</v>
      </c>
      <c r="K330" s="1691">
        <f>SUM(K319:K329)</f>
        <v>696585</v>
      </c>
      <c r="L330" s="1691">
        <f>SUM(L319:L329)</f>
        <v>694129</v>
      </c>
      <c r="M330" s="666"/>
      <c r="N330" s="666"/>
    </row>
    <row r="331" spans="1:14" s="675" customFormat="1" ht="12.75" customHeight="1" thickTop="1" x14ac:dyDescent="0.2">
      <c r="A331" s="1853" t="s">
        <v>1960</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1954</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1956</v>
      </c>
      <c r="C333" s="1855"/>
      <c r="D333" s="1855"/>
      <c r="E333" s="1855"/>
      <c r="F333" s="1855"/>
      <c r="G333" s="1855"/>
      <c r="H333" s="467">
        <v>200000</v>
      </c>
      <c r="I333" s="1855"/>
      <c r="J333" s="1855"/>
      <c r="K333" s="1692">
        <f>H333</f>
        <v>200000</v>
      </c>
      <c r="L333" s="467">
        <v>200000</v>
      </c>
      <c r="M333" s="666"/>
      <c r="N333" s="666"/>
    </row>
    <row r="334" spans="1:14" s="675" customFormat="1" ht="12.75" customHeight="1" thickBot="1" x14ac:dyDescent="0.25">
      <c r="A334" s="1854" t="s">
        <v>1961</v>
      </c>
      <c r="B334" s="1849" t="s">
        <v>915</v>
      </c>
      <c r="C334" s="1855"/>
      <c r="D334" s="1855"/>
      <c r="E334" s="1855"/>
      <c r="F334" s="1855"/>
      <c r="G334" s="1855"/>
      <c r="H334" s="1691">
        <f>SUM(H332:H333)</f>
        <v>200000</v>
      </c>
      <c r="I334" s="1855"/>
      <c r="J334" s="1855"/>
      <c r="K334" s="1691">
        <f>SUM(K332:K333)</f>
        <v>200000</v>
      </c>
      <c r="L334" s="1691">
        <f>SUM(L332:L333)</f>
        <v>200000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410735</v>
      </c>
      <c r="D342" s="1691">
        <f>SUM(D330)</f>
        <v>35343</v>
      </c>
      <c r="E342" s="1691">
        <f>SUM(E330)</f>
        <v>235510</v>
      </c>
      <c r="F342" s="1691">
        <f>SUM(F330)</f>
        <v>0</v>
      </c>
      <c r="G342" s="1691">
        <f>SUM(G330)</f>
        <v>14997</v>
      </c>
      <c r="H342" s="1691">
        <f>SUM(H330,H334,H340)</f>
        <v>200000</v>
      </c>
      <c r="I342" s="1691">
        <f>SUM(I330)</f>
        <v>0</v>
      </c>
      <c r="J342" s="1691">
        <f>SUM(J330)</f>
        <v>0</v>
      </c>
      <c r="K342" s="1691">
        <f>SUM(K330,K334,K340)</f>
        <v>896585</v>
      </c>
      <c r="L342" s="1698">
        <f>SUM(L330,L334,L340,L341)</f>
        <v>894129</v>
      </c>
    </row>
    <row r="343" spans="1:14" ht="12.75" customHeight="1" thickTop="1" x14ac:dyDescent="0.2">
      <c r="A343" s="2186" t="s">
        <v>1053</v>
      </c>
      <c r="B343" s="2187"/>
      <c r="C343" s="617"/>
      <c r="D343" s="617"/>
      <c r="E343" s="617"/>
      <c r="F343" s="617"/>
      <c r="G343" s="617"/>
      <c r="H343" s="617"/>
      <c r="I343" s="617"/>
      <c r="J343" s="617"/>
      <c r="K343" s="1705">
        <f>'Revenues 9-14'!J275-'Expenditures 15-22'!K342</f>
        <v>-196459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2">
        <f>SUM(C348:J348)</f>
        <v>0</v>
      </c>
      <c r="L348" s="466"/>
    </row>
    <row r="349" spans="1:14" x14ac:dyDescent="0.2">
      <c r="A349" s="1526" t="s">
        <v>206</v>
      </c>
      <c r="B349" s="615">
        <v>2540</v>
      </c>
      <c r="C349" s="466"/>
      <c r="D349" s="466"/>
      <c r="E349" s="466"/>
      <c r="F349" s="466"/>
      <c r="G349" s="466">
        <v>1186161</v>
      </c>
      <c r="H349" s="466"/>
      <c r="I349" s="467"/>
      <c r="J349" s="467"/>
      <c r="K349" s="1692">
        <f>SUM(C349:J349)</f>
        <v>1186161</v>
      </c>
      <c r="L349" s="466">
        <v>2658237</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1186161</v>
      </c>
      <c r="H350" s="1691">
        <f t="shared" si="26"/>
        <v>0</v>
      </c>
      <c r="I350" s="1691">
        <f t="shared" si="26"/>
        <v>0</v>
      </c>
      <c r="J350" s="1691">
        <f t="shared" si="26"/>
        <v>0</v>
      </c>
      <c r="K350" s="1691">
        <f t="shared" si="26"/>
        <v>1186161</v>
      </c>
      <c r="L350" s="1691">
        <f t="shared" si="26"/>
        <v>2658237</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1186161</v>
      </c>
      <c r="H352" s="1691">
        <f t="shared" si="27"/>
        <v>0</v>
      </c>
      <c r="I352" s="1691">
        <f t="shared" si="27"/>
        <v>0</v>
      </c>
      <c r="J352" s="1691">
        <f t="shared" si="27"/>
        <v>0</v>
      </c>
      <c r="K352" s="1691">
        <f t="shared" si="27"/>
        <v>1186161</v>
      </c>
      <c r="L352" s="1691">
        <f t="shared" si="27"/>
        <v>2658237</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1962</v>
      </c>
      <c r="B354" s="684" t="s">
        <v>1954</v>
      </c>
      <c r="C354" s="617"/>
      <c r="D354" s="617"/>
      <c r="E354" s="617"/>
      <c r="F354" s="617"/>
      <c r="G354" s="617"/>
      <c r="H354" s="474"/>
      <c r="I354" s="702"/>
      <c r="J354" s="617"/>
      <c r="K354" s="1720">
        <f>H354</f>
        <v>0</v>
      </c>
      <c r="L354" s="471"/>
    </row>
    <row r="355" spans="1:14" ht="12.75" customHeight="1" x14ac:dyDescent="0.2">
      <c r="A355" s="1535" t="s">
        <v>1963</v>
      </c>
      <c r="B355" s="691" t="s">
        <v>1956</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1186161</v>
      </c>
      <c r="H367" s="1691">
        <f t="shared" si="28"/>
        <v>0</v>
      </c>
      <c r="I367" s="1691">
        <f t="shared" si="28"/>
        <v>0</v>
      </c>
      <c r="J367" s="1691">
        <f t="shared" si="28"/>
        <v>0</v>
      </c>
      <c r="K367" s="1691">
        <f t="shared" si="28"/>
        <v>1186161</v>
      </c>
      <c r="L367" s="1691">
        <f t="shared" si="28"/>
        <v>2658237</v>
      </c>
    </row>
    <row r="368" spans="1:14" ht="13.5" thickTop="1" x14ac:dyDescent="0.2">
      <c r="A368" s="2200" t="s">
        <v>1053</v>
      </c>
      <c r="B368" s="2201"/>
      <c r="C368" s="655"/>
      <c r="D368" s="655"/>
      <c r="E368" s="627"/>
      <c r="F368" s="627"/>
      <c r="G368" s="627"/>
      <c r="H368" s="627"/>
      <c r="I368" s="627"/>
      <c r="J368" s="624"/>
      <c r="K368" s="1692">
        <f>'Revenues 9-14'!K275-'Expenditures 15-22'!K367</f>
        <v>-1112890</v>
      </c>
      <c r="L368" s="655"/>
    </row>
  </sheetData>
  <sheetProtection algorithmName="SHA-512" hashValue="tDCot5mpiqZaPthNlvEpkJVBMqP2uMBII+4VEPyje7VoyMJVKCqW0RJX242j8lfaCkMw6MUuOVLhBCMIrjnP1w==" saltValue="oOzvRh9RX/haa3owr2z4zw=="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horizontalDpi="4294967295" verticalDpi="4294967295" r:id="rId1"/>
  <headerFooter alignWithMargins="0">
    <oddHeader>&amp;L&amp;8Page &amp;P&amp;C&amp;"Arial,Bold"&amp;9STATEMENT OF EXPENDITURES DISBURSED/EXPENDITURES, BUDGET TO ACTUAL
FOR THE YEAR ENDING JUNE 30, 2018&amp;R&amp;8Page &amp;P</oddHeader>
    <oddFooter>&amp;CThe Notes are an Integral Part of these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sharepoint/v3"/>
    <ds:schemaRef ds:uri="http://purl.org/dc/terms/"/>
    <ds:schemaRef ds:uri="http://schemas.openxmlformats.org/package/2006/metadata/core-properties"/>
    <ds:schemaRef ds:uri="http://www.w3.org/XML/1998/namespace"/>
    <ds:schemaRef ds:uri="http://schemas.microsoft.com/office/2006/documentManagement/types"/>
    <ds:schemaRef ds:uri="4d435f69-8686-490b-bd6d-b153bf22ab50"/>
    <ds:schemaRef ds:uri="http://purl.org/dc/dcmitype/"/>
    <ds:schemaRef ds:uri="http://schemas.microsoft.com/office/infopath/2007/PartnerControls"/>
    <ds:schemaRef ds:uri="http://purl.org/dc/elements/1.1/"/>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(2)</vt:lpstr>
      <vt:lpstr>SF&amp;QC Sec-1</vt:lpstr>
      <vt:lpstr>SF&amp;QC Sec-2</vt:lpstr>
      <vt:lpstr>SF&amp;QC Sec-2 (3)</vt:lpstr>
      <vt:lpstr>SF&amp;QC Sec-2 (2)</vt:lpstr>
      <vt:lpstr>SF&amp;QC Sec-2 (4)</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2018-10-12T15:27:55Z</cp:lastPrinted>
  <dcterms:created xsi:type="dcterms:W3CDTF">2003-10-29T19:06:34Z</dcterms:created>
  <dcterms:modified xsi:type="dcterms:W3CDTF">2018-10-22T18:28:56Z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