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218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71" i="36"/>
  <c r="D72" i="36"/>
  <c r="D79" i="36"/>
  <c r="B64" i="127"/>
  <c r="B65" i="127"/>
  <c r="D26" i="108"/>
  <c r="E26" i="108"/>
  <c r="F26" i="108"/>
  <c r="G26"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D109" i="5" s="1"/>
  <c r="B5356" i="106" s="1"/>
  <c r="D5356"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13" i="7"/>
  <c r="B3726" i="106" s="1"/>
  <c r="D3726" i="106" s="1"/>
  <c r="F131" i="34"/>
  <c r="F128" i="34"/>
  <c r="B5847" i="106"/>
  <c r="D5847" i="106" s="1"/>
  <c r="B5599" i="106"/>
  <c r="D5599" i="106" s="1"/>
  <c r="H173" i="5"/>
  <c r="B5906" i="106" s="1"/>
  <c r="D5906" i="106" s="1"/>
  <c r="H6" i="4"/>
  <c r="B2656" i="106" s="1"/>
  <c r="D2656" i="106" s="1"/>
  <c r="B1746" i="106"/>
  <c r="D1746" i="106" s="1"/>
  <c r="D17" i="7"/>
  <c r="B4104" i="106" s="1"/>
  <c r="D4104" i="106" s="1"/>
  <c r="D12" i="7"/>
  <c r="B1769" i="106" s="1"/>
  <c r="D1769" i="106" s="1"/>
  <c r="D11" i="7"/>
  <c r="B1768" i="106" s="1"/>
  <c r="D1768" i="106" s="1"/>
  <c r="G173" i="5" l="1"/>
  <c r="B5778" i="106" s="1"/>
  <c r="D5778" i="106" s="1"/>
  <c r="B5770" i="106"/>
  <c r="D5770" i="106" s="1"/>
  <c r="D15" i="7"/>
  <c r="B1772" i="106" s="1"/>
  <c r="D1772" i="106" s="1"/>
  <c r="D7" i="7"/>
  <c r="B1763" i="106" s="1"/>
  <c r="D1763" i="106" s="1"/>
  <c r="K274" i="5"/>
  <c r="B5752" i="106"/>
  <c r="D5752" i="106" s="1"/>
  <c r="F127" i="34"/>
  <c r="F130" i="34"/>
  <c r="D9" i="7"/>
  <c r="B1767" i="106" s="1"/>
  <c r="D1767" i="106" s="1"/>
  <c r="D5" i="7"/>
  <c r="B1761" i="106" s="1"/>
  <c r="D1761" i="106" s="1"/>
  <c r="D5" i="4"/>
  <c r="B3406" i="106" s="1"/>
  <c r="D3406" i="106" s="1"/>
  <c r="J274" i="5"/>
  <c r="B7054" i="106" s="1"/>
  <c r="D7054" i="106" s="1"/>
  <c r="B5096" i="106"/>
  <c r="D5096" i="106" s="1"/>
  <c r="L367" i="29"/>
  <c r="B7235" i="106"/>
  <c r="D7235" i="106" s="1"/>
  <c r="B6261" i="106"/>
  <c r="D6261" i="106" s="1"/>
  <c r="J77" i="4"/>
  <c r="B6262" i="106" s="1"/>
  <c r="D6262" i="106" s="1"/>
  <c r="B6191" i="106"/>
  <c r="D6191" i="106" s="1"/>
  <c r="J41" i="3"/>
  <c r="K350" i="29"/>
  <c r="K76" i="4"/>
  <c r="B3586" i="106" s="1"/>
  <c r="D3586" i="106" s="1"/>
  <c r="H76" i="4"/>
  <c r="B3298" i="106" s="1"/>
  <c r="D3298" i="106" s="1"/>
  <c r="K24" i="12"/>
  <c r="B7733" i="106" s="1"/>
  <c r="D7733" i="106" s="1"/>
  <c r="B3649" i="106"/>
  <c r="D3649" i="106" s="1"/>
  <c r="G367" i="29"/>
  <c r="B3621" i="106"/>
  <c r="D3621" i="106" s="1"/>
  <c r="C367" i="29"/>
  <c r="K26" i="12"/>
  <c r="B7743" i="106" s="1"/>
  <c r="D7743" i="106" s="1"/>
  <c r="F19" i="7"/>
  <c r="B1807" i="106" s="1"/>
  <c r="D1807" i="106" s="1"/>
  <c r="D69" i="36"/>
  <c r="D54" i="36"/>
  <c r="L13" i="11"/>
  <c r="B2060" i="106" s="1"/>
  <c r="D2060" i="106" s="1"/>
  <c r="L342" i="29"/>
  <c r="H109" i="5"/>
  <c r="B1410" i="106"/>
  <c r="D1410" i="106" s="1"/>
  <c r="G109" i="5"/>
  <c r="G210" i="29"/>
  <c r="E29" i="108"/>
  <c r="G29" i="108"/>
  <c r="K184" i="29"/>
  <c r="F13" i="4" s="1"/>
  <c r="B2596" i="106" s="1"/>
  <c r="D2596" i="106" s="1"/>
  <c r="F111" i="34"/>
  <c r="B1329" i="106"/>
  <c r="D1329" i="106" s="1"/>
  <c r="F61" i="34"/>
  <c r="E28" i="108"/>
  <c r="F28" i="108"/>
  <c r="F41" i="108" s="1"/>
  <c r="G43" i="108" s="1"/>
  <c r="B5355" i="106"/>
  <c r="D5355" i="106" s="1"/>
  <c r="D4" i="4"/>
  <c r="B2564" i="106" s="1"/>
  <c r="D2564" i="106" s="1"/>
  <c r="F106" i="34"/>
  <c r="G30" i="108"/>
  <c r="E30" i="108"/>
  <c r="C172" i="5"/>
  <c r="B5214" i="106" s="1"/>
  <c r="D5214" i="106" s="1"/>
  <c r="C109" i="5"/>
  <c r="B5121" i="106" s="1"/>
  <c r="D5121" i="106" s="1"/>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F275" i="5"/>
  <c r="J7" i="4"/>
  <c r="B2657" i="106"/>
  <c r="D2657" i="106" s="1"/>
  <c r="D274" i="5"/>
  <c r="B3447" i="106"/>
  <c r="D3447" i="106" s="1"/>
  <c r="B7270" i="106"/>
  <c r="B3670" i="106" l="1"/>
  <c r="D3670" i="106" s="1"/>
  <c r="K352" i="29"/>
  <c r="H367" i="29"/>
  <c r="B3660" i="106" s="1"/>
  <c r="D3660" i="106" s="1"/>
  <c r="D44" i="36"/>
  <c r="D19" i="7"/>
  <c r="B1775" i="106" s="1"/>
  <c r="D1775" i="106" s="1"/>
  <c r="L16" i="11"/>
  <c r="B2061" i="106" s="1"/>
  <c r="D2061" i="106" s="1"/>
  <c r="B2031" i="106"/>
  <c r="D2031" i="106" s="1"/>
  <c r="L114" i="29"/>
  <c r="K342" i="29"/>
  <c r="F13" i="34" s="1"/>
  <c r="B6025" i="106"/>
  <c r="D6025" i="106" s="1"/>
  <c r="H4" i="4"/>
  <c r="B6024" i="106"/>
  <c r="D6024" i="106" s="1"/>
  <c r="G4" i="4"/>
  <c r="B2603" i="106" s="1"/>
  <c r="D2603" i="106" s="1"/>
  <c r="B1365" i="106"/>
  <c r="D1365" i="106" s="1"/>
  <c r="F65" i="34"/>
  <c r="B1381" i="106"/>
  <c r="D1381" i="106" s="1"/>
  <c r="B1317" i="106"/>
  <c r="D1317" i="106" s="1"/>
  <c r="C114" i="29"/>
  <c r="B757" i="106" s="1"/>
  <c r="D757" i="106" s="1"/>
  <c r="C173" i="5"/>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K13" i="4" l="1"/>
  <c r="B3572" i="106" s="1"/>
  <c r="D3572" i="106" s="1"/>
  <c r="B3672" i="106"/>
  <c r="D3672" i="106" s="1"/>
  <c r="K367" i="29"/>
  <c r="J17" i="4"/>
  <c r="B2655" i="106"/>
  <c r="D2655" i="106" s="1"/>
  <c r="H8" i="4"/>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<sst xmlns="http://schemas.openxmlformats.org/spreadsheetml/2006/main" count="5145" uniqueCount="2164">
  <si>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</si>
  <si>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</si>
  <si>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</si>
  <si>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</si>
  <si>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</si>
  <si>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</si>
  <si>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</si>
  <si>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</si>
  <si>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</si>
  <si>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</si>
  <si>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</si>
  <si>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</si>
  <si>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</si>
  <si>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</si>
  <si>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</si>
  <si>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</si>
  <si>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</si>
  <si>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</si>
  <si>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</si>
  <si>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</si>
  <si>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</si>
  <si>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</si>
  <si>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</si>
  <si>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</si>
  <si>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</si>
  <si>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</si>
  <si>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</si>
  <si>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</si>
  <si>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</si>
  <si>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</si>
  <si>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</si>
  <si>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</si>
  <si>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</si>
  <si>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</si>
  <si>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</si>
  <si>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</si>
  <si>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</si>
  <si>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</si>
  <si>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</si>
  <si>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</si>
  <si>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</si>
  <si>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</si>
  <si>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</si>
  <si>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</si>
  <si>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</si>
  <si>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</si>
  <si>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</si>
  <si>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</si>
  <si>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</si>
  <si>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</si>
  <si>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</si>
  <si>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</si>
  <si>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</si>
  <si>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</si>
  <si>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</si>
  <si>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</si>
  <si>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</si>
  <si>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</si>
  <si>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</si>
  <si>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</si>
  <si>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</si>
  <si>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</si>
  <si>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</si>
  <si>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</si>
  <si>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</si>
  <si>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</si>
  <si>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</si>
  <si>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</si>
  <si>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</si>
  <si>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</si>
  <si>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</si>
  <si>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</si>
  <si>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</si>
  <si>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</si>
  <si>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</si>
  <si>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</si>
  <si>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</si>
  <si>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</si>
  <si>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</si>
  <si>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</si>
  <si>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</si>
  <si>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</si>
  <si>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</si>
  <si>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</si>
  <si>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</si>
  <si>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</si>
  <si>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</si>
  <si>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</si>
  <si>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</si>
  <si>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</si>
  <si>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</si>
  <si>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</si>
  <si>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</si>
  <si>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</si>
  <si>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</si>
  <si>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</si>
  <si>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</si>
  <si>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</si>
  <si>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</si>
  <si>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</si>
  <si>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</si>
  <si>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</si>
  <si>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</si>
  <si>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</si>
  <si>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</si>
  <si>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</si>
  <si>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</si>
  <si>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</si>
  <si>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</si>
  <si>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</si>
  <si>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</si>
  <si>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</si>
  <si>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</si>
  <si>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</si>
  <si>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</si>
  <si>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</si>
  <si>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</si>
  <si>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</si>
  <si>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</si>
  <si>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</si>
  <si>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</si>
  <si>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</si>
  <si>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</si>
  <si>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</si>
  <si>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</si>
  <si>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</si>
  <si>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</si>
  <si>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</si>
  <si>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</si>
  <si>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</si>
  <si>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</si>
  <si>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</si>
  <si>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</si>
  <si>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</si>
  <si>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</si>
  <si>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</si>
  <si>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</si>
  <si>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</si>
  <si>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</si>
  <si>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</si>
  <si>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</si>
  <si>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</si>
  <si>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</si>
  <si>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</si>
  <si>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</si>
  <si>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</si>
  <si>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</si>
  <si>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</si>
  <si>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</si>
  <si>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</si>
  <si>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</si>
  <si>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</si>
  <si>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</si>
  <si>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</si>
  <si>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</si>
  <si>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</si>
  <si>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</si>
  <si>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</si>
  <si>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</si>
  <si>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</si>
  <si>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</si>
  <si>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</si>
  <si>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</si>
  <si>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</si>
  <si>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</si>
  <si>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</si>
  <si>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</si>
  <si>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</si>
  <si>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</si>
  <si>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</si>
  <si>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</si>
  <si>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</si>
  <si>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</si>
  <si>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</si>
  <si>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</si>
  <si>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</si>
  <si>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</si>
  <si>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</si>
  <si>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</si>
  <si>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</si>
  <si>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</si>
  <si>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</si>
  <si>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</si>
  <si>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</si>
  <si>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</si>
  <si>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</si>
  <si>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</si>
  <si>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</si>
  <si>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</si>
  <si>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</si>
  <si>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</si>
  <si>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</si>
  <si>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</si>
  <si>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</si>
  <si>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</si>
  <si>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</si>
  <si>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</si>
  <si>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</si>
  <si>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</si>
  <si>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</si>
  <si>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</si>
  <si>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</si>
  <si>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</si>
  <si>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</si>
  <si>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</si>
  <si>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</si>
  <si>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</si>
  <si>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</si>
  <si>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</si>
  <si>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</si>
  <si>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</si>
  <si>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</si>
  <si>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</si>
  <si>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</si>
  <si>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</si>
  <si>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</si>
  <si>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</si>
  <si>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</si>
  <si>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</si>
  <si>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</si>
  <si>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</si>
  <si>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</si>
  <si>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</si>
  <si>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</si>
  <si>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</si>
  <si>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</si>
  <si>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</si>
  <si>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</si>
  <si>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</si>
  <si>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</si>
  <si>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</si>
  <si>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</si>
  <si>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</si>
  <si>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</si>
  <si>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</si>
  <si>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</si>
  <si>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</si>
  <si>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</si>
  <si>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</si>
  <si>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</si>
  <si>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</si>
  <si>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</si>
  <si>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</si>
  <si>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</si>
  <si>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</si>
  <si>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</si>
  <si>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</si>
  <si>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</si>
  <si>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</si>
  <si>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</si>
  <si>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</si>
  <si>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</si>
  <si>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</si>
  <si>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</si>
  <si>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</si>
  <si>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</si>
  <si>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</si>
  <si>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</si>
  <si>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</si>
  <si>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</si>
  <si>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</si>
  <si>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</si>
  <si>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</si>
  <si>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</si>
  <si>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</si>
  <si>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</si>
  <si>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</si>
  <si>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</si>
  <si>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</si>
  <si>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</si>
  <si>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</si>
  <si>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</si>
  <si>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</si>
  <si>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</si>
  <si>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</si>
  <si>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</si>
  <si>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</si>
  <si>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</si>
  <si>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</si>
  <si>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</si>
  <si>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</si>
  <si>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</si>
  <si>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</si>
  <si>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</si>
  <si>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</si>
  <si>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</si>
  <si>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</si>
  <si>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</si>
  <si>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</si>
  <si>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</si>
  <si>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</si>
  <si>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</si>
  <si>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</si>
  <si>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</si>
  <si>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</si>
  <si>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</si>
  <si>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</si>
  <si>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</si>
  <si>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</si>
  <si>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</si>
  <si>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</si>
  <si>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</si>
  <si>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</si>
  <si>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</si>
  <si>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</si>
  <si>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</si>
  <si>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</si>
  <si>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</si>
  <si>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</si>
  <si>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</si>
  <si>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</si>
  <si>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</si>
  <si>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</si>
  <si>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</si>
  <si>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</si>
  <si>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</si>
  <si>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</si>
  <si>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</si>
  <si>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</si>
  <si>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</si>
  <si>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</si>
  <si>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</si>
  <si>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</si>
  <si>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</si>
  <si>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</si>
  <si>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</si>
  <si>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</si>
  <si>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</si>
  <si>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</si>
  <si>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</si>
  <si>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</si>
  <si>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</si>
  <si>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</si>
  <si>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</si>
  <si>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</si>
  <si>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</si>
  <si>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</si>
  <si>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</si>
  <si>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</si>
  <si>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</si>
  <si>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</si>
  <si>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</si>
  <si>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</si>
  <si>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</si>
  <si>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</si>
  <si>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</si>
  <si>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</si>
  <si>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</si>
  <si>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</si>
  <si>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</si>
  <si>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</si>
  <si>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</si>
  <si>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</si>
  <si>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</si>
  <si>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</si>
  <si>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</si>
  <si>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</si>
  <si>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</si>
  <si>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</si>
  <si>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</si>
  <si>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</si>
  <si>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</si>
  <si>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</si>
  <si>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</si>
  <si>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</si>
  <si>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</si>
  <si>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</si>
  <si>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</si>
  <si>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</si>
  <si>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</si>
  <si>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</si>
  <si>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</si>
  <si>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</si>
  <si>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</si>
  <si>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</si>
  <si>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</si>
  <si>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</si>
  <si>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</si>
  <si>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</si>
  <si>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</si>
  <si>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</si>
  <si>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</si>
  <si>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</si>
  <si>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</si>
  <si>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</si>
  <si>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</si>
  <si>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</si>
  <si>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</si>
  <si>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</si>
  <si>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</si>
  <si>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</si>
  <si>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</si>
  <si>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</si>
  <si>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</si>
  <si>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</si>
  <si>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</si>
  <si>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</si>
  <si>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</si>
  <si>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</si>
  <si>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</si>
  <si>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</si>
  <si>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</si>
  <si>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</si>
  <si>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</si>
  <si>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</si>
  <si>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</si>
  <si>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</si>
  <si>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</si>
  <si>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</si>
  <si>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</si>
  <si>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</si>
  <si>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</si>
  <si>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</si>
  <si>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</si>
  <si>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</si>
  <si>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</si>
  <si>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</si>
  <si>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</si>
  <si>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</si>
  <si>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</si>
  <si>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</si>
  <si>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</si>
  <si>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</si>
  <si>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</si>
  <si>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</si>
  <si>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</si>
  <si>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</si>
  <si>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</si>
  <si>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</si>
  <si>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</si>
  <si>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</si>
  <si>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</si>
  <si>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</si>
  <si>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</si>
  <si>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</si>
  <si>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</si>
  <si>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</si>
  <si>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</si>
  <si>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</si>
  <si>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</si>
  <si>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</si>
  <si>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</si>
  <si>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</si>
  <si>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</si>
  <si>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</si>
  <si>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</si>
  <si>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</si>
  <si>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</si>
  <si>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</si>
  <si>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</si>
  <si>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</si>
  <si>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</si>
  <si>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</si>
  <si>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</si>
  <si>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</si>
  <si>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</si>
  <si>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</si>
  <si>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</si>
  <si>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</si>
  <si>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</si>
  <si>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</si>
  <si>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</si>
  <si>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</si>
  <si>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</si>
  <si>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</si>
  <si>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</si>
  <si>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</si>
  <si>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</si>
  <si>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</si>
  <si>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</si>
  <si>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</si>
  <si>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</si>
  <si>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</si>
  <si>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</si>
  <si>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</si>
  <si>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</si>
  <si>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</si>
  <si>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</si>
  <si>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</si>
  <si>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</si>
  <si>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</si>
  <si>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</si>
  <si>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</si>
  <si>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</si>
  <si>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</si>
  <si>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</si>
  <si>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</si>
  <si>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</si>
  <si>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</si>
  <si>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</si>
  <si>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</si>
  <si>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</si>
  <si>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</si>
  <si>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</si>
  <si>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</si>
  <si>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</si>
  <si>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</si>
  <si>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</si>
  <si>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</si>
  <si>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</si>
  <si>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</si>
  <si>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</si>
  <si>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</si>
  <si>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</si>
  <si>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</si>
  <si>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</si>
  <si>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</si>
  <si>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</si>
  <si>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</si>
  <si>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</si>
  <si>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</si>
  <si>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</si>
  <si>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</si>
  <si>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</si>
  <si>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</si>
  <si>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</si>
  <si>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</si>
  <si>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</si>
  <si>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</si>
  <si>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</si>
  <si>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</si>
  <si>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</si>
  <si>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</si>
  <si>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</si>
  <si>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</si>
  <si>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</si>
  <si>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</si>
  <si>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</si>
  <si>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</si>
  <si>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</si>
  <si>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</si>
  <si>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</si>
  <si>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</si>
  <si>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</si>
  <si>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</si>
  <si>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</si>
  <si>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</si>
  <si>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</si>
  <si>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</si>
  <si>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</si>
  <si>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</si>
  <si>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</si>
  <si>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</si>
  <si>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</si>
  <si>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</si>
  <si>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</si>
  <si>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</si>
  <si>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</si>
  <si>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</si>
  <si>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</si>
  <si>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</si>
  <si>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</si>
  <si>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</si>
  <si>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</si>
  <si>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</si>
  <si>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</si>
  <si>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</si>
  <si>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</si>
  <si>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</si>
  <si>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</si>
  <si>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</si>
  <si>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</si>
  <si>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</si>
  <si>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</si>
  <si>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</si>
  <si>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</si>
  <si>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</si>
  <si>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</si>
  <si>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</si>
  <si>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</si>
  <si>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</si>
  <si>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</si>
  <si>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</si>
  <si>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</si>
  <si>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</si>
  <si>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</si>
  <si>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</si>
  <si>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</si>
  <si>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</si>
  <si>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</si>
  <si>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</si>
  <si>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</si>
  <si>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</si>
  <si>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</si>
  <si>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</si>
  <si>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</si>
  <si>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</si>
  <si>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</si>
  <si>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</si>
  <si>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</si>
  <si>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</si>
  <si>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</si>
  <si>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</si>
  <si>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</si>
  <si>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</si>
  <si>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</si>
  <si>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</si>
  <si>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</si>
  <si>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</si>
  <si>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</si>
  <si>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</si>
  <si>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</si>
  <si>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</si>
  <si>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</si>
  <si>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</si>
  <si>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</si>
  <si>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</si>
  <si>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</si>
  <si>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</si>
  <si>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</si>
  <si>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</si>
  <si>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</si>
  <si>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</si>
  <si>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</si>
  <si>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</si>
  <si>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</si>
  <si>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</si>
  <si>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</si>
  <si>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</si>
  <si>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</si>
  <si>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</si>
  <si>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</si>
  <si>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</si>
  <si>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</si>
  <si>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</si>
  <si>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</si>
  <si>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</si>
  <si>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</si>
  <si>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</si>
  <si>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</si>
  <si>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</si>
  <si>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</si>
  <si>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</si>
  <si>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</si>
  <si>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</si>
  <si>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</si>
  <si>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</si>
  <si>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</si>
  <si>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</si>
  <si>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</si>
  <si>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</si>
  <si>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</si>
  <si>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</si>
  <si>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</si>
  <si>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</si>
  <si>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</si>
  <si>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</si>
  <si>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</si>
  <si>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</si>
  <si>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</si>
  <si>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</si>
  <si>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</si>
  <si>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</si>
  <si>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</si>
  <si>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</si>
  <si>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</si>
  <si>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</si>
  <si>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</si>
  <si>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</si>
  <si>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</si>
  <si>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</si>
  <si>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</si>
  <si>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</si>
  <si>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</si>
  <si>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</si>
  <si>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</si>
  <si>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</si>
  <si>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</si>
  <si>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</si>
  <si>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</si>
  <si>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</si>
  <si>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</si>
  <si>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</si>
  <si>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</si>
  <si>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</si>
  <si>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</si>
  <si>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</si>
  <si>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</si>
  <si>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</si>
  <si>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</si>
  <si>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</si>
  <si>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</si>
  <si>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</si>
  <si>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</si>
  <si>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</si>
  <si>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</si>
  <si>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</si>
  <si>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</si>
  <si>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</si>
  <si>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</si>
  <si>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</si>
  <si>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</si>
  <si>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</si>
  <si>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</si>
  <si>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</si>
  <si>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</si>
  <si>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</si>
  <si>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</si>
  <si>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</si>
  <si>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</si>
  <si>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</si>
  <si>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</si>
  <si>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</si>
  <si>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</si>
  <si>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</si>
  <si>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</si>
  <si>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</si>
  <si>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</si>
  <si>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</si>
  <si>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</si>
  <si>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</si>
  <si>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</si>
  <si>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</si>
  <si>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</si>
  <si>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</si>
  <si>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</si>
  <si>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</si>
  <si>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</si>
  <si>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</si>
  <si>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</si>
  <si>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</si>
  <si>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</si>
  <si>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</si>
  <si>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</si>
  <si>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</si>
  <si>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</si>
  <si>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</si>
  <si>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</si>
  <si>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</si>
  <si>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</si>
  <si>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</si>
  <si>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</si>
  <si>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</si>
  <si>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</si>
  <si>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</si>
  <si>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</si>
  <si>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</si>
  <si>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</si>
  <si>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</si>
  <si>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</si>
  <si>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</si>
  <si>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</si>
  <si>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</si>
  <si>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</si>
  <si>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</si>
  <si>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</si>
  <si>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</si>
  <si>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</si>
  <si>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</si>
  <si>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</si>
  <si>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</si>
  <si>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</si>
  <si>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</si>
  <si>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</si>
  <si>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</si>
  <si>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</si>
  <si>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</si>
  <si>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</si>
  <si>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</si>
  <si>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</si>
  <si>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</si>
  <si>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</si>
  <si>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</si>
  <si>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</si>
  <si>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</si>
  <si>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</si>
  <si>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</si>
  <si>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</si>
  <si>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</si>
  <si>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</si>
  <si>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</si>
  <si>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</si>
  <si>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</si>
  <si>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</si>
  <si>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</si>
  <si>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</si>
  <si>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</si>
  <si>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</si>
  <si>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</si>
  <si>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</si>
  <si>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</si>
  <si>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</si>
  <si>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</si>
  <si>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</si>
  <si>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</si>
  <si>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</si>
  <si>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</si>
  <si>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</si>
  <si>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</si>
  <si>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</si>
  <si>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</si>
  <si>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</si>
  <si>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</si>
  <si>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</si>
  <si>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</si>
  <si>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</si>
  <si>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</si>
  <si>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</si>
  <si>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</si>
  <si>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</si>
  <si>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</si>
  <si>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</si>
  <si>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</si>
  <si>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</si>
  <si>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</si>
  <si>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</si>
  <si>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</si>
  <si>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</si>
  <si>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</si>
  <si>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</si>
  <si>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</si>
  <si>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</si>
  <si>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</si>
  <si>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</si>
  <si>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</si>
  <si>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</si>
  <si>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</si>
  <si>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</si>
  <si>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</si>
  <si>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</si>
  <si>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</si>
  <si>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</si>
  <si>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</si>
  <si>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</si>
  <si>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</si>
  <si>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</si>
  <si>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</si>
  <si>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</si>
  <si>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</si>
  <si>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</si>
  <si>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</si>
  <si>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</si>
  <si>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</si>
  <si>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</si>
  <si>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</si>
  <si>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</si>
  <si>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</si>
  <si>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</si>
  <si>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</si>
  <si>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</si>
  <si>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</si>
  <si>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</si>
  <si>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</si>
  <si>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</si>
  <si>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</si>
  <si>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</si>
  <si>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</si>
  <si>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</si>
  <si>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</si>
  <si>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</si>
  <si>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</si>
  <si>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</si>
  <si>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</si>
  <si>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</si>
  <si>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</si>
  <si>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</si>
  <si>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</si>
  <si>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</si>
  <si>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</si>
  <si>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</si>
  <si>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</si>
  <si>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</si>
  <si>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</si>
  <si>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</si>
  <si>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</si>
  <si>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</si>
  <si>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</si>
  <si>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</si>
  <si>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</si>
  <si>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</si>
  <si>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</si>
  <si>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</si>
  <si>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</si>
  <si>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</si>
  <si>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</si>
  <si>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</si>
  <si>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</si>
  <si>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</si>
  <si>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</si>
  <si>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</si>
  <si>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</si>
  <si>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</si>
  <si>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</si>
  <si>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</si>
  <si>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</si>
  <si>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</si>
  <si>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</si>
  <si>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</si>
  <si>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</si>
  <si>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</si>
  <si>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</si>
  <si>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</si>
  <si>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</si>
  <si>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</si>
  <si>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</si>
  <si>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</si>
  <si>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</si>
  <si>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</si>
  <si>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</si>
  <si>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</si>
  <si>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</si>
  <si>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</si>
  <si>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</si>
  <si>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</si>
  <si>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</si>
  <si>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</si>
  <si>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</si>
  <si>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</si>
  <si>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</si>
  <si>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</si>
  <si>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</si>
  <si>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</si>
  <si>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</si>
  <si>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</si>
  <si>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</si>
  <si>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</si>
  <si>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</si>
  <si>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</si>
  <si>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</si>
  <si>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</si>
  <si>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</si>
  <si>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</si>
  <si>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</si>
  <si>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</si>
  <si>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</si>
  <si>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</si>
  <si>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</si>
  <si>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</si>
  <si>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</si>
  <si>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</si>
  <si>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</si>
  <si>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</si>
  <si>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</si>
  <si>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</si>
  <si>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</si>
  <si>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</si>
  <si>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</si>
  <si>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</si>
  <si>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</si>
  <si>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</si>
  <si>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</si>
  <si>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</si>
  <si>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</si>
  <si>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</si>
  <si>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</si>
  <si>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</si>
  <si>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</si>
  <si>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</si>
  <si>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</si>
  <si>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</si>
  <si>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</si>
  <si>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</si>
  <si>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</si>
  <si>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</si>
  <si>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</si>
  <si>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</si>
  <si>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</si>
  <si>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</si>
  <si>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</si>
  <si>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</si>
  <si>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</si>
  <si>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</si>
  <si>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</si>
  <si>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</si>
  <si>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</si>
  <si>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</si>
  <si>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</si>
  <si>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</si>
  <si>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</si>
  <si>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</si>
  <si>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</si>
  <si>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</si>
  <si>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</si>
  <si>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</si>
  <si>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</si>
  <si>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</si>
  <si>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</si>
  <si>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</si>
  <si>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</si>
  <si>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</si>
  <si>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</si>
  <si>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</si>
  <si>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</si>
  <si>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</si>
  <si>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</si>
  <si>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</si>
  <si>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</si>
  <si>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</si>
  <si>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</si>
  <si>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</si>
  <si>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</si>
  <si>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</si>
  <si>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</si>
  <si>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</si>
  <si>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</si>
  <si>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</si>
  <si>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</si>
  <si>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</si>
  <si>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</si>
  <si>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</si>
  <si>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</si>
  <si>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</si>
  <si>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</si>
  <si>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</si>
  <si>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</si>
  <si>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</si>
  <si>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</si>
  <si>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</si>
  <si>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</si>
  <si>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</si>
  <si>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</si>
  <si>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</si>
  <si>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</si>
  <si>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</si>
  <si>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</si>
  <si>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</si>
  <si>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</si>
  <si>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</si>
  <si>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</si>
  <si>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</si>
  <si>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</si>
  <si>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</si>
  <si>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</si>
  <si>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</si>
  <si>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</si>
  <si>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</si>
  <si>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</si>
  <si>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</si>
  <si>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</si>
  <si>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</si>
  <si>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</si>
  <si>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</si>
  <si>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</si>
  <si>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</si>
  <si>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</si>
  <si>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</si>
  <si>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</si>
  <si>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</si>
  <si>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</si>
  <si>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</si>
  <si>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</si>
  <si>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</si>
  <si>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</si>
  <si>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</si>
  <si>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</si>
  <si>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</si>
  <si>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</si>
  <si>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</si>
  <si>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</si>
  <si>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</si>
  <si>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</si>
  <si>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</si>
  <si>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</si>
  <si>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</si>
  <si>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</si>
  <si>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</si>
  <si>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</si>
  <si>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</si>
  <si>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</si>
  <si>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</si>
  <si>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</si>
  <si>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</si>
  <si>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</si>
  <si>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</si>
  <si>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</si>
  <si>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</si>
  <si>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</si>
  <si>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</si>
  <si>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</si>
  <si>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</si>
  <si>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</si>
  <si>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</si>
  <si>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</si>
  <si>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</si>
  <si>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</si>
  <si>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</si>
  <si>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</si>
  <si>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</si>
  <si>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</si>
  <si>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</si>
  <si>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</si>
  <si>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</si>
  <si>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</si>
  <si>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</si>
  <si>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</si>
  <si>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</si>
  <si>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</si>
  <si>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</si>
  <si>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</si>
  <si>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</si>
  <si>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</si>
  <si>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</si>
  <si>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</si>
  <si>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</si>
  <si>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</si>
  <si>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</si>
  <si>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</si>
  <si>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</si>
  <si>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</si>
  <si>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</si>
  <si>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</si>
  <si>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</si>
  <si>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</si>
  <si>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</si>
  <si>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</si>
  <si>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</si>
  <si>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</si>
  <si>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</si>
  <si>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</si>
  <si>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</si>
  <si>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</si>
  <si>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</si>
  <si>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</si>
  <si>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</si>
  <si>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</si>
  <si>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</si>
  <si>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</si>
  <si>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</si>
  <si>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</si>
  <si>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</si>
  <si>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</si>
  <si>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</si>
  <si>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</si>
  <si>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</si>
  <si>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</si>
  <si>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</si>
  <si>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</si>
  <si>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</si>
  <si>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</si>
  <si>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</si>
  <si>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</si>
  <si>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</si>
  <si>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</si>
  <si>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</si>
  <si>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</si>
  <si>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</si>
  <si>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</si>
  <si>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</si>
  <si>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</si>
  <si>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</si>
  <si>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</si>
  <si>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</si>
  <si>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</si>
  <si>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</si>
  <si>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</si>
  <si>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</si>
  <si>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</si>
  <si>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</si>
  <si>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</si>
  <si>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</si>
  <si>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</si>
  <si>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</si>
  <si>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</si>
  <si>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</si>
  <si>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</si>
  <si>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</si>
  <si>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</si>
  <si>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</si>
  <si>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</si>
  <si>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</si>
  <si>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</si>
  <si>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</si>
  <si>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</si>
  <si>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</si>
  <si>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</si>
  <si>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</si>
  <si>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</si>
  <si>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</si>
  <si>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</si>
  <si>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</si>
  <si>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</si>
  <si>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</si>
  <si>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</si>
  <si>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</si>
  <si>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</si>
  <si>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</si>
  <si>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</si>
  <si>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</si>
  <si>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</si>
  <si>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</si>
  <si>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</si>
  <si>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</si>
  <si>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</si>
  <si>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</si>
  <si>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</si>
  <si>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</si>
  <si>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</si>
  <si>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</si>
  <si>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</si>
  <si>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</si>
  <si>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</si>
  <si>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</si>
  <si>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</si>
  <si>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</si>
  <si>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</si>
  <si>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</si>
  <si>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</si>
  <si>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</si>
  <si>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</si>
  <si>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</si>
  <si>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</si>
  <si>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</si>
  <si>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</si>
  <si>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</si>
  <si>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</si>
  <si>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</si>
  <si>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</si>
  <si>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</si>
  <si>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</si>
  <si>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</si>
  <si>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</si>
  <si>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</si>
  <si>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</si>
  <si>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</si>
  <si>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</si>
  <si>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</si>
  <si>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</si>
  <si>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</si>
  <si>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</si>
  <si>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</si>
  <si>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</si>
  <si>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</si>
  <si>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</si>
  <si>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</si>
  <si>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</si>
  <si>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</si>
  <si>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</si>
  <si>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</si>
  <si>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</si>
  <si>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</si>
  <si>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</si>
  <si>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</si>
  <si>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</si>
  <si>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</si>
  <si>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</si>
  <si>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</si>
  <si>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</si>
  <si>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</si>
  <si>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</si>
  <si>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</si>
  <si>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</si>
  <si>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</si>
  <si>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</si>
  <si>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</si>
  <si>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</si>
  <si>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</si>
  <si>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</si>
  <si>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</si>
  <si>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</si>
  <si>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</si>
  <si>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</si>
  <si>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</si>
  <si>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</si>
  <si>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</si>
  <si>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</si>
  <si>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</si>
  <si>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</si>
  <si>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</si>
  <si>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</si>
  <si>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</si>
  <si>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</si>
  <si>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</si>
  <si>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</si>
  <si>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</si>
  <si>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</si>
  <si>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</si>
  <si>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</si>
  <si>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</si>
  <si>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</si>
  <si>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</si>
  <si>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</si>
  <si>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</si>
  <si>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</si>
  <si>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</si>
  <si>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</si>
  <si>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</si>
  <si>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</si>
  <si>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</si>
  <si>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</si>
  <si>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</si>
  <si>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</si>
  <si>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</si>
  <si>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</si>
  <si>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</si>
  <si>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</si>
  <si>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</si>
  <si>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</si>
  <si>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</si>
  <si>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</si>
  <si>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</si>
  <si>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</si>
  <si>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</si>
  <si>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</si>
  <si>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</si>
  <si>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</si>
  <si>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</si>
  <si>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</si>
  <si>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</si>
  <si>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</si>
  <si>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</si>
  <si>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</si>
  <si>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</si>
  <si>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</si>
  <si>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</si>
  <si>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</si>
  <si>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</si>
  <si>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</si>
  <si>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</si>
  <si>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</si>
  <si>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</si>
  <si>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</si>
  <si>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</si>
  <si>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</si>
  <si>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</si>
  <si>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</si>
  <si>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</si>
  <si>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</si>
  <si>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</si>
  <si>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</si>
  <si>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</si>
  <si>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</si>
  <si>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</si>
  <si>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</si>
  <si>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</si>
  <si>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</si>
  <si>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</si>
  <si>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</si>
  <si>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</si>
  <si>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</si>
  <si>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</si>
  <si>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</si>
  <si>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</si>
  <si>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</si>
  <si>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</si>
  <si>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</si>
  <si>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</si>
  <si>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</si>
  <si>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</si>
  <si>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</si>
  <si>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</si>
  <si>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</si>
  <si>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</si>
  <si>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</si>
  <si>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</si>
  <si>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</si>
  <si>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</si>
  <si>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</si>
  <si>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</si>
  <si>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</si>
  <si>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</si>
  <si>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</si>
  <si>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</si>
  <si>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</si>
  <si>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</si>
  <si>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</si>
  <si>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</si>
  <si>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</si>
  <si>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</si>
  <si>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</si>
  <si>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</si>
  <si>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</si>
  <si>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</si>
  <si>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</si>
  <si>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</si>
  <si>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</si>
  <si>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</si>
  <si>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</si>
  <si>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</si>
  <si>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</si>
  <si>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</si>
  <si>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</si>
  <si>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</si>
  <si>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</si>
  <si>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</si>
  <si>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</si>
  <si>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</si>
  <si>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</si>
  <si>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</si>
  <si>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</si>
  <si>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</si>
  <si>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</si>
  <si>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</si>
  <si>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</si>
  <si>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</si>
  <si>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</si>
  <si>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</si>
  <si>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</si>
  <si>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</si>
  <si>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</si>
  <si>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</si>
  <si>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</si>
  <si>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</si>
  <si>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</si>
  <si>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</si>
  <si>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</si>
  <si>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</si>
  <si>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</si>
  <si>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</si>
  <si>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</si>
  <si>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</si>
  <si>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</si>
  <si>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</si>
  <si>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</si>
  <si>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</si>
  <si>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</si>
  <si>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</si>
  <si>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</si>
  <si>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</si>
  <si>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</si>
  <si>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</si>
  <si>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</si>
  <si>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</si>
  <si>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</si>
  <si>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</si>
  <si>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</si>
  <si>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</si>
  <si>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</si>
  <si>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</si>
  <si>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</si>
  <si>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</si>
  <si>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</si>
  <si>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</si>
  <si>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</si>
  <si>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</si>
  <si>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</si>
  <si>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</si>
  <si>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</si>
  <si>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</si>
  <si>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</si>
  <si>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</si>
  <si>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</si>
  <si>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</si>
  <si>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</si>
  <si>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</si>
  <si>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</si>
  <si>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</si>
  <si>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</si>
  <si>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</si>
  <si>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</si>
  <si>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</si>
  <si>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</si>
  <si>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</si>
  <si>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</si>
  <si>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</si>
  <si>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</si>
  <si>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</si>
  <si>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</si>
  <si>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</si>
  <si>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</si>
  <si>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</si>
  <si>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</si>
  <si>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</si>
  <si>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</si>
  <si>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</si>
  <si>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</si>
  <si>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</si>
  <si>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</si>
  <si>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</si>
  <si>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</si>
  <si>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</si>
  <si>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</si>
  <si>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</si>
  <si>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</si>
  <si>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</si>
  <si>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</si>
  <si>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</si>
  <si>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</si>
  <si>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</si>
  <si>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</si>
  <si>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</si>
  <si>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</si>
  <si>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</si>
  <si>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</si>
  <si>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</si>
  <si>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</si>
  <si>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</si>
  <si>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</si>
  <si>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</si>
  <si>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</si>
  <si>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</si>
  <si>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</si>
  <si>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</si>
  <si>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</si>
  <si>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</si>
  <si>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</si>
  <si>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</si>
  <si>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</si>
  <si>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</si>
  <si>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</si>
  <si>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</si>
  <si>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</si>
  <si>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</si>
  <si>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</si>
  <si>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</si>
  <si>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</si>
  <si>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</si>
  <si>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</si>
  <si>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</si>
  <si>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</si>
  <si>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</si>
  <si>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</si>
  <si>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</si>
  <si>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</si>
  <si>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</si>
  <si>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</si>
  <si>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</si>
  <si>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</si>
  <si>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</si>
  <si>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</si>
  <si>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</si>
  <si>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</si>
  <si>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</si>
  <si>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</si>
  <si>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</si>
  <si>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</si>
  <si>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</si>
  <si>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</si>
  <si>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</si>
  <si>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</si>
  <si>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</si>
  <si>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</si>
  <si>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</si>
  <si>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</si>
  <si>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</si>
  <si>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</si>
  <si>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</si>
  <si>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</si>
  <si>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</si>
  <si>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</si>
  <si>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</si>
  <si>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</si>
  <si>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</si>
  <si>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</si>
  <si>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</si>
  <si>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</si>
  <si>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</si>
  <si>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</si>
  <si>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</si>
  <si>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</si>
  <si>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</si>
  <si>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</si>
  <si>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</si>
  <si>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</si>
  <si>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</si>
  <si>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</si>
  <si>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</si>
  <si>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</si>
  <si>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</si>
  <si>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</si>
  <si>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</si>
  <si>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</si>
  <si>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</si>
  <si>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</si>
  <si>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</si>
  <si>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</si>
  <si>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</si>
  <si>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</si>
  <si>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</si>
  <si>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</si>
  <si>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</si>
  <si>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</si>
  <si>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</si>
  <si>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</si>
  <si>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</si>
  <si>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</si>
  <si>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</si>
  <si>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</si>
  <si>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</si>
  <si>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</si>
  <si>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</si>
  <si>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</si>
  <si>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</si>
  <si>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</si>
  <si>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</si>
  <si>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</si>
  <si>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</si>
  <si>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</si>
  <si>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</si>
  <si>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</si>
  <si>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</si>
  <si>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</si>
  <si>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</si>
  <si>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</si>
  <si>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</si>
  <si>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</si>
  <si>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</si>
  <si>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</si>
  <si>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</si>
  <si>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</si>
  <si>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</si>
  <si>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</si>
  <si>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</si>
  <si>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</si>
  <si>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</si>
  <si>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</si>
  <si>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</si>
  <si>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</si>
  <si>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</si>
  <si>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</si>
  <si>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</si>
  <si>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</si>
  <si>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</si>
  <si>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</si>
  <si>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</si>
  <si>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</si>
  <si>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</si>
  <si>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</si>
  <si>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</si>
  <si>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</si>
  <si>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</si>
  <si>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</si>
  <si>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</si>
  <si>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</si>
  <si>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</si>
  <si>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</si>
  <si>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</si>
  <si>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</si>
  <si>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</si>
  <si>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</si>
  <si>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</si>
  <si>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</si>
  <si>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</si>
  <si>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</si>
  <si>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</si>
  <si>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</si>
  <si>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</si>
  <si>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</si>
  <si>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</si>
  <si>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</si>
  <si>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</si>
  <si>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</si>
  <si>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</si>
  <si>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</si>
  <si>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</si>
  <si>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</si>
  <si>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</si>
  <si>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</si>
  <si>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</si>
  <si>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</si>
  <si>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</si>
  <si>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</si>
  <si>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</si>
  <si>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</si>
  <si>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</si>
  <si>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</si>
  <si>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</si>
  <si>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</si>
  <si>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</si>
  <si>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</si>
  <si>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</si>
  <si>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</si>
  <si>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</si>
  <si>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</si>
  <si>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</si>
  <si>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</si>
  <si>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</si>
  <si>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</si>
  <si>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</si>
  <si>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</si>
  <si>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</si>
  <si>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</si>
  <si>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</si>
  <si>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</si>
  <si>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</si>
  <si>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</si>
  <si>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</si>
  <si>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</si>
  <si>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</si>
  <si>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</si>
  <si>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</si>
  <si>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</si>
  <si>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</si>
  <si>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</si>
  <si>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</si>
  <si>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</si>
  <si>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</si>
  <si>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</si>
  <si>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</si>
  <si>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</si>
  <si>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</si>
  <si>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</si>
  <si>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</si>
  <si>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</si>
  <si>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</si>
  <si>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</si>
  <si>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</si>
  <si>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</si>
  <si>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</si>
  <si>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</si>
  <si>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</si>
  <si>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</si>
  <si>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</si>
  <si>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</si>
  <si>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</si>
  <si>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</si>
  <si>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</si>
  <si>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</si>
  <si>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</si>
  <si>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</si>
  <si>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</si>
  <si>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</si>
  <si>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</si>
  <si>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</si>
  <si>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</si>
  <si>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</si>
  <si>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</si>
  <si>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</si>
  <si>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</si>
  <si>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</si>
  <si>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</si>
  <si>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</si>
  <si>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</si>
  <si>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</si>
  <si>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</si>
  <si>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</si>
  <si>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</si>
  <si>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</si>
  <si>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</si>
  <si>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</si>
  <si>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</si>
  <si>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</si>
  <si>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</si>
  <si>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</si>
  <si>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</si>
  <si>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</si>
  <si>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</si>
  <si>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</si>
  <si>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</si>
  <si>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</si>
  <si>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</si>
  <si>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</si>
  <si>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</si>
  <si>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</si>
  <si>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</si>
  <si>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</si>
  <si>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</si>
  <si>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</si>
  <si>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</si>
  <si>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</si>
  <si>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</si>
  <si>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</si>
  <si>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</si>
  <si>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</si>
  <si>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</si>
  <si>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</si>
  <si>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</si>
  <si>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</si>
  <si>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</si>
  <si>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</si>
  <si>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</si>
  <si>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</si>
  <si>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</si>
  <si>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</si>
  <si>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</si>
  <si>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</si>
  <si>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</si>
  <si>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</si>
  <si>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</si>
  <si>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</si>
  <si>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</si>
  <si>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</si>
  <si>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</si>
  <si>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</si>
  <si>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</si>
  <si>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</si>
  <si>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</si>
  <si>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</si>
  <si>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</si>
  <si>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</si>
  <si>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</si>
  <si>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</si>
  <si>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</si>
  <si>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</si>
  <si>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</si>
  <si>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</si>
  <si>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</si>
  <si>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</si>
  <si>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</si>
  <si>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</si>
  <si>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</si>
  <si>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</si>
  <si>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</si>
  <si>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</si>
  <si>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</si>
  <si>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</si>
  <si>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</si>
  <si>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</si>
  <si>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</si>
  <si>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</si>
  <si>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</si>
  <si>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</si>
  <si>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</si>
  <si>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</si>
  <si>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</si>
  <si>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</si>
  <si>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</si>
  <si>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</si>
  <si>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</si>
  <si>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</si>
  <si>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</si>
  <si>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</si>
  <si>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</si>
  <si>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</si>
  <si>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</si>
  <si>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</si>
  <si>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</si>
  <si>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</si>
  <si>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</si>
  <si>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</si>
  <si>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</si>
  <si>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</si>
  <si>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</si>
  <si>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</si>
  <si>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</si>
  <si>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</si>
  <si>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</si>
  <si>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</si>
  <si>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</si>
  <si>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</si>
  <si>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</si>
  <si>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</si>
  <si>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</si>
  <si>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</si>
  <si>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</si>
  <si>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</si>
  <si>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</si>
  <si>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</si>
  <si>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</si>
  <si>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</si>
  <si>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</si>
  <si>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</si>
  <si>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</si>
  <si>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</si>
  <si>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</si>
  <si>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</si>
  <si>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</si>
  <si>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</si>
  <si>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</si>
  <si>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</si>
  <si>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</si>
  <si>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</si>
  <si>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</si>
  <si>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</si>
  <si>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</si>
  <si>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</si>
  <si>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</si>
  <si>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</si>
  <si>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</si>
  <si>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</si>
  <si>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</si>
  <si>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</si>
  <si>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</si>
  <si>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</si>
  <si>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</si>
  <si>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</si>
  <si>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</si>
  <si>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</si>
  <si>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</si>
  <si>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</si>
  <si>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</si>
  <si>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</si>
  <si>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</si>
  <si>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</si>
  <si>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</si>
  <si>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</si>
  <si>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</si>
  <si>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</si>
  <si>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</si>
  <si>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</si>
  <si>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</si>
  <si>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</si>
  <si>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</si>
  <si>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</si>
  <si>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</si>
  <si>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</si>
  <si>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</si>
  <si>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</si>
  <si>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</si>
  <si>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</si>
  <si>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</si>
  <si>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</si>
  <si>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</si>
  <si>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</si>
  <si>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</si>
  <si>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</si>
  <si>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</si>
  <si>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</si>
  <si>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</si>
  <si>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</si>
  <si>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</si>
  <si>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</si>
  <si>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</si>
  <si>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</si>
  <si>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</si>
  <si>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</si>
  <si>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</si>
  <si>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</si>
  <si>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</si>
  <si>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</si>
  <si>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</si>
  <si>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</si>
  <si>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</si>
  <si>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</si>
  <si>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</si>
  <si>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</si>
  <si>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</si>
  <si>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</si>
  <si>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</si>
  <si>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</si>
  <si>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</si>
  <si>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</si>
  <si>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</si>
  <si>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</si>
  <si>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</si>
  <si>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</si>
  <si>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</si>
  <si>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</si>
  <si>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</si>
  <si>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</si>
  <si>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</si>
  <si>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</si>
  <si>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</si>
  <si>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</si>
  <si>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</si>
  <si>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</si>
  <si>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</si>
  <si>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</si>
  <si>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</si>
  <si>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</si>
  <si>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</si>
  <si>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</si>
  <si>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</si>
  <si>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</si>
  <si>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</si>
  <si>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</si>
  <si>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</si>
  <si>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</si>
  <si>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</si>
  <si>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</si>
  <si>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</si>
  <si>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</si>
  <si>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</si>
  <si>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</si>
  <si>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</si>
  <si>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</si>
  <si>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</si>
  <si>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</si>
  <si>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</si>
  <si>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</si>
  <si>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</si>
  <si>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</si>
  <si>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</si>
  <si>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</si>
  <si>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</si>
  <si>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</si>
  <si>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</si>
  <si>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</si>
  <si>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</si>
  <si>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</si>
  <si>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</si>
  <si>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</si>
  <si>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</si>
  <si>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</si>
  <si>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</si>
  <si>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</si>
  <si>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</si>
  <si>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</si>
  <si>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</si>
  <si>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</si>
  <si>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</si>
  <si>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</si>
  <si>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</si>
  <si>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</si>
  <si>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</si>
  <si>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</si>
  <si>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</si>
  <si>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</si>
  <si>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</si>
  <si>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</si>
  <si>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</si>
  <si>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</si>
  <si>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</si>
  <si>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</si>
  <si>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</si>
  <si>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</si>
  <si>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</si>
  <si>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</si>
  <si>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</si>
  <si>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</si>
  <si>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</si>
  <si>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</si>
  <si>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</si>
  <si>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</si>
  <si>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</si>
  <si>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</si>
  <si>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</si>
  <si>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</si>
  <si>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</si>
  <si>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</si>
  <si>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</si>
  <si>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</si>
  <si>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</si>
  <si>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</si>
  <si>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</si>
  <si>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</si>
  <si>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</si>
  <si>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</si>
  <si>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</si>
  <si>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</si>
  <si>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</si>
  <si>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</si>
  <si>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</si>
  <si>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</si>
  <si>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</si>
  <si>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</si>
  <si>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</si>
  <si>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</si>
  <si>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</si>
  <si>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</si>
  <si>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</si>
  <si>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</si>
  <si>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</si>
  <si>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</si>
  <si>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</si>
  <si>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</si>
  <si>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</si>
  <si>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</si>
  <si>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</si>
  <si>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</si>
  <si>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</si>
  <si>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</si>
  <si>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</si>
  <si>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</si>
  <si>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</si>
  <si>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</si>
  <si>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</si>
  <si>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</si>
  <si>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</si>
  <si>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</si>
  <si>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</si>
  <si>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</si>
  <si>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</si>
  <si>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</si>
  <si>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</si>
  <si>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</si>
  <si>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</si>
  <si>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</si>
  <si>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</si>
  <si>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</si>
  <si>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</si>
  <si>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</si>
  <si>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</si>
  <si>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</si>
  <si>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</si>
  <si>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</si>
  <si>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</si>
  <si>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</si>
  <si>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</si>
  <si>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</si>
  <si>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</si>
  <si>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</si>
  <si>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</si>
  <si>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</si>
  <si>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</si>
  <si>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</si>
  <si>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</si>
  <si>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</si>
  <si>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</si>
  <si>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</si>
  <si>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</si>
  <si>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</si>
  <si>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</si>
  <si>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</si>
  <si>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</si>
  <si>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</si>
  <si>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</si>
  <si>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</si>
  <si>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</si>
  <si>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KNOX, PEORIA, AND STARK</t>
  </si>
  <si>
    <t>325 WEST KENTUCKY</t>
  </si>
  <si>
    <t>WILLIAMSFIELD, ILLINOIS</t>
  </si>
  <si>
    <t>tim.farquer@billtown.org</t>
  </si>
  <si>
    <t>TIM FARQUER</t>
  </si>
  <si>
    <t>309-639-2219</t>
  </si>
  <si>
    <t>309-639-2618</t>
  </si>
  <si>
    <t>BLUCKER, KNEER &amp; ASSOCIATES</t>
  </si>
  <si>
    <t>TERESA A. WELCH</t>
  </si>
  <si>
    <t>P.O. BOX 1464</t>
  </si>
  <si>
    <t>GALESBURG</t>
  </si>
  <si>
    <t>IL</t>
  </si>
  <si>
    <t>309-343-4156</t>
  </si>
  <si>
    <t>309-343-0174</t>
  </si>
  <si>
    <t>065-024137</t>
  </si>
  <si>
    <t>teresabka@gmail.com</t>
  </si>
  <si>
    <t>JODI SCOTT</t>
  </si>
  <si>
    <t>jscott@roe33.net</t>
  </si>
  <si>
    <t>309-734-2452</t>
  </si>
  <si>
    <t>309-734-6822</t>
  </si>
  <si>
    <t>2015 Alternate Revenue Bonds</t>
  </si>
  <si>
    <t>2017 Alternate Revenue Bonds</t>
  </si>
  <si>
    <t>Transportation Lease</t>
  </si>
  <si>
    <t>Alternate Revenue Bonds</t>
  </si>
  <si>
    <t>Capital Leases</t>
  </si>
  <si>
    <t>Knox-Warren Special Education Cooperative</t>
  </si>
  <si>
    <t>Dalabar/Carl Sandburg College</t>
  </si>
  <si>
    <t>Mid-County Athletic Co-op - Galva / ROWVA</t>
  </si>
  <si>
    <t>Question 23 - The District uses Cash Basis of Accounting.</t>
  </si>
  <si>
    <t>Blucker, Kneer &amp; Associates, Ltd.</t>
  </si>
  <si>
    <t>Building- Operation &amp; Maintance</t>
  </si>
  <si>
    <t>Building- Plant Services</t>
  </si>
  <si>
    <t>Building - site improvements &amp; infrastrature</t>
  </si>
  <si>
    <t>Lehr AV Systems</t>
  </si>
  <si>
    <t>Iowa Illinois Taylor Insultation</t>
  </si>
  <si>
    <t>Kemper Construction</t>
  </si>
  <si>
    <t>EDUCATION</t>
  </si>
  <si>
    <t>#3999 - $ 750 - State Library Grant</t>
  </si>
  <si>
    <t>#1999 - $4,155 - Other Miscellaneous Receipts.</t>
  </si>
  <si>
    <t>#4999 - $ 26,567 - REAP Grant Receipts</t>
  </si>
  <si>
    <t xml:space="preserve">#2190- Technology Cost - #100 - $58,401,  #200- $6,309, #300 - $9, #400 - $13,554 - $11, 271 Tech Supplies and $2,283 is Graduation Supplies, </t>
  </si>
  <si>
    <t>#500 - $6,212 internet components,  #600- $500 Scholarships</t>
  </si>
  <si>
    <t>#5400 - $1000 Bond Agent Fees</t>
  </si>
  <si>
    <t>MUNICPAL RETIREMENT/SOCIAL SECURITY FUND</t>
  </si>
  <si>
    <t>DEBT SERVICES</t>
  </si>
  <si>
    <t>#2190 - $ 11,668 Benefits for Technology Salaries.</t>
  </si>
  <si>
    <t>PAGE 24 - SCHEDULE OF LONG-TERM DEBT</t>
  </si>
  <si>
    <t>Transportation Lease - Lease was entered for purchase of 14 passenger bus.</t>
  </si>
  <si>
    <t>PAGE 25 - SCHEDULE OF RESTRICTED LOCAL TAX LEVIES &amp; SELECTED REVENUE SOURCES</t>
  </si>
  <si>
    <t>Debt Service Other - $1000 is debt agent fees.</t>
  </si>
  <si>
    <t>Duties of the school district personnel are to be segregated to reduce the risk of error or fraud so that no one individual controls all key aspects of a transaction.  By doing this, the district ensures reliable financial reporting, effective, and efficient operations, and compliance with applicable laws and regulations.</t>
  </si>
  <si>
    <t>A single individual controls most of the accounting functions including those related to cash transactions, payroll, and general ledger.  This results in a lack of segregation of duties.</t>
  </si>
  <si>
    <t>The above condition is an on going issue for the school district.</t>
  </si>
  <si>
    <t>Transactions could be altered by District personnel in error or in an efford to commit fraud.</t>
  </si>
  <si>
    <t>The number of personnel performing accounting functions limit the ability of the district to have adequate segregation of duties over accounting transactions.</t>
  </si>
  <si>
    <t>This type of weakness is common among school districts of this size and number of employees.  The finding could be eliminated by hiring additional staff and separating accounting duties.  However, this not practical under current budget constraints.</t>
  </si>
  <si>
    <t>Due to the size of the distrcit, the proposed corrective actions are not deemed practical.</t>
  </si>
  <si>
    <t>Financial Statements are the responsibility of the client and should be prepared by them including footnotes.</t>
  </si>
  <si>
    <t>The District does not have an internal control system available or the personnel with the needed expertise and knowledge to prepare the financial statements.  The auditors draft the financial statements and notes.  The District's management review the draft financial statements.</t>
  </si>
  <si>
    <t>Management or employees in the normal course of performing their assigned functions may not prevent or detect financial statements mistatements in a timely manner.</t>
  </si>
  <si>
    <t>The District has no one with the necessary expertise to prepare the financial statements and footnotes.</t>
  </si>
  <si>
    <t>The District should retain an employee capable of preparing the Financial Statements and required footnotes.</t>
  </si>
  <si>
    <t>Due to the size of the district, it is the decision of management to accept this deficiencey in light of costs and other considerations.</t>
  </si>
  <si>
    <t>Per Illinois Compiled Statutes, total fund expenditures may not legally exceed the District's budgeted amounts.</t>
  </si>
  <si>
    <t>For the year ending June 30, 2018, actual expenditures for the Debt Service, Transporation, IMRF, and Capital Project Funds exceeded the budget.</t>
  </si>
  <si>
    <t>The approved budget establishes the authorized expenditure limitation in each fund.</t>
  </si>
  <si>
    <t>Actual expenditures exceeded the budget in several funds.</t>
  </si>
  <si>
    <t>A closer review of expenditures needs to be maintained and reflected in the amended budget.</t>
  </si>
  <si>
    <t>The District more close monitor the actual expenditures compared to budget and modify the budget as needed.</t>
  </si>
  <si>
    <t>The District did amend the budget, however actual expenditures still exceeded the budgeted amounts.</t>
  </si>
  <si>
    <t>2017-002</t>
  </si>
  <si>
    <t>Lack of Segregation of Duties</t>
  </si>
  <si>
    <t xml:space="preserve">Repeat Finding - Corrective Action is not practical in the </t>
  </si>
  <si>
    <t>current ecomonic times.</t>
  </si>
  <si>
    <t>2017-001</t>
  </si>
  <si>
    <t>Financial Statements &amp; Footnote Preparation</t>
  </si>
  <si>
    <t>2017-003</t>
  </si>
  <si>
    <t>Expenditures in excess of Budget amounts</t>
  </si>
  <si>
    <t>Repeat Finding - Corrective Action to be better</t>
  </si>
  <si>
    <t>implemented.</t>
  </si>
  <si>
    <t>2017-004</t>
  </si>
  <si>
    <t>Use of Corporate Personal Property Replacement</t>
  </si>
  <si>
    <t>Taxes</t>
  </si>
  <si>
    <t>This finding has been corrected.</t>
  </si>
  <si>
    <t>Williamsfield CUSD 210</t>
  </si>
  <si>
    <t>20-2540-500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</si>
</sst>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5" fillId="0" borderId="78" xfId="0" applyFont="1" applyBorder="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14</xdr:row>
          <xdr:rowOff>0</xdr:rowOff>
        </xdr:from>
        <xdr:to>
          <xdr:col>6</xdr:col>
          <xdr:colOff>304800</xdr:colOff>
          <xdr:row>15</xdr:row>
          <xdr:rowOff>523875</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6</xdr:col>
          <xdr:colOff>304800</xdr:colOff>
          <xdr:row>11</xdr:row>
          <xdr:rowOff>38100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3" t="s">
        <v>425</v>
      </c>
      <c r="J1" s="2004"/>
      <c r="K1" s="2004"/>
      <c r="L1" s="2004"/>
      <c r="M1" s="2004"/>
      <c r="N1" s="2004"/>
      <c r="O1" s="2004"/>
      <c r="P1" s="2004"/>
      <c r="Q1" s="2004"/>
      <c r="R1" s="2004"/>
      <c r="S1" s="2004"/>
    </row>
    <row r="2" spans="1:28" ht="12" customHeight="1" x14ac:dyDescent="0.2">
      <c r="A2" s="47" t="s">
        <v>1684</v>
      </c>
      <c r="D2" s="48"/>
      <c r="I2" s="2005" t="s">
        <v>1036</v>
      </c>
      <c r="J2" s="2004"/>
      <c r="K2" s="2004"/>
      <c r="L2" s="2004"/>
      <c r="M2" s="2004"/>
      <c r="N2" s="2004"/>
      <c r="O2" s="2004"/>
      <c r="P2" s="2004"/>
      <c r="Q2" s="2004"/>
      <c r="R2" s="2004"/>
      <c r="S2" s="2004"/>
    </row>
    <row r="3" spans="1:28" ht="12" customHeight="1" x14ac:dyDescent="0.2">
      <c r="A3" s="155" t="s">
        <v>1685</v>
      </c>
      <c r="B3" s="156"/>
      <c r="C3" s="156"/>
      <c r="D3" s="157"/>
      <c r="I3" s="2005" t="s">
        <v>54</v>
      </c>
      <c r="J3" s="2004"/>
      <c r="K3" s="2004"/>
      <c r="L3" s="2004"/>
      <c r="M3" s="2004"/>
      <c r="N3" s="2004"/>
      <c r="O3" s="2004"/>
      <c r="P3" s="2004"/>
      <c r="Q3" s="2004"/>
      <c r="R3" s="2004"/>
      <c r="S3" s="2004"/>
    </row>
    <row r="4" spans="1:28" ht="12" customHeight="1" x14ac:dyDescent="0.2">
      <c r="A4" s="37"/>
      <c r="I4" s="2005" t="s">
        <v>545</v>
      </c>
      <c r="J4" s="2004"/>
      <c r="K4" s="2004"/>
      <c r="L4" s="2004"/>
      <c r="M4" s="2004"/>
      <c r="N4" s="2004"/>
      <c r="O4" s="2004"/>
      <c r="P4" s="2004"/>
      <c r="Q4" s="2004"/>
      <c r="R4" s="2004"/>
      <c r="S4" s="2004"/>
    </row>
    <row r="5" spans="1:28" ht="14.1" customHeight="1" x14ac:dyDescent="0.2">
      <c r="B5" s="104" t="s">
        <v>2077</v>
      </c>
      <c r="C5" s="26" t="s">
        <v>966</v>
      </c>
      <c r="D5" s="84"/>
      <c r="E5" s="84"/>
      <c r="H5" s="38"/>
      <c r="I5" s="2013" t="s">
        <v>701</v>
      </c>
      <c r="J5" s="2012"/>
      <c r="K5" s="2012"/>
      <c r="L5" s="2012"/>
      <c r="M5" s="2012"/>
      <c r="N5" s="2012"/>
      <c r="O5" s="2012"/>
      <c r="P5" s="2012"/>
      <c r="Q5" s="2012"/>
      <c r="R5" s="2012"/>
      <c r="S5" s="2012"/>
    </row>
    <row r="6" spans="1:28" ht="14.1" customHeight="1" x14ac:dyDescent="0.2">
      <c r="B6" s="104"/>
      <c r="C6" s="26" t="s">
        <v>967</v>
      </c>
      <c r="D6" s="84"/>
      <c r="E6" s="84"/>
      <c r="I6" s="2011" t="s">
        <v>938</v>
      </c>
      <c r="J6" s="2012"/>
      <c r="K6" s="2012"/>
      <c r="L6" s="2012"/>
      <c r="M6" s="2012"/>
      <c r="N6" s="2012"/>
      <c r="O6" s="2012"/>
      <c r="P6" s="2012"/>
      <c r="Q6" s="2012"/>
      <c r="R6" s="2012"/>
      <c r="S6" s="2012"/>
    </row>
    <row r="7" spans="1:28" ht="12.2" customHeight="1" x14ac:dyDescent="0.2">
      <c r="I7" s="2006">
        <v>43281</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695</v>
      </c>
      <c r="J9" s="2009"/>
      <c r="K9" s="2009"/>
      <c r="L9" s="2009"/>
      <c r="M9" s="2009"/>
      <c r="N9" s="2009"/>
      <c r="O9" s="2009"/>
      <c r="P9" s="2009"/>
      <c r="Q9" s="2009"/>
      <c r="R9" s="2009"/>
      <c r="S9" s="2010"/>
      <c r="T9" s="2024" t="s">
        <v>554</v>
      </c>
      <c r="U9" s="2025"/>
      <c r="V9" s="2025"/>
      <c r="W9" s="2025"/>
      <c r="X9" s="2025"/>
      <c r="Y9" s="2025"/>
      <c r="Z9" s="2025"/>
      <c r="AA9" s="2026"/>
    </row>
    <row r="10" spans="1:28" ht="13.5" customHeight="1" x14ac:dyDescent="0.2">
      <c r="A10" s="2031" t="s">
        <v>696</v>
      </c>
      <c r="B10" s="2032"/>
      <c r="C10" s="2032"/>
      <c r="D10" s="2032"/>
      <c r="E10" s="2032"/>
      <c r="F10" s="2032"/>
      <c r="G10" s="2032"/>
      <c r="H10" s="2033"/>
      <c r="I10" s="29"/>
      <c r="J10" s="30"/>
      <c r="K10" s="28"/>
      <c r="R10" s="30"/>
      <c r="S10" s="30"/>
      <c r="T10" s="2027"/>
      <c r="U10" s="2012"/>
      <c r="V10" s="2012"/>
      <c r="W10" s="2012"/>
      <c r="X10" s="2012"/>
      <c r="Y10" s="2012"/>
      <c r="Z10" s="2012"/>
      <c r="AA10" s="2018"/>
    </row>
    <row r="11" spans="1:28" ht="14.25" customHeight="1" x14ac:dyDescent="0.2">
      <c r="A11" s="2034" t="s">
        <v>1012</v>
      </c>
      <c r="B11" s="2035"/>
      <c r="C11" s="2035"/>
      <c r="D11" s="2035"/>
      <c r="E11" s="2035"/>
      <c r="F11" s="2035"/>
      <c r="G11" s="2035"/>
      <c r="H11" s="2036"/>
      <c r="I11" s="27"/>
      <c r="J11" s="74"/>
      <c r="K11" s="27"/>
      <c r="O11" s="148" t="s">
        <v>2077</v>
      </c>
      <c r="P11" s="100" t="s">
        <v>210</v>
      </c>
      <c r="Q11" s="30"/>
      <c r="R11" s="28"/>
      <c r="S11" s="27"/>
      <c r="T11" s="2028"/>
      <c r="U11" s="2029"/>
      <c r="V11" s="2029"/>
      <c r="W11" s="2029"/>
      <c r="X11" s="2029"/>
      <c r="Y11" s="2029"/>
      <c r="Z11" s="2029"/>
      <c r="AA11" s="203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8">
        <v>33048210026</v>
      </c>
      <c r="B13" s="2039"/>
      <c r="C13" s="2039"/>
      <c r="D13" s="2039"/>
      <c r="E13" s="2039"/>
      <c r="F13" s="2039"/>
      <c r="G13" s="2039"/>
      <c r="H13" s="2040"/>
      <c r="I13" s="31"/>
      <c r="J13" s="30"/>
      <c r="K13" s="28"/>
      <c r="L13" s="30"/>
      <c r="M13" s="30"/>
      <c r="N13" s="30"/>
      <c r="O13" s="30"/>
      <c r="P13" s="30"/>
      <c r="Q13" s="30"/>
      <c r="R13" s="30"/>
      <c r="S13" s="30"/>
      <c r="T13" s="2043" t="s">
        <v>2085</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2078</v>
      </c>
      <c r="B15" s="2041"/>
      <c r="C15" s="2041"/>
      <c r="D15" s="2041"/>
      <c r="E15" s="2041"/>
      <c r="F15" s="2041"/>
      <c r="G15" s="2041"/>
      <c r="H15" s="2042"/>
      <c r="T15" s="2047" t="s">
        <v>2086</v>
      </c>
      <c r="U15" s="1991"/>
      <c r="V15" s="1991"/>
      <c r="W15" s="1991"/>
      <c r="X15" s="1991"/>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2162</v>
      </c>
      <c r="B17" s="1998"/>
      <c r="C17" s="1998"/>
      <c r="D17" s="1998"/>
      <c r="E17" s="1998"/>
      <c r="F17" s="1998"/>
      <c r="G17" s="1998"/>
      <c r="H17" s="2023"/>
      <c r="T17" s="2054" t="s">
        <v>2087</v>
      </c>
      <c r="U17" s="2055"/>
      <c r="V17" s="2055"/>
      <c r="W17" s="2055"/>
      <c r="X17" s="2055"/>
      <c r="Y17" s="2055"/>
      <c r="Z17" s="2055"/>
      <c r="AA17" s="2056"/>
    </row>
    <row r="18" spans="1:27" ht="13.5" customHeight="1" x14ac:dyDescent="0.2">
      <c r="A18" s="85" t="s">
        <v>551</v>
      </c>
      <c r="B18" s="76"/>
      <c r="C18" s="72"/>
      <c r="D18" s="76"/>
      <c r="E18" s="76"/>
      <c r="F18" s="76"/>
      <c r="G18" s="76"/>
      <c r="H18" s="56"/>
      <c r="I18" s="2022" t="s">
        <v>697</v>
      </c>
      <c r="J18" s="1973"/>
      <c r="K18" s="1973"/>
      <c r="L18" s="1973"/>
      <c r="M18" s="1973"/>
      <c r="N18" s="1973"/>
      <c r="O18" s="1973"/>
      <c r="P18" s="1973"/>
      <c r="Q18" s="1973"/>
      <c r="R18" s="1973"/>
      <c r="S18" s="1974"/>
      <c r="T18" s="85" t="s">
        <v>735</v>
      </c>
      <c r="U18" s="51"/>
      <c r="V18" s="72"/>
      <c r="W18" s="50"/>
      <c r="X18" s="85" t="s">
        <v>284</v>
      </c>
      <c r="Y18" s="81"/>
      <c r="Z18" s="159" t="s">
        <v>698</v>
      </c>
      <c r="AA18" s="46"/>
    </row>
    <row r="19" spans="1:27" ht="13.5" customHeight="1" x14ac:dyDescent="0.2">
      <c r="A19" s="2037" t="s">
        <v>2079</v>
      </c>
      <c r="B19" s="1983"/>
      <c r="C19" s="1983"/>
      <c r="D19" s="1983"/>
      <c r="E19" s="1983"/>
      <c r="F19" s="1983"/>
      <c r="G19" s="1983"/>
      <c r="H19" s="1963"/>
      <c r="I19" s="30"/>
      <c r="J19" s="99"/>
      <c r="K19" s="40"/>
      <c r="L19" s="38"/>
      <c r="M19" s="112" t="s">
        <v>333</v>
      </c>
      <c r="P19" s="27"/>
      <c r="Q19" s="27"/>
      <c r="R19" s="27"/>
      <c r="S19" s="31"/>
      <c r="T19" s="2037" t="s">
        <v>2088</v>
      </c>
      <c r="U19" s="1962"/>
      <c r="V19" s="1962"/>
      <c r="W19" s="1963"/>
      <c r="X19" s="2052" t="s">
        <v>2089</v>
      </c>
      <c r="Y19" s="2053"/>
      <c r="Z19" s="2050">
        <v>61401</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1" t="s">
        <v>2080</v>
      </c>
      <c r="B21" s="1962"/>
      <c r="C21" s="1962"/>
      <c r="D21" s="1962"/>
      <c r="E21" s="1962"/>
      <c r="F21" s="1962"/>
      <c r="G21" s="1962"/>
      <c r="H21" s="1963"/>
      <c r="I21" s="2017" t="s">
        <v>699</v>
      </c>
      <c r="J21" s="2012"/>
      <c r="K21" s="2012"/>
      <c r="L21" s="2012"/>
      <c r="M21" s="2012"/>
      <c r="N21" s="2012"/>
      <c r="O21" s="2012"/>
      <c r="P21" s="2012"/>
      <c r="Q21" s="2012"/>
      <c r="R21" s="2012"/>
      <c r="S21" s="2018"/>
      <c r="T21" s="2061" t="s">
        <v>2090</v>
      </c>
      <c r="U21" s="2062"/>
      <c r="V21" s="2062"/>
      <c r="W21" s="2062"/>
      <c r="X21" s="2067" t="s">
        <v>2091</v>
      </c>
      <c r="Y21" s="2068"/>
      <c r="Z21" s="2068"/>
      <c r="AA21" s="2069"/>
    </row>
    <row r="22" spans="1:27" ht="13.5" customHeight="1" x14ac:dyDescent="0.2">
      <c r="A22" s="87" t="s">
        <v>552</v>
      </c>
      <c r="B22" s="59"/>
      <c r="C22" s="59"/>
      <c r="D22" s="59"/>
      <c r="E22" s="59"/>
      <c r="F22" s="59"/>
      <c r="G22" s="59"/>
      <c r="H22" s="60"/>
      <c r="I22" s="2019" t="s">
        <v>1504</v>
      </c>
      <c r="J22" s="2020"/>
      <c r="K22" s="2020"/>
      <c r="L22" s="2020"/>
      <c r="M22" s="2020"/>
      <c r="N22" s="2020"/>
      <c r="O22" s="2020"/>
      <c r="P22" s="2020"/>
      <c r="Q22" s="2020"/>
      <c r="R22" s="2020"/>
      <c r="S22" s="2021"/>
      <c r="T22" s="85" t="s">
        <v>1596</v>
      </c>
      <c r="U22" s="51"/>
      <c r="V22" s="72"/>
      <c r="W22" s="51"/>
      <c r="X22" s="160" t="s">
        <v>1385</v>
      </c>
      <c r="Z22" s="45"/>
      <c r="AA22" s="46"/>
    </row>
    <row r="23" spans="1:27" ht="13.5" customHeight="1" x14ac:dyDescent="0.2">
      <c r="A23" s="2014" t="s">
        <v>2081</v>
      </c>
      <c r="B23" s="2015"/>
      <c r="C23" s="2015"/>
      <c r="D23" s="2015"/>
      <c r="E23" s="2015"/>
      <c r="F23" s="2015"/>
      <c r="G23" s="2015"/>
      <c r="H23" s="2016"/>
      <c r="T23" s="1997" t="s">
        <v>2092</v>
      </c>
      <c r="U23" s="2060"/>
      <c r="V23" s="2060"/>
      <c r="W23" s="2060"/>
      <c r="X23" s="2064">
        <v>44469</v>
      </c>
      <c r="Y23" s="2065"/>
      <c r="Z23" s="2065"/>
      <c r="AA23" s="2066"/>
    </row>
    <row r="24" spans="1:27" ht="14.1" customHeight="1" x14ac:dyDescent="0.2">
      <c r="A24" s="88" t="s">
        <v>698</v>
      </c>
      <c r="B24" s="49"/>
      <c r="C24" s="49"/>
      <c r="D24" s="49"/>
      <c r="E24" s="49"/>
      <c r="F24" s="49"/>
      <c r="G24" s="49"/>
      <c r="H24" s="61"/>
      <c r="J24" s="1984">
        <f>IF(B5="x",IF(AUDITCHECK!D29="AFR form Incomplete.","",IF(AUDITCHECK!D29="Deficit reduction plan is required.","School District must complete a deficit reduction plan in the 2018-2019 Budget",)),"")</f>
        <v>0</v>
      </c>
      <c r="K24" s="1984"/>
      <c r="L24" s="1984"/>
      <c r="M24" s="1984"/>
      <c r="N24" s="1984"/>
      <c r="O24" s="1984"/>
      <c r="P24" s="1984"/>
      <c r="Q24" s="1984"/>
      <c r="R24" s="1984"/>
      <c r="S24" s="1985"/>
      <c r="T24" s="105" t="s">
        <v>552</v>
      </c>
      <c r="U24" s="106"/>
      <c r="V24" s="106"/>
      <c r="W24" s="106"/>
      <c r="X24" s="107"/>
      <c r="Y24" s="107"/>
      <c r="Z24" s="107"/>
      <c r="AA24" s="108"/>
    </row>
    <row r="25" spans="1:27" ht="14.1" customHeight="1" x14ac:dyDescent="0.2">
      <c r="A25" s="1961">
        <v>61489</v>
      </c>
      <c r="B25" s="1962"/>
      <c r="C25" s="1962"/>
      <c r="D25" s="1962"/>
      <c r="E25" s="1962"/>
      <c r="F25" s="1962"/>
      <c r="G25" s="1962"/>
      <c r="H25" s="1963"/>
      <c r="I25" s="113"/>
      <c r="J25" s="1986"/>
      <c r="K25" s="1986"/>
      <c r="L25" s="1986"/>
      <c r="M25" s="1986"/>
      <c r="N25" s="1986"/>
      <c r="O25" s="1986"/>
      <c r="P25" s="1986"/>
      <c r="Q25" s="1986"/>
      <c r="R25" s="1986"/>
      <c r="S25" s="1987"/>
      <c r="T25" s="2057" t="s">
        <v>2093</v>
      </c>
      <c r="U25" s="2058"/>
      <c r="V25" s="2058"/>
      <c r="W25" s="2058"/>
      <c r="X25" s="2058"/>
      <c r="Y25" s="2058"/>
      <c r="Z25" s="2058"/>
      <c r="AA25" s="20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2" t="s">
        <v>1591</v>
      </c>
      <c r="J27" s="1973"/>
      <c r="K27" s="1973"/>
      <c r="L27" s="1973"/>
      <c r="M27" s="1973"/>
      <c r="N27" s="1973"/>
      <c r="O27" s="1973"/>
      <c r="P27" s="1973"/>
      <c r="Q27" s="1973"/>
      <c r="R27" s="1973"/>
      <c r="S27" s="197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3"/>
      <c r="Q35" s="1962"/>
      <c r="R35" s="196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2082</v>
      </c>
      <c r="B38" s="1998"/>
      <c r="C38" s="1998"/>
      <c r="D38" s="1998"/>
      <c r="E38" s="1998"/>
      <c r="F38" s="1962"/>
      <c r="G38" s="1962"/>
      <c r="H38" s="1963"/>
      <c r="I38" s="1990"/>
      <c r="J38" s="1991"/>
      <c r="K38" s="1991"/>
      <c r="L38" s="1991"/>
      <c r="M38" s="1991"/>
      <c r="N38" s="1991"/>
      <c r="O38" s="1991"/>
      <c r="P38" s="1992"/>
      <c r="Q38" s="1992"/>
      <c r="R38" s="1992"/>
      <c r="S38" s="1993"/>
      <c r="T38" s="2047" t="s">
        <v>2094</v>
      </c>
      <c r="U38" s="1991"/>
      <c r="V38" s="1991"/>
      <c r="W38" s="1991"/>
      <c r="X38" s="1992"/>
      <c r="Y38" s="1992"/>
      <c r="Z38" s="1992"/>
      <c r="AA38" s="1993"/>
    </row>
    <row r="39" spans="1:27" ht="12" customHeight="1" x14ac:dyDescent="0.2">
      <c r="A39" s="1967" t="s">
        <v>552</v>
      </c>
      <c r="B39" s="1968"/>
      <c r="C39" s="72"/>
      <c r="D39" s="69"/>
      <c r="E39" s="69"/>
      <c r="F39" s="79"/>
      <c r="G39" s="69"/>
      <c r="H39" s="56"/>
      <c r="I39" s="1967" t="s">
        <v>552</v>
      </c>
      <c r="J39" s="1968"/>
      <c r="K39" s="1968"/>
      <c r="L39" s="1968"/>
      <c r="M39" s="1968"/>
      <c r="N39" s="67"/>
      <c r="O39" s="72"/>
      <c r="P39" s="72"/>
      <c r="Q39" s="78"/>
      <c r="R39" s="72"/>
      <c r="S39" s="56"/>
      <c r="T39" s="72" t="s">
        <v>552</v>
      </c>
      <c r="U39" s="51"/>
      <c r="V39" s="72"/>
      <c r="W39" s="50"/>
      <c r="X39" s="78"/>
      <c r="Y39" s="45"/>
      <c r="Z39" s="45"/>
      <c r="AA39" s="46"/>
    </row>
    <row r="40" spans="1:27" ht="13.5" customHeight="1" x14ac:dyDescent="0.2">
      <c r="A40" s="1975" t="s">
        <v>2081</v>
      </c>
      <c r="B40" s="1976"/>
      <c r="C40" s="1977"/>
      <c r="D40" s="1977"/>
      <c r="E40" s="1977"/>
      <c r="F40" s="1978"/>
      <c r="G40" s="1978"/>
      <c r="H40" s="1979"/>
      <c r="I40" s="2000"/>
      <c r="J40" s="2001"/>
      <c r="K40" s="2001"/>
      <c r="L40" s="2001"/>
      <c r="M40" s="2001"/>
      <c r="N40" s="2001"/>
      <c r="O40" s="2001"/>
      <c r="P40" s="2001"/>
      <c r="Q40" s="2001"/>
      <c r="R40" s="2001"/>
      <c r="S40" s="2002"/>
      <c r="T40" s="2000" t="s">
        <v>2095</v>
      </c>
      <c r="U40" s="2063"/>
      <c r="V40" s="2001"/>
      <c r="W40" s="2001"/>
      <c r="X40" s="2001"/>
      <c r="Y40" s="2001"/>
      <c r="Z40" s="2001"/>
      <c r="AA40" s="200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9" t="s">
        <v>2083</v>
      </c>
      <c r="B42" s="1981"/>
      <c r="C42" s="1982"/>
      <c r="D42" s="1980" t="s">
        <v>2084</v>
      </c>
      <c r="E42" s="1981"/>
      <c r="F42" s="1981"/>
      <c r="G42" s="1981"/>
      <c r="H42" s="1982"/>
      <c r="I42" s="1964"/>
      <c r="J42" s="1965"/>
      <c r="K42" s="1965"/>
      <c r="L42" s="1965"/>
      <c r="M42" s="1965"/>
      <c r="N42" s="1965"/>
      <c r="O42" s="1966"/>
      <c r="P42" s="1999"/>
      <c r="Q42" s="1965"/>
      <c r="R42" s="1965"/>
      <c r="S42" s="1966"/>
      <c r="T42" s="1964" t="s">
        <v>2097</v>
      </c>
      <c r="U42" s="1965"/>
      <c r="V42" s="1965"/>
      <c r="W42" s="1966"/>
      <c r="X42" s="1999" t="s">
        <v>2096</v>
      </c>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4"/>
      <c r="B44" s="1995"/>
      <c r="C44" s="1995"/>
      <c r="D44" s="1995"/>
      <c r="E44" s="1995"/>
      <c r="F44" s="1995"/>
      <c r="G44" s="1995"/>
      <c r="H44" s="1996"/>
      <c r="I44" s="1969"/>
      <c r="J44" s="1970"/>
      <c r="K44" s="1970"/>
      <c r="L44" s="1970"/>
      <c r="M44" s="1970"/>
      <c r="N44" s="1970"/>
      <c r="O44" s="1970"/>
      <c r="P44" s="1970"/>
      <c r="Q44" s="1970"/>
      <c r="R44" s="1970"/>
      <c r="S44" s="1971"/>
      <c r="T44" s="1969"/>
      <c r="U44" s="1988"/>
      <c r="V44" s="1988"/>
      <c r="W44" s="1988"/>
      <c r="X44" s="1988"/>
      <c r="Y44" s="1988"/>
      <c r="Z44" s="1970"/>
      <c r="AA44" s="197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9" sqref="A19:H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2912968</v>
      </c>
      <c r="C4" s="1546">
        <v>1692633</v>
      </c>
      <c r="D4" s="1774">
        <f>B4-C4</f>
        <v>1220335</v>
      </c>
      <c r="E4" s="1546">
        <v>2890004</v>
      </c>
      <c r="F4" s="1774">
        <f>E4-C4</f>
        <v>1197371</v>
      </c>
    </row>
    <row r="5" spans="1:6" ht="13.7" customHeight="1" x14ac:dyDescent="0.2">
      <c r="A5" s="716" t="s">
        <v>925</v>
      </c>
      <c r="B5" s="1772">
        <f>'Revenues 9-14'!D5</f>
        <v>381502</v>
      </c>
      <c r="C5" s="585">
        <v>228813</v>
      </c>
      <c r="D5" s="1775">
        <f t="shared" ref="D5:D18" si="0">B5-C5</f>
        <v>152689</v>
      </c>
      <c r="E5" s="585">
        <v>390008</v>
      </c>
      <c r="F5" s="1775">
        <f>E5-C5</f>
        <v>161195</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131644</v>
      </c>
      <c r="C7" s="585">
        <v>88005</v>
      </c>
      <c r="D7" s="1775">
        <f t="shared" si="0"/>
        <v>43639</v>
      </c>
      <c r="E7" s="585">
        <v>150003</v>
      </c>
      <c r="F7" s="1775">
        <f t="shared" si="1"/>
        <v>61998</v>
      </c>
    </row>
    <row r="8" spans="1:6" ht="13.7" customHeight="1" x14ac:dyDescent="0.2">
      <c r="A8" s="716" t="s">
        <v>1241</v>
      </c>
      <c r="B8" s="1772">
        <f>'Revenues 9-14'!G5</f>
        <v>109705</v>
      </c>
      <c r="C8" s="585">
        <v>64542</v>
      </c>
      <c r="D8" s="1775">
        <f t="shared" si="0"/>
        <v>45163</v>
      </c>
      <c r="E8" s="585">
        <v>110008</v>
      </c>
      <c r="F8" s="1775">
        <f t="shared" si="1"/>
        <v>45466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81212</v>
      </c>
      <c r="C11" s="585">
        <v>49868</v>
      </c>
      <c r="D11" s="1775">
        <f t="shared" si="0"/>
        <v>31344</v>
      </c>
      <c r="E11" s="585">
        <v>85000</v>
      </c>
      <c r="F11" s="1775">
        <f t="shared" si="1"/>
        <v>35132</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34925</v>
      </c>
      <c r="C14" s="585">
        <v>20535</v>
      </c>
      <c r="D14" s="1775">
        <f t="shared" si="0"/>
        <v>14390</v>
      </c>
      <c r="E14" s="585">
        <v>35002</v>
      </c>
      <c r="F14" s="1775">
        <f t="shared" si="1"/>
        <v>14467</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108209</v>
      </c>
      <c r="C16" s="585">
        <v>64542</v>
      </c>
      <c r="D16" s="1775">
        <f t="shared" si="0"/>
        <v>43667</v>
      </c>
      <c r="E16" s="585">
        <v>110008</v>
      </c>
      <c r="F16" s="1775">
        <f t="shared" si="1"/>
        <v>45466</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3760165</v>
      </c>
      <c r="C19" s="1773">
        <f>SUM(C4:C18)</f>
        <v>2208938</v>
      </c>
      <c r="D19" s="1773">
        <f>SUM(D4:D18)</f>
        <v>1551227</v>
      </c>
      <c r="E19" s="1773">
        <f>SUM(E4:E18)</f>
        <v>3770033</v>
      </c>
      <c r="F19" s="1773">
        <f>SUM(F4:F18)</f>
        <v>1561095</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9" t="s">
        <v>2038</v>
      </c>
      <c r="D2" s="724" t="s">
        <v>2045</v>
      </c>
      <c r="E2" s="724" t="s">
        <v>2046</v>
      </c>
      <c r="F2" s="1909"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2098</v>
      </c>
      <c r="B31" s="734">
        <v>42125</v>
      </c>
      <c r="C31" s="735">
        <v>415000</v>
      </c>
      <c r="D31" s="736">
        <v>7</v>
      </c>
      <c r="E31" s="735">
        <v>200000</v>
      </c>
      <c r="F31" s="735"/>
      <c r="G31" s="735"/>
      <c r="H31" s="735">
        <v>115000</v>
      </c>
      <c r="I31" s="1778">
        <f>((E31+F31)-H31)+G31</f>
        <v>85000</v>
      </c>
      <c r="J31" s="735">
        <v>85000</v>
      </c>
      <c r="K31" s="737"/>
    </row>
    <row r="32" spans="1:11" ht="12" customHeight="1" x14ac:dyDescent="0.2">
      <c r="A32" s="733" t="s">
        <v>2099</v>
      </c>
      <c r="B32" s="734">
        <v>42859</v>
      </c>
      <c r="C32" s="735">
        <v>600000</v>
      </c>
      <c r="D32" s="736">
        <v>7</v>
      </c>
      <c r="E32" s="735">
        <v>600000</v>
      </c>
      <c r="F32" s="735"/>
      <c r="G32" s="735"/>
      <c r="H32" s="735"/>
      <c r="I32" s="1778">
        <f>((E32+F32)-H32)+G32</f>
        <v>600000</v>
      </c>
      <c r="J32" s="735">
        <v>595730</v>
      </c>
      <c r="K32" s="737"/>
    </row>
    <row r="33" spans="1:11" ht="12" customHeight="1" x14ac:dyDescent="0.2">
      <c r="A33" s="733" t="s">
        <v>2100</v>
      </c>
      <c r="B33" s="734">
        <v>42856</v>
      </c>
      <c r="C33" s="735">
        <v>45572</v>
      </c>
      <c r="D33" s="736">
        <v>8</v>
      </c>
      <c r="E33" s="735"/>
      <c r="F33" s="735"/>
      <c r="G33" s="735">
        <v>25697</v>
      </c>
      <c r="H33" s="735"/>
      <c r="I33" s="1778">
        <f t="shared" ref="I33:I48" si="1">((E33+F33)-H33)+G33</f>
        <v>25697</v>
      </c>
      <c r="J33" s="735">
        <v>25697</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1060572</v>
      </c>
      <c r="D49" s="746"/>
      <c r="E49" s="1778">
        <f t="shared" ref="E49:J49" si="2">SUM(E31:E48)</f>
        <v>800000</v>
      </c>
      <c r="F49" s="1778">
        <f t="shared" si="2"/>
        <v>0</v>
      </c>
      <c r="G49" s="1778">
        <f t="shared" si="2"/>
        <v>25697</v>
      </c>
      <c r="H49" s="1778">
        <f t="shared" si="2"/>
        <v>115000</v>
      </c>
      <c r="I49" s="1778">
        <f t="shared" si="2"/>
        <v>710697</v>
      </c>
      <c r="J49" s="1778">
        <f t="shared" si="2"/>
        <v>706427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t="s">
        <v>2101</v>
      </c>
      <c r="G52" s="2208"/>
      <c r="H52" s="737"/>
      <c r="I52" s="737"/>
      <c r="J52" s="747"/>
    </row>
    <row r="53" spans="1:11" ht="11.25" customHeight="1" x14ac:dyDescent="0.2">
      <c r="A53" s="751" t="s">
        <v>969</v>
      </c>
      <c r="B53" s="752" t="s">
        <v>1008</v>
      </c>
      <c r="C53" s="747"/>
      <c r="D53" s="738"/>
      <c r="E53" s="750" t="s">
        <v>518</v>
      </c>
      <c r="F53" s="2209" t="s">
        <v>2102</v>
      </c>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v>34925</v>
      </c>
      <c r="I5" s="773"/>
      <c r="J5" s="774"/>
      <c r="K5" s="774"/>
    </row>
    <row r="6" spans="1:11" x14ac:dyDescent="0.2">
      <c r="A6" s="775" t="s">
        <v>744</v>
      </c>
      <c r="B6" s="776"/>
      <c r="C6" s="776"/>
      <c r="D6" s="776"/>
      <c r="E6" s="777"/>
      <c r="F6" s="778" t="s">
        <v>904</v>
      </c>
      <c r="G6" s="765"/>
      <c r="H6" s="765"/>
      <c r="I6" s="765"/>
      <c r="J6" s="766">
        <v>110</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162586</v>
      </c>
      <c r="K8" s="770"/>
    </row>
    <row r="9" spans="1:11" x14ac:dyDescent="0.2">
      <c r="A9" s="779" t="s">
        <v>140</v>
      </c>
      <c r="B9" s="780"/>
      <c r="C9" s="780"/>
      <c r="D9" s="780"/>
      <c r="E9" s="781"/>
      <c r="F9" s="778" t="s">
        <v>908</v>
      </c>
      <c r="G9" s="783"/>
      <c r="H9" s="772"/>
      <c r="I9" s="772"/>
      <c r="J9" s="782"/>
      <c r="K9" s="766">
        <v>4067</v>
      </c>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34925</v>
      </c>
      <c r="I12" s="1780">
        <f>SUM(I5:I11)</f>
        <v>0</v>
      </c>
      <c r="J12" s="1780">
        <f>SUM(J5:J11)</f>
        <v>162696</v>
      </c>
      <c r="K12" s="1780">
        <f>SUM(K5:K11)</f>
        <v>4067</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v>207802</v>
      </c>
      <c r="I14" s="772"/>
      <c r="J14" s="774"/>
      <c r="K14" s="766">
        <v>32725</v>
      </c>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v>31688</v>
      </c>
      <c r="K18" s="796"/>
    </row>
    <row r="19" spans="1:11" ht="21.75" customHeight="1" x14ac:dyDescent="0.2">
      <c r="A19" s="2246" t="s">
        <v>1916</v>
      </c>
      <c r="B19" s="2246"/>
      <c r="C19" s="2246"/>
      <c r="D19" s="2246"/>
      <c r="E19" s="2247"/>
      <c r="F19" s="790" t="s">
        <v>990</v>
      </c>
      <c r="G19" s="783"/>
      <c r="H19" s="783"/>
      <c r="I19" s="783"/>
      <c r="J19" s="766">
        <v>115000</v>
      </c>
      <c r="K19" s="796"/>
    </row>
    <row r="20" spans="1:11" x14ac:dyDescent="0.2">
      <c r="A20" s="2248" t="s">
        <v>1921</v>
      </c>
      <c r="B20" s="2249"/>
      <c r="C20" s="2249"/>
      <c r="D20" s="2249"/>
      <c r="E20" s="2250"/>
      <c r="F20" s="790" t="s">
        <v>991</v>
      </c>
      <c r="G20" s="783"/>
      <c r="H20" s="783"/>
      <c r="I20" s="783"/>
      <c r="J20" s="766">
        <v>1000</v>
      </c>
      <c r="K20" s="796"/>
    </row>
    <row r="21" spans="1:11" ht="13.5" thickBot="1" x14ac:dyDescent="0.25">
      <c r="A21" s="2267" t="s">
        <v>659</v>
      </c>
      <c r="B21" s="2267"/>
      <c r="C21" s="2267"/>
      <c r="D21" s="2267"/>
      <c r="E21" s="2267"/>
      <c r="F21" s="1781"/>
      <c r="G21" s="793"/>
      <c r="H21" s="797"/>
      <c r="I21" s="797"/>
      <c r="J21" s="1782">
        <f>SUM(J18:J20)</f>
        <v>147688</v>
      </c>
      <c r="K21" s="794"/>
    </row>
    <row r="22" spans="1:11" ht="13.5" thickTop="1" x14ac:dyDescent="0.2">
      <c r="A22" s="2238" t="s">
        <v>1922</v>
      </c>
      <c r="B22" s="2238"/>
      <c r="C22" s="2238"/>
      <c r="D22" s="2238"/>
      <c r="E22" s="2239"/>
      <c r="F22" s="790" t="s">
        <v>917</v>
      </c>
      <c r="G22" s="783"/>
      <c r="H22" s="765"/>
      <c r="I22" s="765"/>
      <c r="J22" s="798">
        <v>665284</v>
      </c>
      <c r="K22" s="766"/>
    </row>
    <row r="23" spans="1:11" ht="13.5" thickBot="1" x14ac:dyDescent="0.25">
      <c r="A23" s="2268" t="s">
        <v>962</v>
      </c>
      <c r="B23" s="2267"/>
      <c r="C23" s="2267"/>
      <c r="D23" s="2267"/>
      <c r="E23" s="2267"/>
      <c r="F23" s="1783"/>
      <c r="G23" s="1780">
        <f>SUM(G14:G16,G21,G22)</f>
        <v>0</v>
      </c>
      <c r="H23" s="1780">
        <f>SUM(H14:H16,H21,H22)</f>
        <v>207802</v>
      </c>
      <c r="I23" s="1780">
        <f>SUM(I14:I16,I21,I22)</f>
        <v>0</v>
      </c>
      <c r="J23" s="1780">
        <f>SUM(J14:J16,J21,J22)</f>
        <v>812972</v>
      </c>
      <c r="K23" s="1780">
        <f>SUM(K14:K16,K21,K22)</f>
        <v>32725</v>
      </c>
    </row>
    <row r="24" spans="1:11" ht="14.25" thickTop="1" thickBot="1" x14ac:dyDescent="0.25">
      <c r="A24" s="2268" t="s">
        <v>2026</v>
      </c>
      <c r="B24" s="2267"/>
      <c r="C24" s="2267"/>
      <c r="D24" s="2267"/>
      <c r="E24" s="2267"/>
      <c r="F24" s="1784"/>
      <c r="G24" s="1785">
        <f>SUM(G3,G12)-G23</f>
        <v>0</v>
      </c>
      <c r="H24" s="1785">
        <f>SUM(H3,H12)-H23</f>
        <v>-172877</v>
      </c>
      <c r="I24" s="1785">
        <f>SUM(I3,I12)-I23</f>
        <v>0</v>
      </c>
      <c r="J24" s="1785">
        <f>SUM(J3,J12)-J23</f>
        <v>-650276</v>
      </c>
      <c r="K24" s="1785">
        <f>SUM(K3,K12)-K23</f>
        <v>-28658</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-172877</v>
      </c>
      <c r="I26" s="1780">
        <f>I24-I25</f>
        <v>0</v>
      </c>
      <c r="J26" s="1780">
        <f>J24-J25</f>
        <v>-650276</v>
      </c>
      <c r="K26" s="1780">
        <f>K24-K25</f>
        <v>-28658</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22782</v>
      </c>
      <c r="D5" s="842"/>
      <c r="E5" s="842"/>
      <c r="F5" s="1782">
        <f>(C5+D5)-E5</f>
        <v>22782</v>
      </c>
      <c r="G5" s="838"/>
      <c r="H5" s="843"/>
      <c r="I5" s="843"/>
      <c r="J5" s="843"/>
      <c r="K5" s="794"/>
      <c r="L5" s="1791">
        <f>F5-K5</f>
        <v>22782</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3172576</v>
      </c>
      <c r="D8" s="845">
        <v>960926</v>
      </c>
      <c r="E8" s="845"/>
      <c r="F8" s="1782">
        <f>(C8+D8)-E8</f>
        <v>4133502</v>
      </c>
      <c r="G8" s="844">
        <v>50</v>
      </c>
      <c r="H8" s="766">
        <v>2308271</v>
      </c>
      <c r="I8" s="766">
        <v>82394</v>
      </c>
      <c r="J8" s="766"/>
      <c r="K8" s="1791">
        <f>(H8+I8)-J8</f>
        <v>2390665</v>
      </c>
      <c r="L8" s="1791">
        <f>F8-K8</f>
        <v>1742837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288916</v>
      </c>
      <c r="D12" s="845"/>
      <c r="E12" s="845"/>
      <c r="F12" s="1782">
        <f>(C12+D12)-E12</f>
        <v>288916</v>
      </c>
      <c r="G12" s="844">
        <v>10</v>
      </c>
      <c r="H12" s="766">
        <v>263184</v>
      </c>
      <c r="I12" s="766">
        <v>7084</v>
      </c>
      <c r="J12" s="766"/>
      <c r="K12" s="1791">
        <f>(H12+I12)-J12</f>
        <v>270268</v>
      </c>
      <c r="L12" s="1791">
        <f>F12-K12</f>
        <v>18648</v>
      </c>
    </row>
    <row r="13" spans="1:14" ht="14.25" thickTop="1" thickBot="1" x14ac:dyDescent="0.25">
      <c r="A13" s="849" t="s">
        <v>1184</v>
      </c>
      <c r="B13" s="841">
        <v>252</v>
      </c>
      <c r="C13" s="845">
        <v>809474</v>
      </c>
      <c r="D13" s="845">
        <v>40815</v>
      </c>
      <c r="E13" s="845">
        <v>30486</v>
      </c>
      <c r="F13" s="1782">
        <f>(C13+D13)-E13</f>
        <v>819803</v>
      </c>
      <c r="G13" s="844">
        <v>5</v>
      </c>
      <c r="H13" s="766">
        <v>644975</v>
      </c>
      <c r="I13" s="766">
        <v>67153</v>
      </c>
      <c r="J13" s="766">
        <v>30486</v>
      </c>
      <c r="K13" s="1791">
        <f>(H13+I13)-J13</f>
        <v>681642</v>
      </c>
      <c r="L13" s="1791">
        <f>F13-K13</f>
        <v>138161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111155</v>
      </c>
      <c r="D15" s="845"/>
      <c r="E15" s="845">
        <v>111155</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4404903</v>
      </c>
      <c r="D16" s="1782">
        <f>SUM(D3,D5:D6,D8:D10,D12:D15)</f>
        <v>1001741</v>
      </c>
      <c r="E16" s="1782">
        <f>SUM(E3,E5:E6,E8:E10,E12:E15)</f>
        <v>141641</v>
      </c>
      <c r="F16" s="1782">
        <f>SUM(F3,F5:F6,F8:F10,F12:F15)</f>
        <v>5265003</v>
      </c>
      <c r="G16" s="844"/>
      <c r="H16" s="1782">
        <f>SUM(H3,H6,H8:H10,H12:H14,)</f>
        <v>3216430</v>
      </c>
      <c r="I16" s="1782">
        <f>SUM(I3,I6,I8:I10,I12:I14,)</f>
        <v>156631</v>
      </c>
      <c r="J16" s="1782">
        <f>SUM(J3,J6,J8:J10,J12:J14,)</f>
        <v>30486</v>
      </c>
      <c r="K16" s="1782">
        <f>(H16+I16)-J16</f>
        <v>3342575</v>
      </c>
      <c r="L16" s="1782">
        <f>F16-K16</f>
        <v>1922428</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156631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19" sqref="A19:H19"/>
      <selection pane="bottomLeft" activeCell="A19" sqref="A19:H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3343613</v>
      </c>
      <c r="G8" s="866"/>
    </row>
    <row r="9" spans="1:7" x14ac:dyDescent="0.2">
      <c r="A9" s="870" t="s">
        <v>480</v>
      </c>
      <c r="B9" s="871" t="s">
        <v>1989</v>
      </c>
      <c r="C9" s="872"/>
      <c r="D9" s="870" t="s">
        <v>522</v>
      </c>
      <c r="E9" s="869"/>
      <c r="F9" s="1935">
        <f>'Expenditures 15-22'!K151</f>
        <v>638729</v>
      </c>
      <c r="G9" s="873"/>
    </row>
    <row r="10" spans="1:7" x14ac:dyDescent="0.2">
      <c r="A10" s="870" t="s">
        <v>520</v>
      </c>
      <c r="B10" s="871" t="s">
        <v>1990</v>
      </c>
      <c r="C10" s="872"/>
      <c r="D10" s="870" t="s">
        <v>522</v>
      </c>
      <c r="E10" s="869"/>
      <c r="F10" s="1935">
        <f>'Expenditures 15-22'!K174</f>
        <v>147688</v>
      </c>
      <c r="G10" s="873"/>
    </row>
    <row r="11" spans="1:7" x14ac:dyDescent="0.2">
      <c r="A11" s="870" t="s">
        <v>481</v>
      </c>
      <c r="B11" s="871" t="s">
        <v>1991</v>
      </c>
      <c r="C11" s="872"/>
      <c r="D11" s="870" t="s">
        <v>522</v>
      </c>
      <c r="E11" s="869"/>
      <c r="F11" s="1935">
        <f>'Expenditures 15-22'!K210</f>
        <v>301509</v>
      </c>
      <c r="G11" s="873"/>
    </row>
    <row r="12" spans="1:7" x14ac:dyDescent="0.2">
      <c r="A12" s="870" t="s">
        <v>482</v>
      </c>
      <c r="B12" s="871" t="s">
        <v>1992</v>
      </c>
      <c r="C12" s="872"/>
      <c r="D12" s="870" t="s">
        <v>522</v>
      </c>
      <c r="E12" s="869"/>
      <c r="F12" s="1935">
        <f>'Expenditures 15-22'!K295</f>
        <v>198996</v>
      </c>
      <c r="G12" s="873"/>
    </row>
    <row r="13" spans="1:7" x14ac:dyDescent="0.2">
      <c r="A13" s="870" t="s">
        <v>108</v>
      </c>
      <c r="B13" s="871" t="s">
        <v>1993</v>
      </c>
      <c r="C13" s="872"/>
      <c r="D13" s="870" t="s">
        <v>522</v>
      </c>
      <c r="E13" s="869"/>
      <c r="F13" s="1935">
        <f>'Expenditures 15-22'!K342</f>
        <v>73177</v>
      </c>
      <c r="G13" s="874"/>
    </row>
    <row r="14" spans="1:7" ht="12" customHeight="1" thickBot="1" x14ac:dyDescent="0.25">
      <c r="A14" s="1792"/>
      <c r="B14" s="1793"/>
      <c r="C14" s="1794"/>
      <c r="D14" s="1795" t="s">
        <v>522</v>
      </c>
      <c r="E14" s="1796" t="s">
        <v>1015</v>
      </c>
      <c r="F14" s="1797">
        <f>SUM(F8:F13)</f>
        <v>4703712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119365</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53610</v>
      </c>
      <c r="G53" s="866"/>
    </row>
    <row r="54" spans="1:7" x14ac:dyDescent="0.2">
      <c r="A54" s="870" t="s">
        <v>479</v>
      </c>
      <c r="B54" s="870" t="s">
        <v>1552</v>
      </c>
      <c r="C54" s="890" t="s">
        <v>1039</v>
      </c>
      <c r="D54" s="886" t="s">
        <v>1157</v>
      </c>
      <c r="E54" s="869"/>
      <c r="F54" s="1939">
        <f>'Expenditures 15-22'!G114</f>
        <v>76391</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242766</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115000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50753</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6164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664049</v>
      </c>
      <c r="G76" s="866"/>
    </row>
    <row r="77" spans="1:8" s="894" customFormat="1" ht="12" customHeight="1" thickTop="1" thickBot="1" x14ac:dyDescent="0.25">
      <c r="A77" s="1801"/>
      <c r="B77" s="1798"/>
      <c r="C77" s="1794"/>
      <c r="D77" s="1799" t="s">
        <v>2012</v>
      </c>
      <c r="E77" s="1796"/>
      <c r="F77" s="1802">
        <f>(F14-F76)</f>
        <v>4039663</v>
      </c>
      <c r="G77" s="870"/>
    </row>
    <row r="78" spans="1:8" s="894" customFormat="1" ht="12" customHeight="1" thickTop="1" x14ac:dyDescent="0.2">
      <c r="A78" s="1803"/>
      <c r="B78" s="1798"/>
      <c r="C78" s="1794"/>
      <c r="D78" s="1799" t="s">
        <v>2059</v>
      </c>
      <c r="E78" s="1796"/>
      <c r="F78" s="899">
        <v>250.19</v>
      </c>
      <c r="G78" s="900"/>
      <c r="H78" s="870"/>
    </row>
    <row r="79" spans="1:8" s="894" customFormat="1" ht="12" customHeight="1" thickBot="1" x14ac:dyDescent="0.25">
      <c r="A79" s="1804"/>
      <c r="B79" s="1798"/>
      <c r="C79" s="1794"/>
      <c r="D79" s="1799" t="s">
        <v>2013</v>
      </c>
      <c r="E79" s="1796" t="s">
        <v>1015</v>
      </c>
      <c r="F79" s="1805">
        <f>IF(F78&gt;0,F77/F78," Complete Line 78")</f>
        <v>16146.380750629522</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76531</v>
      </c>
      <c r="G94" s="913"/>
    </row>
    <row r="95" spans="1:7" x14ac:dyDescent="0.2">
      <c r="A95" s="909" t="s">
        <v>142</v>
      </c>
      <c r="B95" s="909" t="s">
        <v>177</v>
      </c>
      <c r="C95" s="911">
        <v>1700</v>
      </c>
      <c r="D95" s="919" t="str">
        <f>'Revenues 9-14'!A82</f>
        <v>Total District/School Activity Income</v>
      </c>
      <c r="E95" s="907"/>
      <c r="F95" s="1811">
        <f>SUM('Revenues 9-14'!C82,'Revenues 9-14'!D82)</f>
        <v>11859</v>
      </c>
      <c r="G95" s="913"/>
    </row>
    <row r="96" spans="1:7" x14ac:dyDescent="0.2">
      <c r="A96" s="909" t="s">
        <v>479</v>
      </c>
      <c r="B96" s="909" t="s">
        <v>178</v>
      </c>
      <c r="C96" s="911">
        <f>'Revenues 9-14'!B84</f>
        <v>1811</v>
      </c>
      <c r="D96" s="912" t="str">
        <f>'Revenues 9-14'!A84</f>
        <v>Rentals - Regular Textbooks</v>
      </c>
      <c r="E96" s="907"/>
      <c r="F96" s="1811">
        <f>'Revenues 9-14'!C84</f>
        <v>5408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28466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9887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673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4067</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123460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41840</v>
      </c>
      <c r="G129" s="931"/>
    </row>
    <row r="130" spans="1:7" x14ac:dyDescent="0.2">
      <c r="A130" s="928" t="s">
        <v>689</v>
      </c>
      <c r="B130" s="928" t="s">
        <v>804</v>
      </c>
      <c r="C130" s="933">
        <v>4300</v>
      </c>
      <c r="D130" s="934" t="str">
        <f>'Revenues 9-14'!A211</f>
        <v>Total Title I</v>
      </c>
      <c r="E130" s="907"/>
      <c r="F130" s="1811">
        <f>SUM('Revenues 9-14'!C211,'Revenues 9-14'!D211,'Revenues 9-14'!F211,'Revenues 9-14'!G211)</f>
        <v>49106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16050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26567</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404664</v>
      </c>
    </row>
    <row r="179" spans="1:7" ht="12" customHeight="1" x14ac:dyDescent="0.2">
      <c r="A179" s="1792"/>
      <c r="B179" s="1806"/>
      <c r="C179" s="1807"/>
      <c r="D179" s="1808" t="s">
        <v>2015</v>
      </c>
      <c r="E179" s="1809"/>
      <c r="F179" s="1811">
        <f>'PCTC-OEPP 27-28'!F77-F178</f>
        <v>3634999</v>
      </c>
    </row>
    <row r="180" spans="1:7" ht="12" customHeight="1" x14ac:dyDescent="0.2">
      <c r="A180" s="1792"/>
      <c r="B180" s="1806"/>
      <c r="C180" s="1807"/>
      <c r="D180" s="1808" t="s">
        <v>1924</v>
      </c>
      <c r="E180" s="1809"/>
      <c r="F180" s="1811">
        <f>'Cap Outlay Deprec 26'!I18</f>
        <v>156631</v>
      </c>
    </row>
    <row r="181" spans="1:7" ht="12" customHeight="1" x14ac:dyDescent="0.2">
      <c r="A181" s="1792"/>
      <c r="B181" s="1806"/>
      <c r="C181" s="1807"/>
      <c r="D181" s="1808" t="s">
        <v>2016</v>
      </c>
      <c r="E181" s="1809"/>
      <c r="F181" s="1811">
        <f>F179+F180</f>
        <v>3791630</v>
      </c>
    </row>
    <row r="182" spans="1:7" ht="12" customHeight="1" x14ac:dyDescent="0.2">
      <c r="A182" s="1792"/>
      <c r="B182" s="1812"/>
      <c r="C182" s="1807"/>
      <c r="D182" s="1808" t="str">
        <f>D78</f>
        <v>9 Month ADA from District Average Daily Attendance/Prior General State Aid Inquiry 2017-2018</v>
      </c>
      <c r="E182" s="1809"/>
      <c r="F182" s="1813">
        <f>'PCTC-OEPP 27-28'!F78</f>
        <v>250.19</v>
      </c>
      <c r="G182" s="931"/>
    </row>
    <row r="183" spans="1:7" ht="12" customHeight="1" thickBot="1" x14ac:dyDescent="0.25">
      <c r="A183" s="1792"/>
      <c r="B183" s="1812"/>
      <c r="C183" s="1807"/>
      <c r="D183" s="1808" t="s">
        <v>2017</v>
      </c>
      <c r="E183" s="1809" t="s">
        <v>1626</v>
      </c>
      <c r="F183" s="1814">
        <f>F181/F182</f>
        <v>15155.00219832927</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9" sqref="A19:H19"/>
      <selection pane="bottomLeft" activeCell="B20" sqref="B20"/>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2108</v>
      </c>
      <c r="B17" s="1958" t="s">
        <v>2163</v>
      </c>
      <c r="C17" s="1959" t="s">
        <v>2111</v>
      </c>
      <c r="D17" s="1867">
        <v>20000</v>
      </c>
      <c r="E17" s="1562">
        <f t="shared" ref="E17:E141" si="1">IF(D17&lt;=25000,D17,IF(D17&gt;25000,25000,0))</f>
        <v>20000</v>
      </c>
      <c r="F17" s="1815">
        <f t="shared" si="0"/>
        <v>0</v>
      </c>
      <c r="G17" s="1816">
        <f>IF(F17=0,0,D17-F17)</f>
        <v>0</v>
      </c>
      <c r="H17" s="1669"/>
    </row>
    <row r="18" spans="1:8" x14ac:dyDescent="0.25">
      <c r="A18" s="1957" t="s">
        <v>2109</v>
      </c>
      <c r="B18" s="1958" t="s">
        <v>2163</v>
      </c>
      <c r="C18" s="1959" t="s">
        <v>2112</v>
      </c>
      <c r="D18" s="1867">
        <v>42165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7" t="s">
        <v>2110</v>
      </c>
      <c r="B19" s="1958" t="s">
        <v>2163</v>
      </c>
      <c r="C19" s="1959" t="s">
        <v>2113</v>
      </c>
      <c r="D19" s="1867">
        <v>398000</v>
      </c>
      <c r="E19" s="1562">
        <f t="shared" si="2"/>
        <v>25000</v>
      </c>
      <c r="F19" s="1815">
        <f t="shared" si="3"/>
        <v>0</v>
      </c>
      <c r="G19" s="1816">
        <f t="shared" si="4"/>
        <v>0</v>
      </c>
    </row>
    <row r="20" spans="1:8" x14ac:dyDescent="0.25">
      <c r="A20" s="1675"/>
      <c r="B20" s="195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460165</v>
      </c>
      <c r="E141" s="1563">
        <f t="shared" si="1"/>
        <v>25000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&amp;RThe notes to the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76791</v>
      </c>
      <c r="F10" s="975"/>
      <c r="G10" s="976"/>
      <c r="H10" s="162"/>
      <c r="I10" s="162"/>
    </row>
    <row r="11" spans="1:9" s="669" customFormat="1" ht="22.5" customHeight="1" x14ac:dyDescent="0.2">
      <c r="A11" s="2307" t="s">
        <v>1945</v>
      </c>
      <c r="B11" s="2308"/>
      <c r="C11" s="2308"/>
      <c r="D11" s="2309"/>
      <c r="E11" s="978">
        <v>9185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2364598</v>
      </c>
      <c r="F19" s="1822"/>
      <c r="G19" s="1824">
        <f>'Expenditures 15-22'!K33-SUM('Expenditures 15-22'!G33,'Expenditures 15-22'!I33)+'Expenditures 15-22'!D229</f>
        <v>2364598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200891</v>
      </c>
      <c r="F21" s="1825"/>
      <c r="G21" s="1828">
        <f>'Expenditures 15-22'!K42-SUM('Expenditures 15-22'!G42,'Expenditures 15-22'!I42)+'Expenditures 15-22'!K120-SUM('Expenditures 15-22'!G120,'Expenditures 15-22'!I120)+'Expenditures 15-22'!K180-SUM('Expenditures 15-22'!G180,'Expenditures 15-22'!I180)+'Expenditures 15-22'!D238</f>
        <v>200891</v>
      </c>
      <c r="H21" s="988"/>
      <c r="I21" s="162"/>
    </row>
    <row r="22" spans="1:9" s="669" customFormat="1" ht="12" customHeight="1" x14ac:dyDescent="0.2">
      <c r="A22" s="995" t="s">
        <v>585</v>
      </c>
      <c r="B22" s="996"/>
      <c r="C22" s="994">
        <v>2200</v>
      </c>
      <c r="D22" s="1825"/>
      <c r="E22" s="1827">
        <f>'Expenditures 15-22'!K47-SUM('Expenditures 15-22'!G47,'Expenditures 15-22'!I47)+'Expenditures 15-22'!D243</f>
        <v>182358</v>
      </c>
      <c r="F22" s="1825"/>
      <c r="G22" s="1828">
        <f>'Expenditures 15-22'!K47-SUM('Expenditures 15-22'!G47,'Expenditures 15-22'!I47)+'Expenditures 15-22'!D243</f>
        <v>182358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194713</v>
      </c>
      <c r="F23" s="1825"/>
      <c r="G23" s="1827">
        <f>'Expenditures 15-22'!K53-SUM('Expenditures 15-22'!G53,'Expenditures 15-22'!I53)+'Expenditures 15-22'!D257+'Expenditures 15-22'!K330-SUM('Expenditures 15-22'!G330,'Expenditures 15-22'!I330)</f>
        <v>194713</v>
      </c>
      <c r="H23" s="988"/>
      <c r="I23" s="162"/>
    </row>
    <row r="24" spans="1:9" s="669" customFormat="1" ht="12" customHeight="1" x14ac:dyDescent="0.2">
      <c r="A24" s="995" t="s">
        <v>587</v>
      </c>
      <c r="B24" s="996"/>
      <c r="C24" s="994">
        <v>2400</v>
      </c>
      <c r="D24" s="1825"/>
      <c r="E24" s="1827">
        <f>'Expenditures 15-22'!K57-SUM('Expenditures 15-22'!G57,'Expenditures 15-22'!I57)+'Expenditures 15-22'!D261</f>
        <v>137073</v>
      </c>
      <c r="F24" s="1825"/>
      <c r="G24" s="1828">
        <f>'Expenditures 15-22'!K57-SUM('Expenditures 15-22'!G57,'Expenditures 15-22'!I57)+'Expenditures 15-22'!D261</f>
        <v>137073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66761</v>
      </c>
      <c r="E27" s="1827">
        <f>E8</f>
        <v>0</v>
      </c>
      <c r="F27" s="1827">
        <f>'Expenditures 15-22'!K60-SUM('Expenditures 15-22'!G60,'Expenditures 15-22'!I60)+'Expenditures 15-22'!D264-E8</f>
        <v>66761</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426339</v>
      </c>
      <c r="F28" s="1829">
        <f>'Expenditures 15-22'!K61-SUM('Expenditures 15-22'!G61,'Expenditures 15-22'!I61)+'Expenditures 15-22'!K124-SUM('Expenditures 15-22'!G124,'Expenditures 15-22'!I124)+'Expenditures 15-22'!D266-E9</f>
        <v>426339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279283</v>
      </c>
      <c r="F29" s="1825"/>
      <c r="G29" s="1828">
        <f>'Expenditures 15-22'!K62-SUM('Expenditures 15-22'!G62,'Expenditures 15-22'!I62)+'Expenditures 15-22'!K125-SUM('Expenditures 15-22'!G125,'Expenditures 15-22'!I125)+'Expenditures 15-22'!K182-SUM('Expenditures 15-22'!G182,'Expenditures 15-22'!I182)+'Expenditures 15-22'!D267</f>
        <v>279283</v>
      </c>
      <c r="H29" s="986"/>
    </row>
    <row r="30" spans="1:9" ht="12" customHeight="1" x14ac:dyDescent="0.2">
      <c r="A30" s="995" t="s">
        <v>102</v>
      </c>
      <c r="B30" s="998"/>
      <c r="C30" s="994">
        <v>2560</v>
      </c>
      <c r="D30" s="1825"/>
      <c r="E30" s="1827">
        <f>'Expenditures 15-22'!K63-SUM('Expenditures 15-22'!G63,'Expenditures 15-22'!I63)+'Expenditures 15-22'!D268-E10</f>
        <v>203697</v>
      </c>
      <c r="F30" s="1825"/>
      <c r="G30" s="1827">
        <f>'Expenditures 15-22'!K63-SUM('Expenditures 15-22'!G63,'Expenditures 15-22'!I63)+'Expenditures 15-22'!D268-E10</f>
        <v>203697</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66761</v>
      </c>
      <c r="E41" s="1829">
        <f>SUM(E19:E40)</f>
        <v>3988952</v>
      </c>
      <c r="F41" s="1829">
        <f>SUM(F19:F39)</f>
        <v>493100</v>
      </c>
      <c r="G41" s="1829">
        <f>SUM(G19:G40)</f>
        <v>3562613</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66761</v>
      </c>
      <c r="F43" s="1830" t="s">
        <v>495</v>
      </c>
      <c r="G43" s="1831">
        <f>F41</f>
        <v>493100</v>
      </c>
    </row>
    <row r="44" spans="1:7" ht="12" customHeight="1" x14ac:dyDescent="0.2">
      <c r="A44" s="988"/>
      <c r="B44" s="162"/>
      <c r="C44" s="1002"/>
      <c r="D44" s="1830" t="s">
        <v>494</v>
      </c>
      <c r="E44" s="1831">
        <f>E41</f>
        <v>3988952</v>
      </c>
      <c r="F44" s="1830" t="s">
        <v>494</v>
      </c>
      <c r="G44" s="1831">
        <f>G41</f>
        <v>3562613</v>
      </c>
    </row>
    <row r="45" spans="1:7" ht="12" customHeight="1" x14ac:dyDescent="0.2">
      <c r="A45" s="988"/>
      <c r="B45" s="162"/>
      <c r="C45" s="162"/>
      <c r="D45" s="1832" t="s">
        <v>1063</v>
      </c>
      <c r="E45" s="1833">
        <f>(E43/E44)</f>
        <v>1.6736476147118342E-2</v>
      </c>
      <c r="F45" s="1832" t="s">
        <v>1063</v>
      </c>
      <c r="G45" s="1833">
        <f>(G43/G44)</f>
        <v>0.13840964483091484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19" sqref="A19:H19"/>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Williamsfield CUSD 210</v>
      </c>
      <c r="D6" s="2328"/>
      <c r="E6" s="2328"/>
      <c r="F6" s="1877"/>
    </row>
    <row r="7" spans="1:10" ht="11.25" customHeight="1" thickBot="1" x14ac:dyDescent="0.3">
      <c r="A7" s="1875"/>
      <c r="B7" s="1876"/>
      <c r="C7" s="2329">
        <f>COVER!A13</f>
        <v>33048210026</v>
      </c>
      <c r="D7" s="2329"/>
      <c r="E7" s="232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2103</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2077</v>
      </c>
      <c r="D31" s="1890" t="s">
        <v>2077</v>
      </c>
      <c r="E31" s="1893" t="s">
        <v>2077</v>
      </c>
      <c r="F31" s="1892" t="s">
        <v>2104</v>
      </c>
      <c r="H31" s="1903">
        <f t="shared" si="0"/>
        <v>5</v>
      </c>
      <c r="I31" s="1903">
        <f t="shared" si="1"/>
        <v>5</v>
      </c>
      <c r="J31" s="1903">
        <f t="shared" si="2"/>
        <v>5</v>
      </c>
      <c r="L31" s="1894"/>
    </row>
    <row r="32" spans="1:12" ht="12" customHeight="1" x14ac:dyDescent="0.2">
      <c r="A32" s="1888" t="s">
        <v>1621</v>
      </c>
      <c r="B32" s="1889"/>
      <c r="C32" s="1890" t="s">
        <v>2077</v>
      </c>
      <c r="D32" s="1890" t="s">
        <v>2077</v>
      </c>
      <c r="E32" s="1893" t="s">
        <v>2077</v>
      </c>
      <c r="F32" s="1892" t="s">
        <v>2105</v>
      </c>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15</v>
      </c>
      <c r="I34" s="1903">
        <f>SUM(I11:I32)</f>
        <v>15</v>
      </c>
      <c r="J34" s="1903">
        <f>SUM(J11:J32)</f>
        <v>15</v>
      </c>
      <c r="K34" s="1903">
        <f>SUM(H34:J34)</f>
        <v>45</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Williamsfield CUSD 210</v>
      </c>
      <c r="J6" s="2338"/>
      <c r="Q6" s="1686"/>
    </row>
    <row r="7" spans="1:17" x14ac:dyDescent="0.2">
      <c r="A7" s="2339" t="s">
        <v>924</v>
      </c>
      <c r="B7" s="2340"/>
      <c r="C7" s="2340"/>
      <c r="D7" s="2340"/>
      <c r="E7" s="2341"/>
      <c r="F7" s="1018"/>
      <c r="G7" s="1010"/>
      <c r="H7" s="1017" t="s">
        <v>390</v>
      </c>
      <c r="I7" s="2342">
        <f>COVER!A13</f>
        <v>33048210026</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72271</v>
      </c>
      <c r="F12" s="1040"/>
      <c r="G12" s="1834">
        <f t="shared" ref="G12:G18" si="0">SUM(E12:F12)</f>
        <v>72271</v>
      </c>
      <c r="H12" s="1041">
        <v>74713</v>
      </c>
      <c r="I12" s="1040"/>
      <c r="J12" s="1834">
        <f t="shared" ref="J12:J18" si="1">SUM(H12:I12)</f>
        <v>74713</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72271</v>
      </c>
      <c r="F19" s="1836">
        <f t="shared" si="2"/>
        <v>0</v>
      </c>
      <c r="G19" s="1836">
        <f t="shared" si="2"/>
        <v>72271</v>
      </c>
      <c r="H19" s="1836">
        <f t="shared" si="2"/>
        <v>74713</v>
      </c>
      <c r="I19" s="1836">
        <f t="shared" si="2"/>
        <v>0</v>
      </c>
      <c r="J19" s="1836">
        <f t="shared" si="2"/>
        <v>74713</v>
      </c>
    </row>
    <row r="20" spans="1:10" ht="13.5" thickTop="1" x14ac:dyDescent="0.2">
      <c r="A20" s="1036">
        <v>9</v>
      </c>
      <c r="B20" s="2349" t="s">
        <v>1703</v>
      </c>
      <c r="C20" s="2349"/>
      <c r="D20" s="2350"/>
      <c r="E20" s="1047"/>
      <c r="F20" s="1047"/>
      <c r="G20" s="1047"/>
      <c r="H20" s="1047"/>
      <c r="I20" s="1047"/>
      <c r="J20" s="1837">
        <f>IF(AND(G19&gt;0,J19&gt;0),(((J19-G19)/G19)),"Enter Budget Data")</f>
        <v>3.3789486792766117E-2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9" sqref="A19:H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60" t="s">
        <v>2114</v>
      </c>
    </row>
    <row r="5" spans="1:2" x14ac:dyDescent="0.2">
      <c r="A5" s="1069">
        <v>1</v>
      </c>
      <c r="B5" s="329" t="s">
        <v>2116</v>
      </c>
    </row>
    <row r="6" spans="1:2" x14ac:dyDescent="0.2">
      <c r="A6" s="1069">
        <v>2</v>
      </c>
      <c r="B6" s="329" t="s">
        <v>2115</v>
      </c>
    </row>
    <row r="7" spans="1:2" x14ac:dyDescent="0.2">
      <c r="A7" s="1069">
        <v>3</v>
      </c>
      <c r="B7" s="329" t="s">
        <v>2117</v>
      </c>
    </row>
    <row r="8" spans="1:2" x14ac:dyDescent="0.2">
      <c r="A8" s="1069">
        <v>4</v>
      </c>
      <c r="B8" s="329" t="s">
        <v>2118</v>
      </c>
    </row>
    <row r="9" spans="1:2" x14ac:dyDescent="0.2">
      <c r="A9" s="1070"/>
      <c r="B9" s="329" t="s">
        <v>2119</v>
      </c>
    </row>
    <row r="10" spans="1:2" x14ac:dyDescent="0.2">
      <c r="A10" s="1070"/>
    </row>
    <row r="11" spans="1:2" x14ac:dyDescent="0.2">
      <c r="A11" s="1070"/>
      <c r="B11" s="1960" t="s">
        <v>2122</v>
      </c>
    </row>
    <row r="12" spans="1:2" x14ac:dyDescent="0.2">
      <c r="A12" s="1070">
        <v>5</v>
      </c>
      <c r="B12" s="329" t="s">
        <v>2120</v>
      </c>
    </row>
    <row r="13" spans="1:2" x14ac:dyDescent="0.2">
      <c r="A13" s="1070"/>
    </row>
    <row r="14" spans="1:2" x14ac:dyDescent="0.2">
      <c r="A14" s="1070"/>
      <c r="B14" s="1960" t="s">
        <v>2121</v>
      </c>
    </row>
    <row r="15" spans="1:2" x14ac:dyDescent="0.2">
      <c r="A15" s="1070">
        <v>6</v>
      </c>
      <c r="B15" s="329" t="s">
        <v>2123</v>
      </c>
    </row>
    <row r="16" spans="1:2" x14ac:dyDescent="0.2">
      <c r="A16" s="1070"/>
    </row>
    <row r="17" spans="1:2" x14ac:dyDescent="0.2">
      <c r="A17" s="1070"/>
      <c r="B17" s="1960" t="s">
        <v>2124</v>
      </c>
    </row>
    <row r="18" spans="1:2" x14ac:dyDescent="0.2">
      <c r="A18" s="1070">
        <v>7</v>
      </c>
      <c r="B18" s="329" t="s">
        <v>2125</v>
      </c>
    </row>
    <row r="19" spans="1:2" x14ac:dyDescent="0.2">
      <c r="A19" s="1070"/>
    </row>
    <row r="20" spans="1:2" x14ac:dyDescent="0.2">
      <c r="A20" s="1070"/>
      <c r="B20" s="1960" t="s">
        <v>2126</v>
      </c>
    </row>
    <row r="21" spans="1:2" x14ac:dyDescent="0.2">
      <c r="A21" s="1070">
        <v>8</v>
      </c>
      <c r="B21" s="329" t="s">
        <v>2127</v>
      </c>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Williamsfield CUSD 210</v>
      </c>
    </row>
    <row r="65" spans="2:2" x14ac:dyDescent="0.2">
      <c r="B65" s="1071">
        <f>COVER!A13</f>
        <v>33048210026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3" t="s">
        <v>1125</v>
      </c>
      <c r="B35" s="2073"/>
      <c r="C35" s="2073"/>
      <c r="D35" s="2073"/>
      <c r="E35" s="207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0" t="s">
        <v>715</v>
      </c>
      <c r="B40" s="2070"/>
      <c r="C40" s="2070"/>
      <c r="D40" s="2070"/>
      <c r="E40" s="2070"/>
    </row>
    <row r="41" spans="1:5" x14ac:dyDescent="0.2">
      <c r="A41" s="2071" t="s">
        <v>1706</v>
      </c>
      <c r="B41" s="2071"/>
      <c r="C41" s="2071"/>
      <c r="D41" s="2071"/>
      <c r="E41" s="2071"/>
    </row>
    <row r="42" spans="1:5" ht="12.75" customHeight="1" x14ac:dyDescent="0.2">
      <c r="A42" s="2072" t="s">
        <v>1080</v>
      </c>
      <c r="B42" s="2072"/>
      <c r="C42" s="2072"/>
      <c r="D42" s="2072"/>
      <c r="E42" s="207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8" sqref="F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1" r:id="rId6">
          <objectPr defaultSize="0" r:id="rId7">
            <anchor moveWithCells="1">
              <from>
                <xdr:col>5</xdr:col>
                <xdr:colOff>0</xdr:colOff>
                <xdr:row>14</xdr:row>
                <xdr:rowOff>0</xdr:rowOff>
              </from>
              <to>
                <xdr:col>6</xdr:col>
                <xdr:colOff>304800</xdr:colOff>
                <xdr:row>15</xdr:row>
                <xdr:rowOff>523875</xdr:rowOff>
              </to>
            </anchor>
          </objectPr>
        </oleObject>
      </mc:Choice>
      <mc:Fallback>
        <oleObject progId="Acrobat Document" dvAspect="DVASPECT_ICON" shapeId="37891" r:id="rId6"/>
      </mc:Fallback>
    </mc:AlternateContent>
    <mc:AlternateContent xmlns:mc="http://schemas.openxmlformats.org/markup-compatibility/2006">
      <mc:Choice Requires="x14">
        <oleObject progId="Acrobat Document" dvAspect="DVASPECT_ICON" shapeId="37892" r:id="rId8">
          <objectPr defaultSize="0" r:id="rId9">
            <anchor moveWithCells="1">
              <from>
                <xdr:col>5</xdr:col>
                <xdr:colOff>0</xdr:colOff>
                <xdr:row>7</xdr:row>
                <xdr:rowOff>0</xdr:rowOff>
              </from>
              <to>
                <xdr:col>6</xdr:col>
                <xdr:colOff>304800</xdr:colOff>
                <xdr:row>11</xdr:row>
                <xdr:rowOff>38100</xdr:rowOff>
              </to>
            </anchor>
          </objectPr>
        </oleObject>
      </mc:Choice>
      <mc:Fallback>
        <oleObject progId="Acrobat Document" dvAspect="DVASPECT_ICON" shapeId="3789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3730452</v>
      </c>
      <c r="C8" s="1838">
        <f>'Acct Summary 7-8'!D8</f>
        <v>438508</v>
      </c>
      <c r="D8" s="1838">
        <f>'Acct Summary 7-8'!F8</f>
        <v>255353</v>
      </c>
      <c r="E8" s="1838">
        <f>'Acct Summary 7-8'!I8</f>
        <v>0</v>
      </c>
      <c r="F8" s="1838">
        <f>SUM(B8:E8)</f>
        <v>4424313</v>
      </c>
    </row>
    <row r="9" spans="1:8" s="1080" customFormat="1" ht="14.25" customHeight="1" thickBot="1" x14ac:dyDescent="0.25">
      <c r="A9" s="1079" t="s">
        <v>1436</v>
      </c>
      <c r="B9" s="1839">
        <f>'Acct Summary 7-8'!C17</f>
        <v>3343613</v>
      </c>
      <c r="C9" s="1839">
        <f>'Acct Summary 7-8'!D17</f>
        <v>638729</v>
      </c>
      <c r="D9" s="1839">
        <f>'Acct Summary 7-8'!F17</f>
        <v>301509</v>
      </c>
      <c r="E9" s="1838"/>
      <c r="F9" s="1838">
        <f>SUM(B9:E9)</f>
        <v>4283851</v>
      </c>
    </row>
    <row r="10" spans="1:8" s="1080" customFormat="1" ht="14.25" thickTop="1" thickBot="1" x14ac:dyDescent="0.25">
      <c r="A10" s="1081" t="s">
        <v>1437</v>
      </c>
      <c r="B10" s="1840">
        <f>(B8-B9)</f>
        <v>386839</v>
      </c>
      <c r="C10" s="1840">
        <f>(C8-C9)</f>
        <v>-200221</v>
      </c>
      <c r="D10" s="1840">
        <f>(D8-D9)</f>
        <v>-46156</v>
      </c>
      <c r="E10" s="1839">
        <f>(E8-E9)</f>
        <v>0</v>
      </c>
      <c r="F10" s="1841">
        <f>SUM(F8-F9)</f>
        <v>140462</v>
      </c>
    </row>
    <row r="11" spans="1:8" s="1080" customFormat="1" ht="14.25" thickTop="1" thickBot="1" x14ac:dyDescent="0.25">
      <c r="A11" s="1082" t="s">
        <v>1785</v>
      </c>
      <c r="B11" s="1842">
        <f>'Acct Summary 7-8'!C81</f>
        <v>2458191</v>
      </c>
      <c r="C11" s="1842">
        <f>'Acct Summary 7-8'!D81</f>
        <v>619599</v>
      </c>
      <c r="D11" s="1842">
        <f>'Acct Summary 7-8'!F81</f>
        <v>527547</v>
      </c>
      <c r="E11" s="1842">
        <f>'Acct Summary 7-8'!I81</f>
        <v>0</v>
      </c>
      <c r="F11" s="1843">
        <f>SUM(B11:E11)</f>
        <v>3605337</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33048210026</v>
      </c>
    </row>
    <row r="3" spans="1:2" x14ac:dyDescent="0.2">
      <c r="A3" t="s">
        <v>1013</v>
      </c>
      <c r="B3" s="138" t="str">
        <f>COVER!A15</f>
        <v>KNOX, PEORIA, AND STARK</v>
      </c>
    </row>
    <row r="4" spans="1:2" x14ac:dyDescent="0.2">
      <c r="A4" t="s">
        <v>1064</v>
      </c>
      <c r="B4" s="138" t="str">
        <f>COVER!A17</f>
        <v>Williamsfield CUSD 210</v>
      </c>
    </row>
    <row r="5" spans="1:2" x14ac:dyDescent="0.2">
      <c r="A5" t="s">
        <v>728</v>
      </c>
      <c r="B5" s="138" t="str">
        <f>COVER!A38</f>
        <v>TIM FARQUER</v>
      </c>
    </row>
    <row r="6" spans="1:2" x14ac:dyDescent="0.2">
      <c r="A6" t="s">
        <v>733</v>
      </c>
      <c r="B6" s="138">
        <f>COVER!P35</f>
        <v>0</v>
      </c>
    </row>
    <row r="7" spans="1:2" x14ac:dyDescent="0.2">
      <c r="A7" t="s">
        <v>729</v>
      </c>
      <c r="B7" s="138">
        <f>COVER!I38</f>
        <v>0</v>
      </c>
    </row>
    <row r="8" spans="1:2" x14ac:dyDescent="0.2">
      <c r="A8" t="s">
        <v>730</v>
      </c>
      <c r="B8" s="138" t="str">
        <f>COVER!T38</f>
        <v>JODI SCOTT</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065-024137</v>
      </c>
    </row>
    <row r="16" spans="1:2" x14ac:dyDescent="0.2">
      <c r="A16" t="s">
        <v>442</v>
      </c>
      <c r="B16" s="138" t="str">
        <f>COVER!T13</f>
        <v>BLUCKER, KNEER &amp; ASSOCIATES</v>
      </c>
    </row>
    <row r="17" spans="1:2" x14ac:dyDescent="0.2">
      <c r="A17" t="s">
        <v>939</v>
      </c>
      <c r="B17" s="138" t="str">
        <f>COVER!T15</f>
        <v>TERESA A. WELCH</v>
      </c>
    </row>
    <row r="18" spans="1:2" x14ac:dyDescent="0.2">
      <c r="A18" t="s">
        <v>1212</v>
      </c>
      <c r="B18" s="138" t="str">
        <f>COVER!T17</f>
        <v>P.O. BOX 1464</v>
      </c>
    </row>
    <row r="19" spans="1:2" x14ac:dyDescent="0.2">
      <c r="A19" t="s">
        <v>941</v>
      </c>
      <c r="B19" s="138" t="str">
        <f>COVER!T25</f>
        <v>teresabka@gmail.com</v>
      </c>
    </row>
    <row r="20" spans="1:2" x14ac:dyDescent="0.2">
      <c r="A20" t="s">
        <v>942</v>
      </c>
      <c r="B20" s="138" t="str">
        <f>COVER!T19</f>
        <v>GALESBURG</v>
      </c>
    </row>
    <row r="21" spans="1:2" x14ac:dyDescent="0.2">
      <c r="A21" t="s">
        <v>500</v>
      </c>
      <c r="B21" s="138" t="str">
        <f>COVER!X19</f>
        <v>IL</v>
      </c>
    </row>
    <row r="22" spans="1:2" x14ac:dyDescent="0.2">
      <c r="A22" t="s">
        <v>943</v>
      </c>
      <c r="B22" s="138">
        <f>COVER!Z19</f>
        <v>61401</v>
      </c>
    </row>
    <row r="23" spans="1:2" x14ac:dyDescent="0.2">
      <c r="A23" t="s">
        <v>1214</v>
      </c>
      <c r="B23" s="138" t="str">
        <f>COVER!T21</f>
        <v>309-343-4156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636197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2461742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3551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3551</v>
      </c>
      <c r="C91" s="2" t="s">
        <v>594</v>
      </c>
      <c r="D91" s="2" t="str">
        <f t="shared" si="0"/>
        <v>Error?</v>
      </c>
    </row>
    <row r="92" spans="1:4" x14ac:dyDescent="0.2">
      <c r="A92" s="5">
        <v>31</v>
      </c>
      <c r="B92" s="138">
        <f>'Assets-Liab 5-6'!C39</f>
        <v>2420284</v>
      </c>
      <c r="D92" s="2" t="str">
        <f t="shared" si="0"/>
        <v>Error?</v>
      </c>
    </row>
    <row r="93" spans="1:4" x14ac:dyDescent="0.2">
      <c r="A93" s="5">
        <v>32</v>
      </c>
      <c r="B93" s="138">
        <f>'Assets-Liab 5-6'!C41</f>
        <v>2461742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273368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619599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619599</v>
      </c>
      <c r="D123" s="2" t="str">
        <f t="shared" si="0"/>
        <v>Error?</v>
      </c>
    </row>
    <row r="124" spans="1:4" x14ac:dyDescent="0.2">
      <c r="A124" s="5">
        <v>63</v>
      </c>
      <c r="B124" s="138">
        <f>'Assets-Liab 5-6'!D41</f>
        <v>619599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v>
      </c>
      <c r="D129" s="2" t="str">
        <f t="shared" si="1"/>
        <v>Error?</v>
      </c>
    </row>
    <row r="130" spans="1:4" x14ac:dyDescent="0.2">
      <c r="A130" s="5">
        <v>69</v>
      </c>
      <c r="B130" s="138">
        <f>'Assets-Liab 5-6'!E12</f>
        <v>0</v>
      </c>
      <c r="D130" s="2" t="str">
        <f t="shared" si="1"/>
        <v>Error?</v>
      </c>
    </row>
    <row r="131" spans="1:4" x14ac:dyDescent="0.2">
      <c r="A131" s="5">
        <v>70</v>
      </c>
      <c r="B131" s="138">
        <f>'Assets-Liab 5-6'!E13</f>
        <v>4270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4270</v>
      </c>
      <c r="D140" s="2" t="str">
        <f t="shared" si="1"/>
        <v>Error?</v>
      </c>
    </row>
    <row r="141" spans="1:4" x14ac:dyDescent="0.2">
      <c r="A141" s="5">
        <v>80</v>
      </c>
      <c r="B141" s="138">
        <f>'Assets-Liab 5-6'!E41</f>
        <v>4270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264799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527547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527547</v>
      </c>
      <c r="D170" s="2" t="str">
        <f t="shared" si="1"/>
        <v>Error?</v>
      </c>
    </row>
    <row r="171" spans="1:4" x14ac:dyDescent="0.2">
      <c r="A171" s="5">
        <v>110</v>
      </c>
      <c r="B171" s="138">
        <f>'Assets-Liab 5-6'!F41</f>
        <v>527547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30012</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16760</v>
      </c>
      <c r="C211" s="2" t="s">
        <v>594</v>
      </c>
      <c r="D211" s="2" t="str">
        <f t="shared" si="2"/>
        <v>Error?</v>
      </c>
    </row>
    <row r="212" spans="1:4" x14ac:dyDescent="0.2">
      <c r="A212" s="5">
        <v>151</v>
      </c>
      <c r="B212" s="138">
        <f>'Assets-Liab 5-6'!H39</f>
        <v>-16760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22782</v>
      </c>
      <c r="D273" s="2" t="str">
        <f t="shared" si="3"/>
        <v>Error?</v>
      </c>
    </row>
    <row r="274" spans="1:4" x14ac:dyDescent="0.2">
      <c r="A274" s="5">
        <v>213</v>
      </c>
      <c r="B274" s="138">
        <f>'Assets-Liab 5-6'!M17</f>
        <v>4133502</v>
      </c>
      <c r="D274" s="2" t="str">
        <f t="shared" si="3"/>
        <v>Error?</v>
      </c>
    </row>
    <row r="275" spans="1:4" x14ac:dyDescent="0.2">
      <c r="A275" s="5">
        <v>214</v>
      </c>
      <c r="B275" s="138">
        <f>'Assets-Liab 5-6'!M18</f>
        <v>0</v>
      </c>
      <c r="D275" s="2" t="str">
        <f t="shared" si="3"/>
        <v>Error?</v>
      </c>
    </row>
    <row r="276" spans="1:4" x14ac:dyDescent="0.2">
      <c r="A276" s="5">
        <v>215</v>
      </c>
      <c r="B276" s="138">
        <f>'Assets-Liab 5-6'!M19</f>
        <v>1108719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5265003</v>
      </c>
      <c r="C279" s="2" t="s">
        <v>594</v>
      </c>
      <c r="D279" s="2" t="str">
        <f t="shared" si="3"/>
        <v>Error?</v>
      </c>
    </row>
    <row r="280" spans="1:4" x14ac:dyDescent="0.2">
      <c r="A280" s="5">
        <v>219</v>
      </c>
      <c r="B280" s="138">
        <f>'Assets-Liab 5-6'!M40</f>
        <v>5265003</v>
      </c>
      <c r="D280" s="2" t="str">
        <f t="shared" si="3"/>
        <v>Error?</v>
      </c>
    </row>
    <row r="281" spans="1:4" x14ac:dyDescent="0.2">
      <c r="A281" s="5">
        <v>220</v>
      </c>
      <c r="B281" s="138">
        <f>'Assets-Liab 5-6'!M41</f>
        <v>5265003</v>
      </c>
      <c r="C281" s="2" t="s">
        <v>594</v>
      </c>
      <c r="D281" s="2" t="str">
        <f t="shared" si="3"/>
        <v>Error?</v>
      </c>
    </row>
    <row r="282" spans="1:4" x14ac:dyDescent="0.2">
      <c r="A282" s="5">
        <v>221</v>
      </c>
      <c r="B282" s="138">
        <f>'Assets-Liab 5-6'!N21</f>
        <v>4270</v>
      </c>
      <c r="D282" s="2" t="str">
        <f t="shared" si="3"/>
        <v>Error?</v>
      </c>
    </row>
    <row r="283" spans="1:4" x14ac:dyDescent="0.2">
      <c r="A283" s="5">
        <v>222</v>
      </c>
      <c r="B283" s="138">
        <f>'Assets-Liab 5-6'!N22</f>
        <v>706427</v>
      </c>
      <c r="D283" s="2" t="str">
        <f t="shared" si="3"/>
        <v>Error?</v>
      </c>
    </row>
    <row r="284" spans="1:4" x14ac:dyDescent="0.2">
      <c r="A284" s="5">
        <v>223</v>
      </c>
      <c r="B284" s="138">
        <f>'Assets-Liab 5-6'!N23</f>
        <v>710697</v>
      </c>
      <c r="C284" s="2" t="s">
        <v>594</v>
      </c>
      <c r="D284" s="2" t="str">
        <f t="shared" si="3"/>
        <v>Error?</v>
      </c>
    </row>
    <row r="285" spans="1:4" x14ac:dyDescent="0.2">
      <c r="A285" s="5">
        <v>224</v>
      </c>
      <c r="B285" s="138">
        <f>'Assets-Liab 5-6'!N36</f>
        <v>710697</v>
      </c>
      <c r="D285" s="2" t="str">
        <f t="shared" si="3"/>
        <v>Error?</v>
      </c>
    </row>
    <row r="286" spans="1:4" x14ac:dyDescent="0.2">
      <c r="A286" s="10">
        <v>225</v>
      </c>
      <c r="D286" s="2" t="str">
        <f t="shared" si="3"/>
        <v>OK</v>
      </c>
    </row>
    <row r="287" spans="1:4" x14ac:dyDescent="0.2">
      <c r="A287" s="5">
        <v>226</v>
      </c>
      <c r="B287" s="138">
        <f>'Assets-Liab 5-6'!N37</f>
        <v>710697</v>
      </c>
      <c r="C287" s="2" t="s">
        <v>594</v>
      </c>
      <c r="D287" s="2" t="str">
        <f t="shared" si="3"/>
        <v>Error?</v>
      </c>
    </row>
    <row r="288" spans="1:4" x14ac:dyDescent="0.2">
      <c r="A288" s="5">
        <v>227</v>
      </c>
      <c r="B288" s="138">
        <f>'Assets-Liab 5-6'!N41</f>
        <v>710697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1186790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176590</v>
      </c>
      <c r="D717" s="2" t="str">
        <f t="shared" si="10"/>
        <v>Error?</v>
      </c>
    </row>
    <row r="718" spans="1:4" x14ac:dyDescent="0.2">
      <c r="A718" s="5">
        <v>657</v>
      </c>
      <c r="B718" s="138">
        <f>'Expenditures 15-22'!C14</f>
        <v>91767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1778189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62925</v>
      </c>
      <c r="D722" s="2" t="str">
        <f t="shared" si="10"/>
        <v>Error?</v>
      </c>
    </row>
    <row r="723" spans="1:4" x14ac:dyDescent="0.2">
      <c r="A723" s="5">
        <v>662</v>
      </c>
      <c r="B723" s="138">
        <f>'Expenditures 15-22'!C38</f>
        <v>23501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58401</v>
      </c>
      <c r="D726" s="2" t="str">
        <f t="shared" si="10"/>
        <v>Error?</v>
      </c>
    </row>
    <row r="727" spans="1:4" x14ac:dyDescent="0.2">
      <c r="A727" s="5">
        <v>666</v>
      </c>
      <c r="B727" s="138">
        <f>'Expenditures 15-22'!C42</f>
        <v>144827</v>
      </c>
      <c r="C727" s="2" t="s">
        <v>594</v>
      </c>
      <c r="D727" s="2" t="str">
        <f t="shared" si="10"/>
        <v>Error?</v>
      </c>
    </row>
    <row r="728" spans="1:4" x14ac:dyDescent="0.2">
      <c r="A728" s="5">
        <v>667</v>
      </c>
      <c r="B728" s="138">
        <f>'Expenditures 15-22'!C44</f>
        <v>91764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91764</v>
      </c>
      <c r="C731" s="2" t="s">
        <v>594</v>
      </c>
      <c r="D731" s="2" t="str">
        <f t="shared" si="10"/>
        <v>Error?</v>
      </c>
    </row>
    <row r="732" spans="1:4" x14ac:dyDescent="0.2">
      <c r="A732" s="5">
        <v>671</v>
      </c>
      <c r="B732" s="138">
        <f>'Expenditures 15-22'!C49</f>
        <v>9687</v>
      </c>
      <c r="D732" s="2" t="str">
        <f t="shared" si="10"/>
        <v>Error?</v>
      </c>
    </row>
    <row r="733" spans="1:4" x14ac:dyDescent="0.2">
      <c r="A733" s="5">
        <v>672</v>
      </c>
      <c r="B733" s="138">
        <f>'Expenditures 15-22'!C50</f>
        <v>52563</v>
      </c>
      <c r="D733" s="2" t="str">
        <f t="shared" si="10"/>
        <v>Error?</v>
      </c>
    </row>
    <row r="734" spans="1:4" x14ac:dyDescent="0.2">
      <c r="A734" s="5">
        <v>673</v>
      </c>
      <c r="B734" s="138">
        <f>'Expenditures 15-22'!C53</f>
        <v>62250</v>
      </c>
      <c r="C734" s="2" t="s">
        <v>594</v>
      </c>
      <c r="D734" s="2" t="str">
        <f t="shared" si="10"/>
        <v>Error?</v>
      </c>
    </row>
    <row r="735" spans="1:4" x14ac:dyDescent="0.2">
      <c r="A735" s="5">
        <v>674</v>
      </c>
      <c r="B735" s="138">
        <f>'Expenditures 15-22'!C55</f>
        <v>86277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86277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48424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129285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177709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562827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2341016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176984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18597</v>
      </c>
      <c r="D775" s="2" t="str">
        <f t="shared" si="11"/>
        <v>Error?</v>
      </c>
    </row>
    <row r="776" spans="1:4" x14ac:dyDescent="0.2">
      <c r="A776" s="5">
        <v>715</v>
      </c>
      <c r="B776" s="138">
        <f>'Expenditures 15-22'!D14</f>
        <v>724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255552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5966</v>
      </c>
      <c r="D780" s="2" t="str">
        <f t="shared" si="11"/>
        <v>Error?</v>
      </c>
    </row>
    <row r="781" spans="1:4" x14ac:dyDescent="0.2">
      <c r="A781" s="5">
        <v>720</v>
      </c>
      <c r="B781" s="138">
        <f>'Expenditures 15-22'!D38</f>
        <v>6341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6309</v>
      </c>
      <c r="D784" s="2" t="str">
        <f t="shared" si="11"/>
        <v>Error?</v>
      </c>
    </row>
    <row r="785" spans="1:4" x14ac:dyDescent="0.2">
      <c r="A785" s="5">
        <v>724</v>
      </c>
      <c r="B785" s="138">
        <f>'Expenditures 15-22'!D42</f>
        <v>18616</v>
      </c>
      <c r="C785" s="2" t="s">
        <v>594</v>
      </c>
      <c r="D785" s="2" t="str">
        <f t="shared" si="11"/>
        <v>Error?</v>
      </c>
    </row>
    <row r="786" spans="1:4" x14ac:dyDescent="0.2">
      <c r="A786" s="5">
        <v>725</v>
      </c>
      <c r="B786" s="138">
        <f>'Expenditures 15-22'!D44</f>
        <v>34934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34934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5723</v>
      </c>
      <c r="D791" s="2" t="str">
        <f t="shared" si="11"/>
        <v>Error?</v>
      </c>
    </row>
    <row r="792" spans="1:4" x14ac:dyDescent="0.2">
      <c r="A792" s="5">
        <v>731</v>
      </c>
      <c r="B792" s="138">
        <f>'Expenditures 15-22'!D53</f>
        <v>5723</v>
      </c>
      <c r="C792" s="2" t="s">
        <v>594</v>
      </c>
      <c r="D792" s="2" t="str">
        <f t="shared" si="11"/>
        <v>Error?</v>
      </c>
    </row>
    <row r="793" spans="1:4" x14ac:dyDescent="0.2">
      <c r="A793" s="5">
        <v>732</v>
      </c>
      <c r="B793" s="138">
        <f>'Expenditures 15-22'!D55</f>
        <v>24819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24819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6341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26377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32718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116810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372362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56785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19549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106187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v>
      </c>
      <c r="D842" s="2" t="str">
        <f t="shared" si="12"/>
        <v>Error?</v>
      </c>
    </row>
    <row r="843" spans="1:4" x14ac:dyDescent="0.2">
      <c r="A843" s="5">
        <v>782</v>
      </c>
      <c r="B843" s="138">
        <f>'Expenditures 15-22'!E42</f>
        <v>9</v>
      </c>
      <c r="C843" s="2" t="s">
        <v>594</v>
      </c>
      <c r="D843" s="2" t="str">
        <f t="shared" si="12"/>
        <v>Error?</v>
      </c>
    </row>
    <row r="844" spans="1:4" x14ac:dyDescent="0.2">
      <c r="A844" s="5">
        <v>783</v>
      </c>
      <c r="B844" s="138">
        <f>'Expenditures 15-22'!E44</f>
        <v>17926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17926</v>
      </c>
      <c r="C847" s="2" t="s">
        <v>594</v>
      </c>
      <c r="D847" s="2" t="str">
        <f t="shared" si="12"/>
        <v>Error?</v>
      </c>
    </row>
    <row r="848" spans="1:4" x14ac:dyDescent="0.2">
      <c r="A848" s="5">
        <v>787</v>
      </c>
      <c r="B848" s="138">
        <f>'Expenditures 15-22'!E49</f>
        <v>30172</v>
      </c>
      <c r="D848" s="2" t="str">
        <f t="shared" si="12"/>
        <v>Error?</v>
      </c>
    </row>
    <row r="849" spans="1:4" x14ac:dyDescent="0.2">
      <c r="A849" s="5">
        <v>788</v>
      </c>
      <c r="B849" s="138">
        <f>'Expenditures 15-22'!E50</f>
        <v>11247</v>
      </c>
      <c r="D849" s="2" t="str">
        <f t="shared" si="12"/>
        <v>Error?</v>
      </c>
    </row>
    <row r="850" spans="1:4" x14ac:dyDescent="0.2">
      <c r="A850" s="5">
        <v>789</v>
      </c>
      <c r="B850" s="138">
        <f>'Expenditures 15-22'!E53</f>
        <v>41419</v>
      </c>
      <c r="C850" s="2" t="s">
        <v>594</v>
      </c>
      <c r="D850" s="2" t="str">
        <f t="shared" si="12"/>
        <v>Error?</v>
      </c>
    </row>
    <row r="851" spans="1:4" x14ac:dyDescent="0.2">
      <c r="A851" s="5">
        <v>790</v>
      </c>
      <c r="B851" s="138">
        <f>'Expenditures 15-22'!E55</f>
        <v>10567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10567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10931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12281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82202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188389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92639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23561</v>
      </c>
      <c r="D891" s="2" t="str">
        <f t="shared" si="12"/>
        <v>Error?</v>
      </c>
    </row>
    <row r="892" spans="1:4" x14ac:dyDescent="0.2">
      <c r="A892" s="5">
        <v>831</v>
      </c>
      <c r="B892" s="138">
        <f>'Expenditures 15-22'!F14</f>
        <v>26528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153068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6105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13554</v>
      </c>
      <c r="D900" s="2" t="str">
        <f t="shared" si="13"/>
        <v>Error?</v>
      </c>
    </row>
    <row r="901" spans="1:4" x14ac:dyDescent="0.2">
      <c r="A901" s="5">
        <v>840</v>
      </c>
      <c r="B901" s="138">
        <f>'Expenditures 15-22'!F42</f>
        <v>19659</v>
      </c>
      <c r="C901" s="2" t="s">
        <v>594</v>
      </c>
      <c r="D901" s="2" t="str">
        <f t="shared" si="13"/>
        <v>Error?</v>
      </c>
    </row>
    <row r="902" spans="1:4" x14ac:dyDescent="0.2">
      <c r="A902" s="5">
        <v>841</v>
      </c>
      <c r="B902" s="138">
        <f>'Expenditures 15-22'!F44</f>
        <v>1700</v>
      </c>
      <c r="D902" s="2" t="str">
        <f t="shared" si="13"/>
        <v>Error?</v>
      </c>
    </row>
    <row r="903" spans="1:4" x14ac:dyDescent="0.2">
      <c r="A903" s="5">
        <v>842</v>
      </c>
      <c r="B903" s="138">
        <f>'Expenditures 15-22'!F45</f>
        <v>30469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32169</v>
      </c>
      <c r="C905" s="2" t="s">
        <v>594</v>
      </c>
      <c r="D905" s="2" t="str">
        <f t="shared" si="13"/>
        <v>Error?</v>
      </c>
    </row>
    <row r="906" spans="1:4" x14ac:dyDescent="0.2">
      <c r="A906" s="5">
        <v>845</v>
      </c>
      <c r="B906" s="138">
        <f>'Expenditures 15-22'!F49</f>
        <v>5562</v>
      </c>
      <c r="D906" s="2" t="str">
        <f t="shared" si="13"/>
        <v>Error?</v>
      </c>
    </row>
    <row r="907" spans="1:4" x14ac:dyDescent="0.2">
      <c r="A907" s="5">
        <v>846</v>
      </c>
      <c r="B907" s="138">
        <f>'Expenditures 15-22'!F50</f>
        <v>1440</v>
      </c>
      <c r="D907" s="2" t="str">
        <f t="shared" si="13"/>
        <v>Error?</v>
      </c>
    </row>
    <row r="908" spans="1:4" x14ac:dyDescent="0.2">
      <c r="A908" s="5">
        <v>847</v>
      </c>
      <c r="B908" s="138">
        <f>'Expenditures 15-22'!F53</f>
        <v>7002</v>
      </c>
      <c r="C908" s="2" t="s">
        <v>594</v>
      </c>
      <c r="D908" s="2" t="str">
        <f t="shared" si="13"/>
        <v>Error?</v>
      </c>
    </row>
    <row r="909" spans="1:4" x14ac:dyDescent="0.2">
      <c r="A909" s="5">
        <v>848</v>
      </c>
      <c r="B909" s="138">
        <f>'Expenditures 15-22'!F55</f>
        <v>4869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4869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82783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83759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147458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300526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58833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7001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65834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6212</v>
      </c>
      <c r="D958" s="2" t="str">
        <f t="shared" si="13"/>
        <v>Error?</v>
      </c>
    </row>
    <row r="959" spans="1:4" x14ac:dyDescent="0.2">
      <c r="A959" s="5">
        <v>898</v>
      </c>
      <c r="B959" s="138">
        <f>'Expenditures 15-22'!G42</f>
        <v>6212</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4345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4345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10557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76391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5218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5668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500</v>
      </c>
      <c r="D1016" s="2" t="str">
        <f t="shared" si="14"/>
        <v>Error?</v>
      </c>
    </row>
    <row r="1017" spans="1:4" x14ac:dyDescent="0.2">
      <c r="A1017" s="5">
        <v>956</v>
      </c>
      <c r="B1017" s="138">
        <f>'Expenditures 15-22'!H42</f>
        <v>500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2341</v>
      </c>
      <c r="D1022" s="2" t="str">
        <f t="shared" si="14"/>
        <v>Error?</v>
      </c>
    </row>
    <row r="1023" spans="1:4" x14ac:dyDescent="0.2">
      <c r="A1023" s="5">
        <v>962</v>
      </c>
      <c r="B1023" s="138">
        <f>'Expenditures 15-22'!H50</f>
        <v>1298</v>
      </c>
      <c r="D1023" s="2" t="str">
        <f t="shared" ref="D1023:D1086" si="15">IF(ISBLANK(B1023),"OK",IF(A1023-B1023=0,"OK","Error?"))</f>
        <v>Error?</v>
      </c>
    </row>
    <row r="1024" spans="1:4" x14ac:dyDescent="0.2">
      <c r="A1024" s="5">
        <v>963</v>
      </c>
      <c r="B1024" s="138">
        <f>'Expenditures 15-22'!H53</f>
        <v>3639</v>
      </c>
      <c r="C1024" s="2" t="s">
        <v>594</v>
      </c>
      <c r="D1024" s="2" t="str">
        <f t="shared" si="15"/>
        <v>Error?</v>
      </c>
    </row>
    <row r="1025" spans="1:4" x14ac:dyDescent="0.2">
      <c r="A1025" s="5">
        <v>964</v>
      </c>
      <c r="B1025" s="138">
        <f>'Expenditures 15-22'!H55</f>
        <v>1512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1512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5651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53610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64929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1572481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218748</v>
      </c>
      <c r="C1105" s="2" t="s">
        <v>594</v>
      </c>
      <c r="D1105" s="2" t="str">
        <f t="shared" si="16"/>
        <v>Error?</v>
      </c>
    </row>
    <row r="1106" spans="1:4" x14ac:dyDescent="0.2">
      <c r="A1106" s="5">
        <v>1045</v>
      </c>
      <c r="B1106" s="138">
        <f>'Expenditures 15-22'!K14</f>
        <v>150787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2364498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68891</v>
      </c>
      <c r="C1110" s="2" t="s">
        <v>594</v>
      </c>
      <c r="D1110" s="2" t="str">
        <f t="shared" si="16"/>
        <v>Error?</v>
      </c>
    </row>
    <row r="1111" spans="1:4" x14ac:dyDescent="0.2">
      <c r="A1111" s="5">
        <v>1050</v>
      </c>
      <c r="B1111" s="138">
        <f>'Expenditures 15-22'!K38</f>
        <v>35947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84985</v>
      </c>
      <c r="C1114" s="2" t="s">
        <v>594</v>
      </c>
      <c r="D1114" s="2" t="str">
        <f t="shared" si="16"/>
        <v>Error?</v>
      </c>
    </row>
    <row r="1115" spans="1:4" x14ac:dyDescent="0.2">
      <c r="A1115" s="5">
        <v>1054</v>
      </c>
      <c r="B1115" s="138">
        <f>'Expenditures 15-22'!K42</f>
        <v>189823</v>
      </c>
      <c r="C1115" s="2" t="s">
        <v>594</v>
      </c>
      <c r="D1115" s="2" t="str">
        <f t="shared" si="16"/>
        <v>Error?</v>
      </c>
    </row>
    <row r="1116" spans="1:4" x14ac:dyDescent="0.2">
      <c r="A1116" s="5">
        <v>1055</v>
      </c>
      <c r="B1116" s="138">
        <f>'Expenditures 15-22'!K44</f>
        <v>146324</v>
      </c>
      <c r="C1116" s="2" t="s">
        <v>594</v>
      </c>
      <c r="D1116" s="2" t="str">
        <f t="shared" si="16"/>
        <v>Error?</v>
      </c>
    </row>
    <row r="1117" spans="1:4" x14ac:dyDescent="0.2">
      <c r="A1117" s="5">
        <v>1056</v>
      </c>
      <c r="B1117" s="138">
        <f>'Expenditures 15-22'!K45</f>
        <v>30469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176793</v>
      </c>
      <c r="C1119" s="2" t="s">
        <v>594</v>
      </c>
      <c r="D1119" s="2" t="str">
        <f t="shared" si="16"/>
        <v>Error?</v>
      </c>
    </row>
    <row r="1120" spans="1:4" x14ac:dyDescent="0.2">
      <c r="A1120" s="5">
        <v>1059</v>
      </c>
      <c r="B1120" s="138">
        <f>'Expenditures 15-22'!K49</f>
        <v>47762</v>
      </c>
      <c r="C1120" s="2" t="s">
        <v>594</v>
      </c>
      <c r="D1120" s="2" t="str">
        <f t="shared" si="16"/>
        <v>Error?</v>
      </c>
    </row>
    <row r="1121" spans="1:4" x14ac:dyDescent="0.2">
      <c r="A1121" s="5">
        <v>1060</v>
      </c>
      <c r="B1121" s="138">
        <f>'Expenditures 15-22'!K50</f>
        <v>72271</v>
      </c>
      <c r="C1121" s="2" t="s">
        <v>594</v>
      </c>
      <c r="D1121" s="2" t="str">
        <f t="shared" si="16"/>
        <v>Error?</v>
      </c>
    </row>
    <row r="1122" spans="1:4" x14ac:dyDescent="0.2">
      <c r="A1122" s="5">
        <v>1061</v>
      </c>
      <c r="B1122" s="138">
        <f>'Expenditures 15-22'!K53</f>
        <v>120033</v>
      </c>
      <c r="C1122" s="2" t="s">
        <v>594</v>
      </c>
      <c r="D1122" s="2" t="str">
        <f t="shared" si="16"/>
        <v>Error?</v>
      </c>
    </row>
    <row r="1123" spans="1:4" x14ac:dyDescent="0.2">
      <c r="A1123" s="5">
        <v>1062</v>
      </c>
      <c r="B1123" s="138">
        <f>'Expenditures 15-22'!K55</f>
        <v>128044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128044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57091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253721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310812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925505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53610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3343613</v>
      </c>
      <c r="C1152" s="2" t="s">
        <v>594</v>
      </c>
      <c r="D1152" s="2" t="str">
        <f t="shared" si="17"/>
        <v>Error?</v>
      </c>
    </row>
    <row r="1153" spans="1:4" x14ac:dyDescent="0.2">
      <c r="A1153" s="5">
        <v>1092</v>
      </c>
      <c r="B1153" s="138">
        <f>'Expenditures 15-22'!K115</f>
        <v>386839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160336</v>
      </c>
      <c r="D1221" s="2" t="str">
        <f t="shared" si="18"/>
        <v>Error?</v>
      </c>
    </row>
    <row r="1222" spans="1:4" x14ac:dyDescent="0.2">
      <c r="A1222" s="10">
        <v>1161</v>
      </c>
      <c r="D1222" s="2" t="str">
        <f t="shared" si="18"/>
        <v>OK</v>
      </c>
    </row>
    <row r="1223" spans="1:4" x14ac:dyDescent="0.2">
      <c r="A1223" s="5">
        <v>1162</v>
      </c>
      <c r="B1223" s="138">
        <f>'Expenditures 15-22'!C127</f>
        <v>160336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160336</v>
      </c>
      <c r="C1225" s="2" t="s">
        <v>594</v>
      </c>
      <c r="D1225" s="2" t="str">
        <f t="shared" si="18"/>
        <v>Error?</v>
      </c>
    </row>
    <row r="1226" spans="1:4" x14ac:dyDescent="0.2">
      <c r="A1226" s="5">
        <v>1165</v>
      </c>
      <c r="B1226" s="138">
        <f>'Expenditures 15-22'!C151</f>
        <v>160336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19022</v>
      </c>
      <c r="D1229" s="2" t="str">
        <f t="shared" si="18"/>
        <v>Error?</v>
      </c>
    </row>
    <row r="1230" spans="1:4" x14ac:dyDescent="0.2">
      <c r="A1230" s="10">
        <v>1169</v>
      </c>
      <c r="D1230" s="2" t="str">
        <f t="shared" si="18"/>
        <v>OK</v>
      </c>
    </row>
    <row r="1231" spans="1:4" x14ac:dyDescent="0.2">
      <c r="A1231" s="5">
        <v>1170</v>
      </c>
      <c r="B1231" s="138">
        <f>'Expenditures 15-22'!D127</f>
        <v>19022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19022</v>
      </c>
      <c r="C1233" s="2" t="s">
        <v>594</v>
      </c>
      <c r="D1233" s="2" t="str">
        <f t="shared" si="18"/>
        <v>Error?</v>
      </c>
    </row>
    <row r="1234" spans="1:4" x14ac:dyDescent="0.2">
      <c r="A1234" s="5">
        <v>1173</v>
      </c>
      <c r="B1234" s="138">
        <f>'Expenditures 15-22'!D151</f>
        <v>19022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88680</v>
      </c>
      <c r="D1237" s="2" t="str">
        <f t="shared" si="18"/>
        <v>Error?</v>
      </c>
    </row>
    <row r="1238" spans="1:4" x14ac:dyDescent="0.2">
      <c r="A1238" s="10">
        <v>1177</v>
      </c>
      <c r="D1238" s="2" t="str">
        <f t="shared" si="18"/>
        <v>OK</v>
      </c>
    </row>
    <row r="1239" spans="1:4" x14ac:dyDescent="0.2">
      <c r="A1239" s="5">
        <v>1178</v>
      </c>
      <c r="B1239" s="138">
        <f>'Expenditures 15-22'!E127</f>
        <v>88680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88680</v>
      </c>
      <c r="C1241" s="2" t="s">
        <v>594</v>
      </c>
      <c r="D1241" s="2" t="str">
        <f t="shared" si="18"/>
        <v>Error?</v>
      </c>
    </row>
    <row r="1242" spans="1:4" x14ac:dyDescent="0.2">
      <c r="A1242" s="5">
        <v>1181</v>
      </c>
      <c r="B1242" s="138">
        <f>'Expenditures 15-22'!E151</f>
        <v>88680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127925</v>
      </c>
      <c r="D1245" s="2" t="str">
        <f t="shared" si="18"/>
        <v>Error?</v>
      </c>
    </row>
    <row r="1246" spans="1:4" x14ac:dyDescent="0.2">
      <c r="A1246" s="10">
        <v>1185</v>
      </c>
      <c r="D1246" s="2" t="str">
        <f t="shared" si="18"/>
        <v>OK</v>
      </c>
    </row>
    <row r="1247" spans="1:4" x14ac:dyDescent="0.2">
      <c r="A1247" s="5">
        <v>1186</v>
      </c>
      <c r="B1247" s="138">
        <f>'Expenditures 15-22'!F127</f>
        <v>127925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127925</v>
      </c>
      <c r="C1249" s="2" t="s">
        <v>594</v>
      </c>
      <c r="D1249" s="2" t="str">
        <f t="shared" si="18"/>
        <v>Error?</v>
      </c>
    </row>
    <row r="1250" spans="1:4" x14ac:dyDescent="0.2">
      <c r="A1250" s="5">
        <v>1189</v>
      </c>
      <c r="B1250" s="138">
        <f>'Expenditures 15-22'!F151</f>
        <v>127925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242766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242766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242766</v>
      </c>
      <c r="C1258" s="2" t="s">
        <v>594</v>
      </c>
      <c r="D1258" s="2" t="str">
        <f t="shared" si="18"/>
        <v>Error?</v>
      </c>
    </row>
    <row r="1259" spans="1:4" x14ac:dyDescent="0.2">
      <c r="A1259" s="5">
        <v>1198</v>
      </c>
      <c r="B1259" s="138">
        <f>'Expenditures 15-22'!G151</f>
        <v>242766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638729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638729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638729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638729</v>
      </c>
      <c r="C1288" s="2" t="s">
        <v>594</v>
      </c>
      <c r="D1288" s="2" t="str">
        <f t="shared" si="19"/>
        <v>Error?</v>
      </c>
    </row>
    <row r="1289" spans="1:4" x14ac:dyDescent="0.2">
      <c r="A1289" s="5">
        <v>1228</v>
      </c>
      <c r="B1289" s="138">
        <f>'Expenditures 15-22'!K152</f>
        <v>-200221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31688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115000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147688</v>
      </c>
      <c r="C1317" s="2" t="s">
        <v>594</v>
      </c>
      <c r="D1317" s="2" t="str">
        <f t="shared" si="19"/>
        <v>Error?</v>
      </c>
    </row>
    <row r="1318" spans="1:4" x14ac:dyDescent="0.2">
      <c r="A1318" s="5">
        <v>1257</v>
      </c>
      <c r="B1318" s="138">
        <f>'Expenditures 15-22'!H174</f>
        <v>147688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31688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115000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147688</v>
      </c>
      <c r="C1331" s="2" t="s">
        <v>594</v>
      </c>
      <c r="D1331" s="2" t="str">
        <f t="shared" si="19"/>
        <v>Error?</v>
      </c>
    </row>
    <row r="1332" spans="1:4" x14ac:dyDescent="0.2">
      <c r="A1332" s="5">
        <v>1271</v>
      </c>
      <c r="B1332" s="138">
        <f>'Expenditures 15-22'!K174</f>
        <v>147688</v>
      </c>
      <c r="C1332" s="2" t="s">
        <v>594</v>
      </c>
      <c r="D1332" s="2" t="str">
        <f t="shared" si="19"/>
        <v>Error?</v>
      </c>
    </row>
    <row r="1333" spans="1:4" x14ac:dyDescent="0.2">
      <c r="A1333" s="5">
        <v>1272</v>
      </c>
      <c r="B1333" s="138">
        <f>'Expenditures 15-22'!K175</f>
        <v>-72657</v>
      </c>
      <c r="C1333" s="2" t="s">
        <v>594</v>
      </c>
      <c r="D1333" s="2" t="str">
        <f t="shared" si="19"/>
        <v>Error?</v>
      </c>
    </row>
    <row r="1334" spans="1:4" x14ac:dyDescent="0.2">
      <c r="A1334" s="10">
        <v>1273</v>
      </c>
      <c r="D1334" s="2" t="str">
        <f t="shared" si="19"/>
        <v>OK</v>
      </c>
    </row>
    <row r="1335" spans="1:4" x14ac:dyDescent="0.2">
      <c r="A1335" s="5">
        <v>1274</v>
      </c>
      <c r="B1335" s="138">
        <f>'Expenditures 15-22'!C182</f>
        <v>186955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186955</v>
      </c>
      <c r="C1339" s="2" t="s">
        <v>594</v>
      </c>
      <c r="D1339" s="2" t="str">
        <f t="shared" si="19"/>
        <v>Error?</v>
      </c>
    </row>
    <row r="1340" spans="1:4" x14ac:dyDescent="0.2">
      <c r="A1340" s="5">
        <v>1279</v>
      </c>
      <c r="B1340" s="138">
        <f>'Expenditures 15-22'!C210</f>
        <v>186955</v>
      </c>
      <c r="C1340" s="2" t="s">
        <v>594</v>
      </c>
      <c r="D1340" s="2" t="str">
        <f t="shared" si="19"/>
        <v>Error?</v>
      </c>
    </row>
    <row r="1341" spans="1:4" x14ac:dyDescent="0.2">
      <c r="A1341" s="5">
        <v>1280</v>
      </c>
      <c r="B1341" s="138">
        <f>'Expenditures 15-22'!D182</f>
        <v>6918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6918</v>
      </c>
      <c r="C1345" s="2" t="s">
        <v>594</v>
      </c>
      <c r="D1345" s="2" t="str">
        <f t="shared" si="20"/>
        <v>Error?</v>
      </c>
    </row>
    <row r="1346" spans="1:4" x14ac:dyDescent="0.2">
      <c r="A1346" s="5">
        <v>1285</v>
      </c>
      <c r="B1346" s="138">
        <f>'Expenditures 15-22'!D210</f>
        <v>6918</v>
      </c>
      <c r="C1346" s="2" t="s">
        <v>594</v>
      </c>
      <c r="D1346" s="2" t="str">
        <f t="shared" si="20"/>
        <v>Error?</v>
      </c>
    </row>
    <row r="1347" spans="1:4" x14ac:dyDescent="0.2">
      <c r="A1347" s="5">
        <v>1286</v>
      </c>
      <c r="B1347" s="138">
        <f>'Expenditures 15-22'!E182</f>
        <v>20965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20965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20965</v>
      </c>
      <c r="C1353" s="2" t="s">
        <v>594</v>
      </c>
      <c r="D1353" s="2" t="str">
        <f t="shared" si="20"/>
        <v>Error?</v>
      </c>
    </row>
    <row r="1354" spans="1:4" x14ac:dyDescent="0.2">
      <c r="A1354" s="5">
        <v>1293</v>
      </c>
      <c r="B1354" s="138">
        <f>'Expenditures 15-22'!F182</f>
        <v>35918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35918</v>
      </c>
      <c r="C1358" s="2" t="s">
        <v>594</v>
      </c>
      <c r="D1358" s="2" t="str">
        <f t="shared" si="20"/>
        <v>Error?</v>
      </c>
    </row>
    <row r="1359" spans="1:4" x14ac:dyDescent="0.2">
      <c r="A1359" s="5">
        <v>1298</v>
      </c>
      <c r="B1359" s="138">
        <f>'Expenditures 15-22'!F210</f>
        <v>35918</v>
      </c>
      <c r="C1359" s="2" t="s">
        <v>594</v>
      </c>
      <c r="D1359" s="2" t="str">
        <f t="shared" si="20"/>
        <v>Error?</v>
      </c>
    </row>
    <row r="1360" spans="1:4" x14ac:dyDescent="0.2">
      <c r="A1360" s="5">
        <v>1299</v>
      </c>
      <c r="B1360" s="138">
        <f>'Expenditures 15-22'!G182</f>
        <v>50753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50753</v>
      </c>
      <c r="C1364" s="2" t="s">
        <v>594</v>
      </c>
      <c r="D1364" s="2" t="str">
        <f t="shared" si="20"/>
        <v>Error?</v>
      </c>
    </row>
    <row r="1365" spans="1:4" x14ac:dyDescent="0.2">
      <c r="A1365" s="5">
        <v>1304</v>
      </c>
      <c r="B1365" s="138">
        <f>'Expenditures 15-22'!G210</f>
        <v>50753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301509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301509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301509</v>
      </c>
      <c r="C1388" s="2" t="s">
        <v>594</v>
      </c>
      <c r="D1388" s="2" t="str">
        <f t="shared" si="20"/>
        <v>Error?</v>
      </c>
    </row>
    <row r="1389" spans="1:4" x14ac:dyDescent="0.2">
      <c r="A1389" s="5">
        <v>1328</v>
      </c>
      <c r="B1389" s="138">
        <f>'Expenditures 15-22'!K211</f>
        <v>-46156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2486</v>
      </c>
      <c r="D1407" s="2" t="str">
        <f t="shared" ref="D1407:D1470" si="21">IF(ISBLANK(B1407),"OK",IF(A1407-B1407=0,"OK","Error?"))</f>
        <v>Error?</v>
      </c>
    </row>
    <row r="1408" spans="1:4" x14ac:dyDescent="0.2">
      <c r="A1408" s="5">
        <v>1347</v>
      </c>
      <c r="B1408" s="138">
        <f>'Expenditures 15-22'!D223</f>
        <v>4434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65934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912</v>
      </c>
      <c r="D1412" s="2" t="str">
        <f t="shared" si="21"/>
        <v>Error?</v>
      </c>
    </row>
    <row r="1413" spans="1:4" x14ac:dyDescent="0.2">
      <c r="A1413" s="5">
        <v>1352</v>
      </c>
      <c r="B1413" s="138">
        <f>'Expenditures 15-22'!D234</f>
        <v>4700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11668</v>
      </c>
      <c r="D1416" s="2" t="str">
        <f t="shared" si="21"/>
        <v>Error?</v>
      </c>
    </row>
    <row r="1417" spans="1:4" x14ac:dyDescent="0.2">
      <c r="A1417" s="5">
        <v>1356</v>
      </c>
      <c r="B1417" s="138">
        <f>'Expenditures 15-22'!D238</f>
        <v>17280</v>
      </c>
      <c r="C1417" s="2" t="s">
        <v>594</v>
      </c>
      <c r="D1417" s="2" t="str">
        <f t="shared" si="21"/>
        <v>Error?</v>
      </c>
    </row>
    <row r="1418" spans="1:4" x14ac:dyDescent="0.2">
      <c r="A1418" s="5">
        <v>1357</v>
      </c>
      <c r="B1418" s="138">
        <f>'Expenditures 15-22'!D240</f>
        <v>5565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5565</v>
      </c>
      <c r="C1421" s="2" t="s">
        <v>594</v>
      </c>
      <c r="D1421" s="2" t="str">
        <f t="shared" si="21"/>
        <v>Error?</v>
      </c>
    </row>
    <row r="1422" spans="1:4" x14ac:dyDescent="0.2">
      <c r="A1422" s="5">
        <v>1361</v>
      </c>
      <c r="B1422" s="138">
        <f>'Expenditures 15-22'!D245</f>
        <v>741</v>
      </c>
      <c r="D1422" s="2" t="str">
        <f t="shared" si="21"/>
        <v>Error?</v>
      </c>
    </row>
    <row r="1423" spans="1:4" x14ac:dyDescent="0.2">
      <c r="A1423" s="5">
        <v>1362</v>
      </c>
      <c r="B1423" s="138">
        <f>'Expenditures 15-22'!D246</f>
        <v>762</v>
      </c>
      <c r="D1423" s="2" t="str">
        <f t="shared" si="21"/>
        <v>Error?</v>
      </c>
    </row>
    <row r="1424" spans="1:4" x14ac:dyDescent="0.2">
      <c r="A1424" s="5">
        <v>1363</v>
      </c>
      <c r="B1424" s="138">
        <f>'Expenditures 15-22'!D257</f>
        <v>1503</v>
      </c>
      <c r="C1424" s="2" t="s">
        <v>594</v>
      </c>
      <c r="D1424" s="2" t="str">
        <f t="shared" si="21"/>
        <v>Error?</v>
      </c>
    </row>
    <row r="1425" spans="1:4" x14ac:dyDescent="0.2">
      <c r="A1425" s="5">
        <v>1364</v>
      </c>
      <c r="B1425" s="138">
        <f>'Expenditures 15-22'!D259</f>
        <v>9029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9029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9670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30376</v>
      </c>
      <c r="D1431" s="2" t="str">
        <f t="shared" si="21"/>
        <v>Error?</v>
      </c>
    </row>
    <row r="1432" spans="1:4" x14ac:dyDescent="0.2">
      <c r="A1432" s="5">
        <v>1371</v>
      </c>
      <c r="B1432" s="138">
        <f>'Expenditures 15-22'!D267</f>
        <v>28527</v>
      </c>
      <c r="D1432" s="2" t="str">
        <f t="shared" si="21"/>
        <v>Error?</v>
      </c>
    </row>
    <row r="1433" spans="1:4" x14ac:dyDescent="0.2">
      <c r="A1433" s="5">
        <v>1372</v>
      </c>
      <c r="B1433" s="138">
        <f>'Expenditures 15-22'!D268</f>
        <v>31112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99685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133062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198996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2486</v>
      </c>
      <c r="C1471" s="2" t="s">
        <v>594</v>
      </c>
      <c r="D1471" s="2" t="str">
        <f t="shared" ref="D1471:D1534" si="22">IF(ISBLANK(B1471),"OK",IF(A1471-B1471=0,"OK","Error?"))</f>
        <v>Error?</v>
      </c>
    </row>
    <row r="1472" spans="1:4" x14ac:dyDescent="0.2">
      <c r="A1472" s="5">
        <v>1411</v>
      </c>
      <c r="B1472" s="138">
        <f>'Expenditures 15-22'!K223</f>
        <v>4434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65934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912</v>
      </c>
      <c r="C1476" s="2" t="s">
        <v>594</v>
      </c>
      <c r="D1476" s="2" t="str">
        <f t="shared" si="22"/>
        <v>Error?</v>
      </c>
    </row>
    <row r="1477" spans="1:4" x14ac:dyDescent="0.2">
      <c r="A1477" s="5">
        <v>1416</v>
      </c>
      <c r="B1477" s="138">
        <f>'Expenditures 15-22'!K234</f>
        <v>4700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11668</v>
      </c>
      <c r="C1480" s="2" t="s">
        <v>594</v>
      </c>
      <c r="D1480" s="2" t="str">
        <f t="shared" si="22"/>
        <v>Error?</v>
      </c>
    </row>
    <row r="1481" spans="1:4" x14ac:dyDescent="0.2">
      <c r="A1481" s="5">
        <v>1420</v>
      </c>
      <c r="B1481" s="138">
        <f>'Expenditures 15-22'!K238</f>
        <v>17280</v>
      </c>
      <c r="C1481" s="2" t="s">
        <v>594</v>
      </c>
      <c r="D1481" s="2" t="str">
        <f t="shared" si="22"/>
        <v>Error?</v>
      </c>
    </row>
    <row r="1482" spans="1:4" x14ac:dyDescent="0.2">
      <c r="A1482" s="5">
        <v>1421</v>
      </c>
      <c r="B1482" s="138">
        <f>'Expenditures 15-22'!K240</f>
        <v>5565</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5565</v>
      </c>
      <c r="C1485" s="2" t="s">
        <v>594</v>
      </c>
      <c r="D1485" s="2" t="str">
        <f t="shared" si="22"/>
        <v>Error?</v>
      </c>
    </row>
    <row r="1486" spans="1:4" x14ac:dyDescent="0.2">
      <c r="A1486" s="5">
        <v>1425</v>
      </c>
      <c r="B1486" s="138">
        <f>'Expenditures 15-22'!K245</f>
        <v>741</v>
      </c>
      <c r="C1486" s="2" t="s">
        <v>594</v>
      </c>
      <c r="D1486" s="2" t="str">
        <f t="shared" si="22"/>
        <v>Error?</v>
      </c>
    </row>
    <row r="1487" spans="1:4" x14ac:dyDescent="0.2">
      <c r="A1487" s="5">
        <v>1426</v>
      </c>
      <c r="B1487" s="138">
        <f>'Expenditures 15-22'!K246</f>
        <v>762</v>
      </c>
      <c r="C1487" s="2" t="s">
        <v>594</v>
      </c>
      <c r="D1487" s="2" t="str">
        <f t="shared" si="22"/>
        <v>Error?</v>
      </c>
    </row>
    <row r="1488" spans="1:4" x14ac:dyDescent="0.2">
      <c r="A1488" s="5">
        <v>1427</v>
      </c>
      <c r="B1488" s="138">
        <f>'Expenditures 15-22'!K257</f>
        <v>1503</v>
      </c>
      <c r="C1488" s="2" t="s">
        <v>594</v>
      </c>
      <c r="D1488" s="2" t="str">
        <f t="shared" si="22"/>
        <v>Error?</v>
      </c>
    </row>
    <row r="1489" spans="1:4" x14ac:dyDescent="0.2">
      <c r="A1489" s="5">
        <v>1428</v>
      </c>
      <c r="B1489" s="138">
        <f>'Expenditures 15-22'!K259</f>
        <v>9029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9029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9670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30376</v>
      </c>
      <c r="C1495" s="2" t="s">
        <v>594</v>
      </c>
      <c r="D1495" s="2" t="str">
        <f t="shared" si="22"/>
        <v>Error?</v>
      </c>
    </row>
    <row r="1496" spans="1:4" x14ac:dyDescent="0.2">
      <c r="A1496" s="5">
        <v>1435</v>
      </c>
      <c r="B1496" s="138">
        <f>'Expenditures 15-22'!K267</f>
        <v>28527</v>
      </c>
      <c r="C1496" s="2" t="s">
        <v>594</v>
      </c>
      <c r="D1496" s="2" t="str">
        <f t="shared" si="22"/>
        <v>Error?</v>
      </c>
    </row>
    <row r="1497" spans="1:4" x14ac:dyDescent="0.2">
      <c r="A1497" s="5">
        <v>1436</v>
      </c>
      <c r="B1497" s="138">
        <f>'Expenditures 15-22'!K268</f>
        <v>31112</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99685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133062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198996</v>
      </c>
      <c r="C1517" s="2" t="s">
        <v>594</v>
      </c>
      <c r="D1517" s="2" t="str">
        <f t="shared" si="22"/>
        <v>Error?</v>
      </c>
    </row>
    <row r="1518" spans="1:4" x14ac:dyDescent="0.2">
      <c r="A1518" s="5">
        <v>1457</v>
      </c>
      <c r="B1518" s="138">
        <f>'Expenditures 15-22'!K296</f>
        <v>21918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665284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665284</v>
      </c>
      <c r="C1535" s="2" t="s">
        <v>594</v>
      </c>
      <c r="D1535" s="2" t="str">
        <f t="shared" ref="D1535:D1598" si="23">IF(ISBLANK(B1535),"OK",IF(A1535-B1535=0,"OK","Error?"))</f>
        <v>Error?</v>
      </c>
    </row>
    <row r="1536" spans="1:4" x14ac:dyDescent="0.2">
      <c r="A1536" s="5">
        <v>1475</v>
      </c>
      <c r="B1536" s="138">
        <f>'Expenditures 15-22'!E312</f>
        <v>665284</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665284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665284</v>
      </c>
      <c r="C1559" s="2" t="s">
        <v>594</v>
      </c>
      <c r="D1559" s="2" t="str">
        <f t="shared" si="23"/>
        <v>Error?</v>
      </c>
    </row>
    <row r="1560" spans="1:4" x14ac:dyDescent="0.2">
      <c r="A1560" s="5">
        <v>1499</v>
      </c>
      <c r="B1560" s="138">
        <f>'Expenditures 15-22'!K312</f>
        <v>665284</v>
      </c>
      <c r="C1560" s="2" t="s">
        <v>594</v>
      </c>
      <c r="D1560" s="2" t="str">
        <f t="shared" si="23"/>
        <v>Error?</v>
      </c>
    </row>
    <row r="1561" spans="1:4" x14ac:dyDescent="0.2">
      <c r="A1561" s="5">
        <v>1500</v>
      </c>
      <c r="B1561" s="138">
        <f>'Expenditures 15-22'!K313</f>
        <v>-577620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2121352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2458191</v>
      </c>
      <c r="C1630" s="2" t="s">
        <v>594</v>
      </c>
      <c r="D1630" s="2" t="str">
        <f t="shared" si="24"/>
        <v>Error?</v>
      </c>
    </row>
    <row r="1631" spans="1:4" x14ac:dyDescent="0.2">
      <c r="A1631" s="5">
        <v>1570</v>
      </c>
      <c r="B1631" s="138">
        <f>'Acct Summary 7-8'!D79</f>
        <v>769820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619599</v>
      </c>
      <c r="C1644" s="2" t="s">
        <v>594</v>
      </c>
      <c r="D1644" s="2" t="str">
        <f t="shared" si="24"/>
        <v>Error?</v>
      </c>
    </row>
    <row r="1645" spans="1:4" x14ac:dyDescent="0.2">
      <c r="A1645" s="5">
        <v>1584</v>
      </c>
      <c r="B1645" s="138">
        <f>'Acct Summary 7-8'!E79</f>
        <v>76927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4270</v>
      </c>
      <c r="C1658" s="2" t="s">
        <v>594</v>
      </c>
      <c r="D1658" s="2" t="str">
        <f t="shared" si="24"/>
        <v>Error?</v>
      </c>
    </row>
    <row r="1659" spans="1:4" x14ac:dyDescent="0.2">
      <c r="A1659" s="5">
        <v>1598</v>
      </c>
      <c r="B1659" s="138">
        <f>'Acct Summary 7-8'!F79</f>
        <v>573703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527547</v>
      </c>
      <c r="C1672" s="2" t="s">
        <v>594</v>
      </c>
      <c r="D1672" s="2" t="str">
        <f t="shared" si="25"/>
        <v>Error?</v>
      </c>
    </row>
    <row r="1673" spans="1:4" x14ac:dyDescent="0.2">
      <c r="A1673" s="5">
        <v>1612</v>
      </c>
      <c r="B1673" s="138">
        <f>'Acct Summary 7-8'!G79</f>
        <v>-51930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-30012</v>
      </c>
      <c r="C1686" s="2" t="s">
        <v>594</v>
      </c>
      <c r="D1686" s="2" t="str">
        <f t="shared" si="25"/>
        <v>Error?</v>
      </c>
    </row>
    <row r="1687" spans="1:4" x14ac:dyDescent="0.2">
      <c r="A1687" s="5">
        <v>1626</v>
      </c>
      <c r="B1687" s="138">
        <f>'Acct Summary 7-8'!H79</f>
        <v>560860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-16760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2912968</v>
      </c>
      <c r="C1744" s="2" t="s">
        <v>594</v>
      </c>
      <c r="D1744" s="2" t="str">
        <f t="shared" si="26"/>
        <v>Error?</v>
      </c>
    </row>
    <row r="1745" spans="1:5" x14ac:dyDescent="0.2">
      <c r="A1745" s="5">
        <v>1684</v>
      </c>
      <c r="B1745" s="138">
        <f>'Tax Sched 23'!B5</f>
        <v>381502</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131644</v>
      </c>
      <c r="C1747" s="2" t="s">
        <v>594</v>
      </c>
      <c r="D1747" s="2" t="str">
        <f t="shared" si="26"/>
        <v>Error?</v>
      </c>
    </row>
    <row r="1748" spans="1:5" x14ac:dyDescent="0.2">
      <c r="A1748" s="5">
        <v>1687</v>
      </c>
      <c r="B1748" s="138">
        <f>'Tax Sched 23'!B8</f>
        <v>109705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81212</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34925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3760165</v>
      </c>
      <c r="C1759" s="2" t="s">
        <v>594</v>
      </c>
      <c r="D1759" s="2" t="str">
        <f t="shared" si="26"/>
        <v>Error?</v>
      </c>
    </row>
    <row r="1760" spans="1:5" x14ac:dyDescent="0.2">
      <c r="A1760" s="5">
        <v>1699</v>
      </c>
      <c r="B1760" s="138">
        <f>'Tax Sched 23'!D4</f>
        <v>1220335</v>
      </c>
      <c r="C1760" s="2" t="s">
        <v>594</v>
      </c>
      <c r="D1760" s="2" t="str">
        <f t="shared" si="26"/>
        <v>Error?</v>
      </c>
    </row>
    <row r="1761" spans="1:5" x14ac:dyDescent="0.2">
      <c r="A1761" s="5">
        <v>1700</v>
      </c>
      <c r="B1761" s="138">
        <f>'Tax Sched 23'!D5</f>
        <v>152689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43639</v>
      </c>
      <c r="C1763" s="2" t="s">
        <v>594</v>
      </c>
      <c r="D1763" s="2" t="str">
        <f t="shared" si="26"/>
        <v>Error?</v>
      </c>
    </row>
    <row r="1764" spans="1:5" x14ac:dyDescent="0.2">
      <c r="A1764" s="5">
        <v>1703</v>
      </c>
      <c r="B1764" s="138">
        <f>'Tax Sched 23'!D8</f>
        <v>45163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31344</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14390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1551227</v>
      </c>
      <c r="C1775" s="2" t="s">
        <v>594</v>
      </c>
      <c r="D1775" s="2" t="str">
        <f t="shared" si="26"/>
        <v>Error?</v>
      </c>
    </row>
    <row r="1776" spans="1:5" x14ac:dyDescent="0.2">
      <c r="A1776" s="5">
        <v>1715</v>
      </c>
      <c r="B1776" s="138">
        <f>'Tax Sched 23'!C4</f>
        <v>1692633</v>
      </c>
      <c r="D1776" s="2" t="str">
        <f t="shared" si="26"/>
        <v>Error?</v>
      </c>
    </row>
    <row r="1777" spans="1:4" x14ac:dyDescent="0.2">
      <c r="A1777" s="5">
        <v>1716</v>
      </c>
      <c r="B1777" s="138">
        <f>'Tax Sched 23'!C5</f>
        <v>228813</v>
      </c>
      <c r="D1777" s="2" t="str">
        <f t="shared" si="26"/>
        <v>Error?</v>
      </c>
    </row>
    <row r="1778" spans="1:4" x14ac:dyDescent="0.2">
      <c r="A1778" s="5">
        <v>1717</v>
      </c>
      <c r="B1778" s="138">
        <f>'Tax Sched 23'!C6</f>
        <v>0</v>
      </c>
      <c r="D1778" s="2" t="str">
        <f t="shared" si="26"/>
        <v>Error?</v>
      </c>
    </row>
    <row r="1779" spans="1:4" x14ac:dyDescent="0.2">
      <c r="A1779" s="5">
        <v>1718</v>
      </c>
      <c r="B1779" s="138">
        <f>'Tax Sched 23'!C7</f>
        <v>88005</v>
      </c>
      <c r="D1779" s="2" t="str">
        <f t="shared" si="26"/>
        <v>Error?</v>
      </c>
    </row>
    <row r="1780" spans="1:4" x14ac:dyDescent="0.2">
      <c r="A1780" s="5">
        <v>1719</v>
      </c>
      <c r="B1780" s="138">
        <f>'Tax Sched 23'!C8</f>
        <v>64542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49868</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20535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2208938</v>
      </c>
      <c r="C1791" s="2" t="s">
        <v>594</v>
      </c>
      <c r="D1791" s="2" t="str">
        <f t="shared" ref="D1791:D1854" si="27">IF(ISBLANK(B1791),"OK",IF(A1791-B1791=0,"OK","Error?"))</f>
        <v>Error?</v>
      </c>
    </row>
    <row r="1792" spans="1:4" x14ac:dyDescent="0.2">
      <c r="A1792" s="5">
        <v>1731</v>
      </c>
      <c r="B1792" s="138">
        <f>'Tax Sched 23'!F4</f>
        <v>1197371</v>
      </c>
      <c r="C1792" s="2" t="s">
        <v>594</v>
      </c>
      <c r="D1792" s="2" t="str">
        <f t="shared" si="27"/>
        <v>Error?</v>
      </c>
    </row>
    <row r="1793" spans="1:4" x14ac:dyDescent="0.2">
      <c r="A1793" s="5">
        <v>1732</v>
      </c>
      <c r="B1793" s="138">
        <f>'Tax Sched 23'!F5</f>
        <v>161195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61998</v>
      </c>
      <c r="C1795" s="2" t="s">
        <v>594</v>
      </c>
      <c r="D1795" s="2" t="str">
        <f t="shared" si="27"/>
        <v>Error?</v>
      </c>
    </row>
    <row r="1796" spans="1:4" x14ac:dyDescent="0.2">
      <c r="A1796" s="5">
        <v>1735</v>
      </c>
      <c r="B1796" s="138">
        <f>'Tax Sched 23'!F8</f>
        <v>45466</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35132</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14467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1561095</v>
      </c>
      <c r="C1807" s="2" t="s">
        <v>594</v>
      </c>
      <c r="D1807" s="2" t="str">
        <f t="shared" si="27"/>
        <v>Error?</v>
      </c>
    </row>
    <row r="1808" spans="1:4" x14ac:dyDescent="0.2">
      <c r="A1808" s="5">
        <v>1747</v>
      </c>
      <c r="B1808" s="138">
        <f>'Tax Sched 23'!E4</f>
        <v>2890004</v>
      </c>
      <c r="D1808" s="2" t="str">
        <f t="shared" si="27"/>
        <v>Error?</v>
      </c>
    </row>
    <row r="1809" spans="1:4" x14ac:dyDescent="0.2">
      <c r="A1809" s="5">
        <v>1748</v>
      </c>
      <c r="B1809" s="138">
        <f>'Tax Sched 23'!E5</f>
        <v>390008</v>
      </c>
      <c r="D1809" s="2" t="str">
        <f t="shared" si="27"/>
        <v>Error?</v>
      </c>
    </row>
    <row r="1810" spans="1:4" x14ac:dyDescent="0.2">
      <c r="A1810" s="5">
        <v>1749</v>
      </c>
      <c r="B1810" s="138">
        <f>'Tax Sched 23'!E6</f>
        <v>0</v>
      </c>
      <c r="D1810" s="2" t="str">
        <f t="shared" si="27"/>
        <v>Error?</v>
      </c>
    </row>
    <row r="1811" spans="1:4" x14ac:dyDescent="0.2">
      <c r="A1811" s="5">
        <v>1750</v>
      </c>
      <c r="B1811" s="138">
        <f>'Tax Sched 23'!E7</f>
        <v>150003</v>
      </c>
      <c r="D1811" s="2" t="str">
        <f t="shared" si="27"/>
        <v>Error?</v>
      </c>
    </row>
    <row r="1812" spans="1:4" x14ac:dyDescent="0.2">
      <c r="A1812" s="5">
        <v>1751</v>
      </c>
      <c r="B1812" s="138">
        <f>'Tax Sched 23'!E8</f>
        <v>110008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85000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35002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3770033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800000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34925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34925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207802</v>
      </c>
      <c r="C1982" s="2" t="s">
        <v>594</v>
      </c>
      <c r="D1982" s="2" t="str">
        <f t="shared" si="29"/>
        <v>Error?</v>
      </c>
    </row>
    <row r="1983" spans="1:5" x14ac:dyDescent="0.2">
      <c r="A1983" s="5">
        <v>1922</v>
      </c>
      <c r="B1983" s="138">
        <f>'Rest Tax Levies-Tort Im 25'!H24</f>
        <v>-172877</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22782</v>
      </c>
      <c r="D2008" s="2" t="str">
        <f t="shared" si="30"/>
        <v>Error?</v>
      </c>
    </row>
    <row r="2009" spans="1:4" x14ac:dyDescent="0.2">
      <c r="A2009" s="5">
        <v>1948</v>
      </c>
      <c r="B2009" s="138">
        <f>'Cap Outlay Deprec 26'!C8</f>
        <v>3172576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288916</v>
      </c>
      <c r="D2011" s="2" t="str">
        <f t="shared" si="30"/>
        <v>Error?</v>
      </c>
    </row>
    <row r="2012" spans="1:4" x14ac:dyDescent="0.2">
      <c r="A2012" s="5">
        <v>1951</v>
      </c>
      <c r="B2012" s="138">
        <f>'Cap Outlay Deprec 26'!C13</f>
        <v>809474</v>
      </c>
      <c r="D2012" s="2" t="str">
        <f t="shared" si="30"/>
        <v>Error?</v>
      </c>
    </row>
    <row r="2013" spans="1:4" x14ac:dyDescent="0.2">
      <c r="A2013" s="5">
        <v>1952</v>
      </c>
      <c r="B2013" s="138">
        <f>'Cap Outlay Deprec 26'!C16</f>
        <v>4404903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960926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40815</v>
      </c>
      <c r="D2018" s="2" t="str">
        <f t="shared" si="30"/>
        <v>Error?</v>
      </c>
    </row>
    <row r="2019" spans="1:4" x14ac:dyDescent="0.2">
      <c r="A2019" s="5">
        <v>1958</v>
      </c>
      <c r="B2019" s="138">
        <f>'Cap Outlay Deprec 26'!D16</f>
        <v>1001741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30486</v>
      </c>
      <c r="D2024" s="2" t="str">
        <f t="shared" si="30"/>
        <v>Error?</v>
      </c>
    </row>
    <row r="2025" spans="1:4" x14ac:dyDescent="0.2">
      <c r="A2025" s="5">
        <v>1964</v>
      </c>
      <c r="B2025" s="138">
        <f>'Cap Outlay Deprec 26'!E16</f>
        <v>141641</v>
      </c>
      <c r="C2025" s="2" t="s">
        <v>594</v>
      </c>
      <c r="D2025" s="2" t="str">
        <f t="shared" si="30"/>
        <v>Error?</v>
      </c>
    </row>
    <row r="2026" spans="1:4" x14ac:dyDescent="0.2">
      <c r="A2026" s="5">
        <v>1965</v>
      </c>
      <c r="B2026" s="138">
        <f>'Cap Outlay Deprec 26'!F5</f>
        <v>22782</v>
      </c>
      <c r="C2026" s="2" t="s">
        <v>594</v>
      </c>
      <c r="D2026" s="2" t="str">
        <f t="shared" si="30"/>
        <v>Error?</v>
      </c>
    </row>
    <row r="2027" spans="1:4" x14ac:dyDescent="0.2">
      <c r="A2027" s="5">
        <v>1966</v>
      </c>
      <c r="B2027" s="138">
        <f>'Cap Outlay Deprec 26'!F8</f>
        <v>4133502</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288916</v>
      </c>
      <c r="C2029" s="2" t="s">
        <v>594</v>
      </c>
      <c r="D2029" s="2" t="str">
        <f t="shared" si="30"/>
        <v>Error?</v>
      </c>
    </row>
    <row r="2030" spans="1:4" x14ac:dyDescent="0.2">
      <c r="A2030" s="5">
        <v>1969</v>
      </c>
      <c r="B2030" s="138">
        <f>'Cap Outlay Deprec 26'!F13</f>
        <v>819803</v>
      </c>
      <c r="C2030" s="2" t="s">
        <v>594</v>
      </c>
      <c r="D2030" s="2" t="str">
        <f t="shared" si="30"/>
        <v>Error?</v>
      </c>
    </row>
    <row r="2031" spans="1:4" x14ac:dyDescent="0.2">
      <c r="A2031" s="5">
        <v>1970</v>
      </c>
      <c r="B2031" s="138">
        <f>'Cap Outlay Deprec 26'!F16</f>
        <v>5265003</v>
      </c>
      <c r="C2031" s="2" t="s">
        <v>594</v>
      </c>
      <c r="D2031" s="2" t="str">
        <f t="shared" si="30"/>
        <v>Error?</v>
      </c>
    </row>
    <row r="2032" spans="1:4" x14ac:dyDescent="0.2">
      <c r="A2032" s="10">
        <v>1971</v>
      </c>
      <c r="D2032" s="2" t="str">
        <f t="shared" si="30"/>
        <v>OK</v>
      </c>
    </row>
    <row r="2033" spans="1:4" x14ac:dyDescent="0.2">
      <c r="A2033" s="5">
        <v>1972</v>
      </c>
      <c r="B2033" s="138">
        <f>'Cap Outlay Deprec 26'!H8</f>
        <v>2308271</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263184</v>
      </c>
      <c r="D2035" s="2" t="str">
        <f t="shared" si="30"/>
        <v>Error?</v>
      </c>
    </row>
    <row r="2036" spans="1:4" x14ac:dyDescent="0.2">
      <c r="A2036" s="5">
        <v>1975</v>
      </c>
      <c r="B2036" s="138">
        <f>'Cap Outlay Deprec 26'!H13</f>
        <v>644975</v>
      </c>
      <c r="D2036" s="2" t="str">
        <f t="shared" si="30"/>
        <v>Error?</v>
      </c>
    </row>
    <row r="2037" spans="1:4" x14ac:dyDescent="0.2">
      <c r="A2037" s="5">
        <v>1976</v>
      </c>
      <c r="B2037" s="138">
        <f>'Cap Outlay Deprec 26'!H16</f>
        <v>3216430</v>
      </c>
      <c r="C2037" s="2" t="s">
        <v>594</v>
      </c>
      <c r="D2037" s="2" t="str">
        <f t="shared" si="30"/>
        <v>Error?</v>
      </c>
    </row>
    <row r="2038" spans="1:4" x14ac:dyDescent="0.2">
      <c r="A2038" s="10">
        <v>1977</v>
      </c>
      <c r="D2038" s="2" t="str">
        <f t="shared" si="30"/>
        <v>OK</v>
      </c>
    </row>
    <row r="2039" spans="1:4" x14ac:dyDescent="0.2">
      <c r="A2039" s="5">
        <v>1978</v>
      </c>
      <c r="B2039" s="138">
        <f>'Cap Outlay Deprec 26'!I8</f>
        <v>82394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7084</v>
      </c>
      <c r="D2041" s="2" t="str">
        <f t="shared" si="30"/>
        <v>Error?</v>
      </c>
    </row>
    <row r="2042" spans="1:4" x14ac:dyDescent="0.2">
      <c r="A2042" s="5">
        <v>1981</v>
      </c>
      <c r="B2042" s="138">
        <f>'Cap Outlay Deprec 26'!I13</f>
        <v>67153</v>
      </c>
      <c r="D2042" s="2" t="str">
        <f t="shared" si="30"/>
        <v>Error?</v>
      </c>
    </row>
    <row r="2043" spans="1:4" x14ac:dyDescent="0.2">
      <c r="A2043" s="5">
        <v>1982</v>
      </c>
      <c r="B2043" s="138">
        <f>'Cap Outlay Deprec 26'!I16</f>
        <v>156631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30486</v>
      </c>
      <c r="D2048" s="2" t="str">
        <f t="shared" si="31"/>
        <v>Error?</v>
      </c>
    </row>
    <row r="2049" spans="1:4" x14ac:dyDescent="0.2">
      <c r="A2049" s="5">
        <v>1988</v>
      </c>
      <c r="B2049" s="138">
        <f>'Cap Outlay Deprec 26'!J16</f>
        <v>30486</v>
      </c>
      <c r="C2049" s="2" t="s">
        <v>594</v>
      </c>
      <c r="D2049" s="2" t="str">
        <f t="shared" si="31"/>
        <v>Error?</v>
      </c>
    </row>
    <row r="2050" spans="1:4" x14ac:dyDescent="0.2">
      <c r="A2050" s="10">
        <v>1989</v>
      </c>
      <c r="D2050" s="2" t="str">
        <f t="shared" si="31"/>
        <v>OK</v>
      </c>
    </row>
    <row r="2051" spans="1:4" x14ac:dyDescent="0.2">
      <c r="A2051" s="5">
        <v>1990</v>
      </c>
      <c r="B2051" s="138">
        <f>'Cap Outlay Deprec 26'!K8</f>
        <v>2390665</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270268</v>
      </c>
      <c r="C2053" s="2" t="s">
        <v>594</v>
      </c>
      <c r="D2053" s="2" t="str">
        <f t="shared" si="31"/>
        <v>Error?</v>
      </c>
    </row>
    <row r="2054" spans="1:4" x14ac:dyDescent="0.2">
      <c r="A2054" s="5">
        <v>1993</v>
      </c>
      <c r="B2054" s="138">
        <f>'Cap Outlay Deprec 26'!K13</f>
        <v>681642</v>
      </c>
      <c r="C2054" s="2" t="s">
        <v>594</v>
      </c>
      <c r="D2054" s="2" t="str">
        <f t="shared" si="31"/>
        <v>Error?</v>
      </c>
    </row>
    <row r="2055" spans="1:4" x14ac:dyDescent="0.2">
      <c r="A2055" s="5">
        <v>1994</v>
      </c>
      <c r="B2055" s="138">
        <f>'Cap Outlay Deprec 26'!K16</f>
        <v>3342575</v>
      </c>
      <c r="C2055" s="2" t="s">
        <v>594</v>
      </c>
      <c r="D2055" s="2" t="str">
        <f t="shared" si="31"/>
        <v>Error?</v>
      </c>
    </row>
    <row r="2056" spans="1:4" x14ac:dyDescent="0.2">
      <c r="A2056" s="5">
        <v>1995</v>
      </c>
      <c r="B2056" s="138">
        <f>'Cap Outlay Deprec 26'!L5</f>
        <v>22782</v>
      </c>
      <c r="C2056" s="2" t="s">
        <v>594</v>
      </c>
      <c r="D2056" s="2" t="str">
        <f t="shared" si="31"/>
        <v>Error?</v>
      </c>
    </row>
    <row r="2057" spans="1:4" x14ac:dyDescent="0.2">
      <c r="A2057" s="5">
        <v>1996</v>
      </c>
      <c r="B2057" s="138">
        <f>'Cap Outlay Deprec 26'!L8</f>
        <v>1742837</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18648</v>
      </c>
      <c r="C2059" s="2" t="s">
        <v>594</v>
      </c>
      <c r="D2059" s="2" t="str">
        <f t="shared" si="31"/>
        <v>Error?</v>
      </c>
    </row>
    <row r="2060" spans="1:4" x14ac:dyDescent="0.2">
      <c r="A2060" s="5">
        <v>1999</v>
      </c>
      <c r="B2060" s="138">
        <f>'Cap Outlay Deprec 26'!L13</f>
        <v>138161</v>
      </c>
      <c r="C2060" s="2" t="s">
        <v>594</v>
      </c>
      <c r="D2060" s="2" t="str">
        <f t="shared" si="31"/>
        <v>Error?</v>
      </c>
    </row>
    <row r="2061" spans="1:4" x14ac:dyDescent="0.2">
      <c r="A2061" s="5">
        <v>2000</v>
      </c>
      <c r="B2061" s="138">
        <f>'Cap Outlay Deprec 26'!L16</f>
        <v>1922428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49893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49893</v>
      </c>
      <c r="C2088" s="2" t="s">
        <v>594</v>
      </c>
      <c r="D2088" s="2" t="str">
        <f t="shared" si="31"/>
        <v>Error?</v>
      </c>
    </row>
    <row r="2089" spans="1:4" x14ac:dyDescent="0.2">
      <c r="A2089" s="5">
        <v>2028</v>
      </c>
      <c r="B2089" s="138">
        <f>'Expenditures 15-22'!K92</f>
        <v>3717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37907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-30012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3152582</v>
      </c>
      <c r="C2551" s="2" t="s">
        <v>594</v>
      </c>
      <c r="D2551" s="2" t="str">
        <f t="shared" si="38"/>
        <v>Error?</v>
      </c>
    </row>
    <row r="2552" spans="1:4" x14ac:dyDescent="0.2">
      <c r="A2552" s="10">
        <v>2491</v>
      </c>
      <c r="D2552" s="2" t="str">
        <f t="shared" si="38"/>
        <v>OK</v>
      </c>
    </row>
    <row r="2553" spans="1:4" x14ac:dyDescent="0.2">
      <c r="A2553" s="5">
        <v>2492</v>
      </c>
      <c r="B2553" s="138">
        <f>'Acct Summary 7-8'!C6</f>
        <v>434307</v>
      </c>
      <c r="C2553" s="2" t="s">
        <v>594</v>
      </c>
      <c r="D2553" s="2" t="str">
        <f t="shared" si="38"/>
        <v>Error?</v>
      </c>
    </row>
    <row r="2554" spans="1:4" x14ac:dyDescent="0.2">
      <c r="A2554" s="5">
        <v>2493</v>
      </c>
      <c r="B2554" s="138">
        <f>'Acct Summary 7-8'!C7</f>
        <v>143563</v>
      </c>
      <c r="C2554" s="2" t="s">
        <v>594</v>
      </c>
      <c r="D2554" s="2" t="str">
        <f t="shared" si="38"/>
        <v>Error?</v>
      </c>
    </row>
    <row r="2555" spans="1:4" x14ac:dyDescent="0.2">
      <c r="A2555" s="5">
        <v>2494</v>
      </c>
      <c r="B2555" s="138">
        <f>'Acct Summary 7-8'!C8</f>
        <v>3730452</v>
      </c>
      <c r="C2555" s="2" t="s">
        <v>594</v>
      </c>
      <c r="D2555" s="2" t="str">
        <f t="shared" si="38"/>
        <v>Error?</v>
      </c>
    </row>
    <row r="2556" spans="1:4" x14ac:dyDescent="0.2">
      <c r="A2556" s="5">
        <v>2495</v>
      </c>
      <c r="B2556" s="138">
        <f>'Acct Summary 7-8'!C12</f>
        <v>2364498</v>
      </c>
      <c r="C2556" s="2" t="s">
        <v>594</v>
      </c>
      <c r="D2556" s="2" t="str">
        <f t="shared" si="38"/>
        <v>Error?</v>
      </c>
    </row>
    <row r="2557" spans="1:4" x14ac:dyDescent="0.2">
      <c r="A2557" s="5">
        <v>2496</v>
      </c>
      <c r="B2557" s="138">
        <f>'Acct Summary 7-8'!C13</f>
        <v>925505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53610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3343613</v>
      </c>
      <c r="C2561" s="2" t="s">
        <v>594</v>
      </c>
      <c r="D2561" s="2" t="str">
        <f t="shared" si="39"/>
        <v>Error?</v>
      </c>
    </row>
    <row r="2562" spans="1:4" x14ac:dyDescent="0.2">
      <c r="A2562" s="5">
        <v>2501</v>
      </c>
      <c r="B2562" s="138">
        <f>'Acct Summary 7-8'!C20</f>
        <v>386839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438508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438508</v>
      </c>
      <c r="C2568" s="2" t="s">
        <v>594</v>
      </c>
      <c r="D2568" s="2" t="str">
        <f t="shared" si="39"/>
        <v>Error?</v>
      </c>
    </row>
    <row r="2569" spans="1:4" x14ac:dyDescent="0.2">
      <c r="A2569" s="5">
        <v>2508</v>
      </c>
      <c r="B2569" s="138">
        <f>'Acct Summary 7-8'!D13</f>
        <v>638729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638729</v>
      </c>
      <c r="C2573" s="2" t="s">
        <v>594</v>
      </c>
      <c r="D2573" s="2" t="str">
        <f t="shared" si="39"/>
        <v>Error?</v>
      </c>
    </row>
    <row r="2574" spans="1:4" x14ac:dyDescent="0.2">
      <c r="A2574" s="5">
        <v>2513</v>
      </c>
      <c r="B2574" s="138">
        <f>'Acct Summary 7-8'!D20</f>
        <v>-200221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131893</v>
      </c>
      <c r="C2591" s="2" t="s">
        <v>594</v>
      </c>
      <c r="D2591" s="2" t="str">
        <f t="shared" si="39"/>
        <v>Error?</v>
      </c>
    </row>
    <row r="2592" spans="1:4" x14ac:dyDescent="0.2">
      <c r="A2592" s="10">
        <v>2531</v>
      </c>
      <c r="D2592" s="2" t="str">
        <f t="shared" si="39"/>
        <v>OK</v>
      </c>
    </row>
    <row r="2593" spans="1:4" x14ac:dyDescent="0.2">
      <c r="A2593" s="5">
        <v>2532</v>
      </c>
      <c r="B2593" s="138">
        <f>'Acct Summary 7-8'!F6</f>
        <v>123460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255353</v>
      </c>
      <c r="C2595" s="2" t="s">
        <v>594</v>
      </c>
      <c r="D2595" s="2" t="str">
        <f t="shared" si="39"/>
        <v>Error?</v>
      </c>
    </row>
    <row r="2596" spans="1:4" x14ac:dyDescent="0.2">
      <c r="A2596" s="5">
        <v>2535</v>
      </c>
      <c r="B2596" s="138">
        <f>'Acct Summary 7-8'!F13</f>
        <v>301509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301509</v>
      </c>
      <c r="C2600" s="2" t="s">
        <v>594</v>
      </c>
      <c r="D2600" s="2" t="str">
        <f t="shared" si="39"/>
        <v>Error?</v>
      </c>
    </row>
    <row r="2601" spans="1:4" x14ac:dyDescent="0.2">
      <c r="A2601" s="5">
        <v>2540</v>
      </c>
      <c r="B2601" s="138">
        <f>'Acct Summary 7-8'!F20</f>
        <v>-46156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220914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220914</v>
      </c>
      <c r="C2606" s="2" t="s">
        <v>594</v>
      </c>
      <c r="D2606" s="2" t="str">
        <f t="shared" si="39"/>
        <v>Error?</v>
      </c>
    </row>
    <row r="2607" spans="1:4" x14ac:dyDescent="0.2">
      <c r="A2607" s="5">
        <v>2546</v>
      </c>
      <c r="B2607" s="138">
        <f>'Acct Summary 7-8'!G12</f>
        <v>65934</v>
      </c>
      <c r="C2607" s="2" t="s">
        <v>594</v>
      </c>
      <c r="D2607" s="2" t="str">
        <f t="shared" si="39"/>
        <v>Error?</v>
      </c>
    </row>
    <row r="2608" spans="1:4" x14ac:dyDescent="0.2">
      <c r="A2608" s="5">
        <v>2547</v>
      </c>
      <c r="B2608" s="138">
        <f>'Acct Summary 7-8'!G13</f>
        <v>133062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198996</v>
      </c>
      <c r="C2612" s="2" t="s">
        <v>594</v>
      </c>
      <c r="D2612" s="2" t="str">
        <f t="shared" si="39"/>
        <v>Error?</v>
      </c>
    </row>
    <row r="2613" spans="1:4" x14ac:dyDescent="0.2">
      <c r="A2613" s="5">
        <v>2552</v>
      </c>
      <c r="B2613" s="138">
        <f>'Acct Summary 7-8'!G20</f>
        <v>21918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75031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75031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147688</v>
      </c>
      <c r="C2634" s="2" t="s">
        <v>594</v>
      </c>
      <c r="D2634" s="2" t="str">
        <f t="shared" si="40"/>
        <v>Error?</v>
      </c>
    </row>
    <row r="2635" spans="1:4" x14ac:dyDescent="0.2">
      <c r="A2635" s="5">
        <v>2574</v>
      </c>
      <c r="B2635" s="138">
        <f>'Acct Summary 7-8'!E17</f>
        <v>147688</v>
      </c>
      <c r="C2635" s="2" t="s">
        <v>594</v>
      </c>
      <c r="D2635" s="2" t="str">
        <f t="shared" si="40"/>
        <v>Error?</v>
      </c>
    </row>
    <row r="2636" spans="1:4" x14ac:dyDescent="0.2">
      <c r="A2636" s="5">
        <v>2575</v>
      </c>
      <c r="B2636" s="138">
        <f>'Acct Summary 7-8'!E20</f>
        <v>-72657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87664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87664</v>
      </c>
      <c r="C2658" s="2" t="s">
        <v>594</v>
      </c>
      <c r="D2658" s="2" t="str">
        <f t="shared" si="40"/>
        <v>Error?</v>
      </c>
    </row>
    <row r="2659" spans="1:4" x14ac:dyDescent="0.2">
      <c r="A2659" s="5">
        <v>2598</v>
      </c>
      <c r="B2659" s="138">
        <f>'Acct Summary 7-8'!H13</f>
        <v>665284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665284</v>
      </c>
      <c r="C2661" s="2" t="s">
        <v>594</v>
      </c>
      <c r="D2661" s="2" t="str">
        <f t="shared" si="40"/>
        <v>Error?</v>
      </c>
    </row>
    <row r="2662" spans="1:4" x14ac:dyDescent="0.2">
      <c r="A2662" s="5">
        <v>2601</v>
      </c>
      <c r="B2662" s="138">
        <f>'Acct Summary 7-8'!H20</f>
        <v>-577620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59026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59026</v>
      </c>
      <c r="D2914" s="2" t="str">
        <f t="shared" si="44"/>
        <v>Error?</v>
      </c>
    </row>
    <row r="2915" spans="1:4" x14ac:dyDescent="0.2">
      <c r="A2915" s="10">
        <v>2854</v>
      </c>
      <c r="D2915" s="2" t="str">
        <f t="shared" si="44"/>
        <v>OK</v>
      </c>
    </row>
    <row r="2916" spans="1:4" x14ac:dyDescent="0.2">
      <c r="A2916" s="5">
        <v>2855</v>
      </c>
      <c r="B2916" s="138">
        <f>'Assets-Liab 5-6'!L34</f>
        <v>59026</v>
      </c>
      <c r="C2916" s="2" t="s">
        <v>594</v>
      </c>
      <c r="D2916" s="2" t="str">
        <f t="shared" si="44"/>
        <v>Error?</v>
      </c>
    </row>
    <row r="2917" spans="1:4" x14ac:dyDescent="0.2">
      <c r="A2917" s="5">
        <v>2856</v>
      </c>
      <c r="B2917" s="138">
        <f>'Assets-Liab 5-6'!L41</f>
        <v>59026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49893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49893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46838</v>
      </c>
      <c r="D3055" s="2" t="str">
        <f t="shared" si="46"/>
        <v>Error?</v>
      </c>
    </row>
    <row r="3056" spans="1:4" x14ac:dyDescent="0.2">
      <c r="A3056" s="5">
        <v>2995</v>
      </c>
      <c r="B3056" s="138">
        <f>'Expenditures 15-22'!D10</f>
        <v>15752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62590</v>
      </c>
      <c r="C3062" s="2" t="s">
        <v>594</v>
      </c>
      <c r="D3062" s="2" t="str">
        <f t="shared" si="46"/>
        <v>Error?</v>
      </c>
    </row>
    <row r="3063" spans="1:4" x14ac:dyDescent="0.2">
      <c r="A3063" s="10">
        <v>3002</v>
      </c>
      <c r="D3063" s="2" t="str">
        <f t="shared" si="46"/>
        <v>OK</v>
      </c>
    </row>
    <row r="3064" spans="1:4" x14ac:dyDescent="0.2">
      <c r="A3064" s="5">
        <v>3003</v>
      </c>
      <c r="B3064" s="138">
        <f>'Expenditures 15-22'!D219</f>
        <v>9357</v>
      </c>
      <c r="D3064" s="2" t="str">
        <f t="shared" si="46"/>
        <v>Error?</v>
      </c>
    </row>
    <row r="3065" spans="1:4" x14ac:dyDescent="0.2">
      <c r="A3065" s="5">
        <v>3004</v>
      </c>
      <c r="B3065" s="138">
        <f>'Expenditures 15-22'!K219</f>
        <v>9357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50000</v>
      </c>
      <c r="C3231" s="2" t="s">
        <v>594</v>
      </c>
      <c r="D3231" s="2" t="str">
        <f t="shared" si="49"/>
        <v>Error?</v>
      </c>
    </row>
    <row r="3232" spans="1:4" x14ac:dyDescent="0.2">
      <c r="A3232" s="5">
        <v>3171</v>
      </c>
      <c r="B3232" s="138">
        <f>'Acct Summary 7-8'!C77</f>
        <v>-50000</v>
      </c>
      <c r="C3232" s="2" t="s">
        <v>594</v>
      </c>
      <c r="D3232" s="2" t="str">
        <f t="shared" si="49"/>
        <v>Error?</v>
      </c>
    </row>
    <row r="3233" spans="1:4" x14ac:dyDescent="0.2">
      <c r="A3233" s="5">
        <v>3172</v>
      </c>
      <c r="B3233" s="138">
        <f>'Acct Summary 7-8'!C78</f>
        <v>336839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50000</v>
      </c>
      <c r="C3238" s="2" t="s">
        <v>594</v>
      </c>
      <c r="D3238" s="2" t="str">
        <f t="shared" si="49"/>
        <v>Error?</v>
      </c>
    </row>
    <row r="3239" spans="1:4" x14ac:dyDescent="0.2">
      <c r="A3239" s="5">
        <v>3178</v>
      </c>
      <c r="B3239" s="138">
        <f>'Acct Summary 7-8'!D78</f>
        <v>-150221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-46156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21918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-72657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-577620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151438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27689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27492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1183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207802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32972</v>
      </c>
      <c r="D3387" s="2" t="str">
        <f t="shared" si="51"/>
        <v>Error?</v>
      </c>
    </row>
    <row r="3388" spans="1:4" x14ac:dyDescent="0.2">
      <c r="A3388" s="5">
        <v>3327</v>
      </c>
      <c r="B3388" s="138">
        <f>'Expenditures 15-22'!D217</f>
        <v>10117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32972</v>
      </c>
      <c r="C3390" s="2" t="s">
        <v>594</v>
      </c>
      <c r="D3390" s="2" t="str">
        <f t="shared" si="51"/>
        <v>Error?</v>
      </c>
    </row>
    <row r="3391" spans="1:4" x14ac:dyDescent="0.2">
      <c r="A3391" s="5">
        <v>3330</v>
      </c>
      <c r="B3391" s="138">
        <f>'Expenditures 15-22'!K217</f>
        <v>10117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1825545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346231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4269</v>
      </c>
      <c r="D3417" s="2" t="str">
        <f t="shared" si="52"/>
        <v>Error?</v>
      </c>
    </row>
    <row r="3418" spans="1:4" x14ac:dyDescent="0.2">
      <c r="A3418" s="10">
        <v>3357</v>
      </c>
      <c r="D3418" s="2" t="str">
        <f t="shared" si="52"/>
        <v>OK</v>
      </c>
    </row>
    <row r="3419" spans="1:4" x14ac:dyDescent="0.2">
      <c r="A3419" s="5">
        <v>3358</v>
      </c>
      <c r="B3419" s="138">
        <f>'Assets-Liab 5-6'!F4</f>
        <v>262748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59026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108209</v>
      </c>
      <c r="C3446" s="2" t="s">
        <v>594</v>
      </c>
      <c r="D3446" s="2" t="str">
        <f t="shared" si="52"/>
        <v>Error?</v>
      </c>
    </row>
    <row r="3447" spans="1:4" x14ac:dyDescent="0.2">
      <c r="A3447" s="5">
        <v>3386</v>
      </c>
      <c r="B3447" s="138">
        <f>'Tax Sched 23'!D16</f>
        <v>43667</v>
      </c>
      <c r="C3447" s="2" t="s">
        <v>594</v>
      </c>
      <c r="D3447" s="2" t="str">
        <f t="shared" si="52"/>
        <v>Error?</v>
      </c>
    </row>
    <row r="3448" spans="1:4" x14ac:dyDescent="0.2">
      <c r="A3448" s="5">
        <v>3387</v>
      </c>
      <c r="B3448" s="138">
        <f>'Tax Sched 23'!C16</f>
        <v>64542</v>
      </c>
      <c r="D3448" s="2" t="str">
        <f t="shared" si="52"/>
        <v>Error?</v>
      </c>
    </row>
    <row r="3449" spans="1:4" x14ac:dyDescent="0.2">
      <c r="A3449" s="5">
        <v>3388</v>
      </c>
      <c r="B3449" s="138">
        <f>'Tax Sched 23'!F16</f>
        <v>45466</v>
      </c>
      <c r="C3449" s="2" t="s">
        <v>594</v>
      </c>
      <c r="D3449" s="2" t="str">
        <f t="shared" si="52"/>
        <v>Error?</v>
      </c>
    </row>
    <row r="3450" spans="1:4" x14ac:dyDescent="0.2">
      <c r="A3450" s="5">
        <v>3389</v>
      </c>
      <c r="B3450" s="138">
        <f>'Tax Sched 23'!E16</f>
        <v>110008</v>
      </c>
      <c r="D3450" s="2" t="str">
        <f t="shared" si="52"/>
        <v>Error?</v>
      </c>
    </row>
    <row r="3451" spans="1:4" x14ac:dyDescent="0.2">
      <c r="A3451" s="5">
        <v>3390</v>
      </c>
      <c r="B3451" s="138">
        <f>'Cap Outlay Deprec 26'!C15</f>
        <v>111155</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111155</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40482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40482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40482</v>
      </c>
      <c r="D3567" s="2" t="str">
        <f t="shared" si="54"/>
        <v>Error?</v>
      </c>
    </row>
    <row r="3568" spans="1:4" x14ac:dyDescent="0.2">
      <c r="A3568" s="5">
        <v>3507</v>
      </c>
      <c r="B3568" s="138">
        <f>'Assets-Liab 5-6'!K41</f>
        <v>40482</v>
      </c>
      <c r="C3568" s="2" t="s">
        <v>594</v>
      </c>
      <c r="D3568" s="2" t="str">
        <f t="shared" si="54"/>
        <v>Error?</v>
      </c>
    </row>
    <row r="3569" spans="1:4" x14ac:dyDescent="0.2">
      <c r="A3569" s="5">
        <v>3508</v>
      </c>
      <c r="B3569" s="138">
        <f>'Acct Summary 7-8'!K4</f>
        <v>31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v>
      </c>
      <c r="C3588" s="2" t="s">
        <v>594</v>
      </c>
      <c r="D3588" s="2" t="str">
        <f t="shared" si="55"/>
        <v>Error?</v>
      </c>
    </row>
    <row r="3589" spans="1:4" x14ac:dyDescent="0.2">
      <c r="A3589" s="5">
        <v>3528</v>
      </c>
      <c r="B3589" s="138">
        <f>'Acct Summary 7-8'!K79</f>
        <v>40451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40482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76791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1177117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4907569</v>
      </c>
      <c r="C4122" s="2" t="s">
        <v>594</v>
      </c>
      <c r="D4122" s="2" t="str">
        <f t="shared" si="63"/>
        <v>Error?</v>
      </c>
    </row>
    <row r="4123" spans="1:4" x14ac:dyDescent="0.2">
      <c r="A4123" s="5">
        <v>4062</v>
      </c>
      <c r="B4123" s="138">
        <f>'Acct Summary 7-8'!D10</f>
        <v>438508</v>
      </c>
      <c r="C4123" s="2" t="s">
        <v>594</v>
      </c>
      <c r="D4123" s="2" t="str">
        <f t="shared" si="63"/>
        <v>Error?</v>
      </c>
    </row>
    <row r="4124" spans="1:4" x14ac:dyDescent="0.2">
      <c r="A4124" s="5">
        <v>4063</v>
      </c>
      <c r="B4124" s="138">
        <f>'Acct Summary 7-8'!E10</f>
        <v>75031</v>
      </c>
      <c r="C4124" s="2" t="s">
        <v>594</v>
      </c>
      <c r="D4124" s="2" t="str">
        <f t="shared" si="63"/>
        <v>Error?</v>
      </c>
    </row>
    <row r="4125" spans="1:4" x14ac:dyDescent="0.2">
      <c r="A4125" s="5">
        <v>4064</v>
      </c>
      <c r="B4125" s="138">
        <f>'Acct Summary 7-8'!F10</f>
        <v>255353</v>
      </c>
      <c r="C4125" s="2" t="s">
        <v>594</v>
      </c>
      <c r="D4125" s="2" t="str">
        <f t="shared" si="63"/>
        <v>Error?</v>
      </c>
    </row>
    <row r="4126" spans="1:4" x14ac:dyDescent="0.2">
      <c r="A4126" s="5">
        <v>4065</v>
      </c>
      <c r="B4126" s="138">
        <f>'Acct Summary 7-8'!G10</f>
        <v>220914</v>
      </c>
      <c r="C4126" s="2" t="s">
        <v>594</v>
      </c>
      <c r="D4126" s="2" t="str">
        <f t="shared" si="63"/>
        <v>Error?</v>
      </c>
    </row>
    <row r="4127" spans="1:4" x14ac:dyDescent="0.2">
      <c r="A4127" s="5">
        <v>4066</v>
      </c>
      <c r="B4127" s="138">
        <f>'Acct Summary 7-8'!H10</f>
        <v>87664</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v>
      </c>
      <c r="C4130" s="2" t="s">
        <v>594</v>
      </c>
      <c r="D4130" s="2" t="str">
        <f t="shared" si="63"/>
        <v>Error?</v>
      </c>
    </row>
    <row r="4131" spans="1:4" x14ac:dyDescent="0.2">
      <c r="A4131" s="5">
        <v>4070</v>
      </c>
      <c r="B4131" s="138">
        <f>'Acct Summary 7-8'!C18</f>
        <v>1177117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4520730</v>
      </c>
      <c r="C4136" s="2" t="s">
        <v>594</v>
      </c>
      <c r="D4136" s="2" t="str">
        <f t="shared" si="63"/>
        <v>Error?</v>
      </c>
    </row>
    <row r="4137" spans="1:4" x14ac:dyDescent="0.2">
      <c r="A4137" s="5">
        <v>4076</v>
      </c>
      <c r="B4137" s="138">
        <f>'Acct Summary 7-8'!D19</f>
        <v>638729</v>
      </c>
      <c r="C4137" s="2" t="s">
        <v>594</v>
      </c>
      <c r="D4137" s="2" t="str">
        <f t="shared" si="63"/>
        <v>Error?</v>
      </c>
    </row>
    <row r="4138" spans="1:4" x14ac:dyDescent="0.2">
      <c r="A4138" s="5">
        <v>4077</v>
      </c>
      <c r="B4138" s="138">
        <f>'Acct Summary 7-8'!E19</f>
        <v>147688</v>
      </c>
      <c r="C4138" s="2" t="s">
        <v>594</v>
      </c>
      <c r="D4138" s="2" t="str">
        <f t="shared" si="63"/>
        <v>Error?</v>
      </c>
    </row>
    <row r="4139" spans="1:4" x14ac:dyDescent="0.2">
      <c r="A4139" s="5">
        <v>4078</v>
      </c>
      <c r="B4139" s="138">
        <f>'Acct Summary 7-8'!F19</f>
        <v>301509</v>
      </c>
      <c r="C4139" s="2" t="s">
        <v>594</v>
      </c>
      <c r="D4139" s="2" t="str">
        <f t="shared" si="63"/>
        <v>Error?</v>
      </c>
    </row>
    <row r="4140" spans="1:4" x14ac:dyDescent="0.2">
      <c r="A4140" s="5">
        <v>4079</v>
      </c>
      <c r="B4140" s="138">
        <f>'Acct Summary 7-8'!G19</f>
        <v>198996</v>
      </c>
      <c r="C4140" s="2" t="s">
        <v>594</v>
      </c>
      <c r="D4140" s="2" t="str">
        <f t="shared" si="63"/>
        <v>Error?</v>
      </c>
    </row>
    <row r="4141" spans="1:4" x14ac:dyDescent="0.2">
      <c r="A4141" s="5">
        <v>4080</v>
      </c>
      <c r="B4141" s="138">
        <f>'Acct Summary 7-8'!H19</f>
        <v>665284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710697</v>
      </c>
      <c r="C4171" s="2" t="s">
        <v>594</v>
      </c>
      <c r="D4171" s="2" t="str">
        <f t="shared" si="64"/>
        <v>Error?</v>
      </c>
    </row>
    <row r="4172" spans="1:4" x14ac:dyDescent="0.2">
      <c r="A4172" s="5">
        <v>4111</v>
      </c>
      <c r="B4172" s="138">
        <f>'Short-Term Long-Term Debt 24'!J49</f>
        <v>706427</v>
      </c>
      <c r="C4172" s="2" t="s">
        <v>594</v>
      </c>
      <c r="D4172" s="2" t="str">
        <f t="shared" si="64"/>
        <v>Error?</v>
      </c>
    </row>
    <row r="4173" spans="1:4" x14ac:dyDescent="0.2">
      <c r="A4173" s="5">
        <v>4112</v>
      </c>
      <c r="B4173" s="138">
        <f>'Short-Term Long-Term Debt 24'!H49</f>
        <v>115000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25697</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3137.52</v>
      </c>
      <c r="C4265" s="2" t="s">
        <v>594</v>
      </c>
      <c r="D4265" s="2" t="str">
        <f t="shared" si="65"/>
        <v>Error?</v>
      </c>
      <c r="E4265" s="128"/>
    </row>
    <row r="4266" spans="1:5" x14ac:dyDescent="0.2">
      <c r="A4266" s="12">
        <v>4205</v>
      </c>
      <c r="B4266" s="138">
        <f>('FP Info 3'!F10)*100000</f>
        <v>423.41</v>
      </c>
      <c r="C4266" s="2" t="s">
        <v>594</v>
      </c>
      <c r="D4266" s="2" t="str">
        <f t="shared" si="65"/>
        <v>Error?</v>
      </c>
      <c r="E4266" s="128"/>
    </row>
    <row r="4267" spans="1:5" x14ac:dyDescent="0.2">
      <c r="A4267" s="12">
        <v>4206</v>
      </c>
      <c r="B4267" s="138">
        <f>('FP Info 3'!H10)*100000</f>
        <v>162.85</v>
      </c>
      <c r="C4267" s="2" t="s">
        <v>594</v>
      </c>
      <c r="D4267" s="2" t="str">
        <f t="shared" si="65"/>
        <v>Error?</v>
      </c>
      <c r="E4267" s="128"/>
    </row>
    <row r="4268" spans="1:5" x14ac:dyDescent="0.2">
      <c r="A4268" s="12">
        <v>4207</v>
      </c>
      <c r="B4268" s="138">
        <f>('FP Info 3'!J10)*100000</f>
        <v>3724</v>
      </c>
      <c r="C4268" s="2" t="s">
        <v>594</v>
      </c>
      <c r="D4268" s="2" t="str">
        <f t="shared" si="65"/>
        <v>Error?</v>
      </c>
    </row>
    <row r="4269" spans="1:5" x14ac:dyDescent="0.2">
      <c r="A4269" s="12">
        <v>4208</v>
      </c>
      <c r="B4269" s="138">
        <f>'FP Info 3'!J16</f>
        <v>3605337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16050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26567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92111088</v>
      </c>
      <c r="D4995" s="2" t="str">
        <f t="shared" si="77"/>
        <v>Error?</v>
      </c>
    </row>
    <row r="4996" spans="1:4" x14ac:dyDescent="0.2">
      <c r="A4996" s="12">
        <v>4935</v>
      </c>
      <c r="B4996" s="138">
        <f>'FP Info 3'!H31</f>
        <v>12711330.144000001</v>
      </c>
      <c r="D4996" s="2" t="str">
        <f t="shared" si="77"/>
        <v>Error?</v>
      </c>
    </row>
    <row r="4997" spans="1:4" x14ac:dyDescent="0.2">
      <c r="A4997" s="12">
        <v>4936</v>
      </c>
      <c r="B4997" s="138">
        <f>'FP Info 3'!H37</f>
        <v>710697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2912968</v>
      </c>
      <c r="D5061" s="2" t="str">
        <f t="shared" si="78"/>
        <v>Error?</v>
      </c>
    </row>
    <row r="5062" spans="1:4" x14ac:dyDescent="0.2">
      <c r="A5062" s="10">
        <v>5001</v>
      </c>
      <c r="D5062" s="2" t="str">
        <f t="shared" si="78"/>
        <v>OK</v>
      </c>
    </row>
    <row r="5063" spans="1:4" x14ac:dyDescent="0.2">
      <c r="A5063" s="5">
        <v>5002</v>
      </c>
      <c r="B5063" s="138">
        <f>'Revenues 9-14'!C7</f>
        <v>34925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2947893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875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875</v>
      </c>
      <c r="C5087" s="2" t="s">
        <v>594</v>
      </c>
      <c r="D5087" s="2" t="str">
        <f t="shared" si="78"/>
        <v>Error?</v>
      </c>
    </row>
    <row r="5088" spans="1:4" x14ac:dyDescent="0.2">
      <c r="A5088" s="5">
        <v>5027</v>
      </c>
      <c r="B5088" s="138">
        <f>'Revenues 9-14'!C65</f>
        <v>13825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13825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76531</v>
      </c>
      <c r="C5096" s="2" t="s">
        <v>594</v>
      </c>
      <c r="D5096" s="2" t="str">
        <f t="shared" si="78"/>
        <v>Error?</v>
      </c>
    </row>
    <row r="5097" spans="1:4" x14ac:dyDescent="0.2">
      <c r="A5097" s="5">
        <v>5036</v>
      </c>
      <c r="B5097" s="138">
        <f>'Revenues 9-14'!C77</f>
        <v>11859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11859</v>
      </c>
      <c r="C5102" s="2" t="s">
        <v>594</v>
      </c>
      <c r="D5102" s="2" t="str">
        <f t="shared" si="78"/>
        <v>Error?</v>
      </c>
    </row>
    <row r="5103" spans="1:4" x14ac:dyDescent="0.2">
      <c r="A5103" s="5">
        <v>5042</v>
      </c>
      <c r="B5103" s="138">
        <f>'Revenues 9-14'!C84</f>
        <v>5408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92036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4155</v>
      </c>
      <c r="D5119" s="2" t="str">
        <f t="shared" ref="D5119:D5182" si="79">IF(ISBLANK(B5119),"OK",IF(A5119-B5119=0,"OK","Error?"))</f>
        <v>Error?</v>
      </c>
    </row>
    <row r="5120" spans="1:4" x14ac:dyDescent="0.2">
      <c r="A5120" s="5">
        <v>5059</v>
      </c>
      <c r="B5120" s="138">
        <f>'Revenues 9-14'!C108</f>
        <v>96191</v>
      </c>
      <c r="C5120" s="2" t="s">
        <v>594</v>
      </c>
      <c r="D5120" s="2" t="str">
        <f t="shared" si="79"/>
        <v>Error?</v>
      </c>
    </row>
    <row r="5121" spans="1:4" x14ac:dyDescent="0.2">
      <c r="A5121" s="5">
        <v>5060</v>
      </c>
      <c r="B5121" s="138">
        <f>'Revenues 9-14'!C109</f>
        <v>3152582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203882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203882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17716</v>
      </c>
      <c r="D5134" s="2" t="str">
        <f t="shared" si="79"/>
        <v>Error?</v>
      </c>
    </row>
    <row r="5135" spans="1:4" x14ac:dyDescent="0.2">
      <c r="A5135" s="5">
        <v>5074</v>
      </c>
      <c r="B5135" s="138">
        <f>'Revenues 9-14'!C126</f>
        <v>10750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28466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9887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673</v>
      </c>
      <c r="D5167" s="2" t="str">
        <f t="shared" si="79"/>
        <v>Error?</v>
      </c>
    </row>
    <row r="5168" spans="1:4" x14ac:dyDescent="0.2">
      <c r="A5168" s="5">
        <v>5107</v>
      </c>
      <c r="B5168" s="138">
        <f>'Revenues 9-14'!C147</f>
        <v>4067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186582</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230425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434307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35464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6376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41840</v>
      </c>
      <c r="C5246" s="2" t="s">
        <v>594</v>
      </c>
      <c r="D5246" s="2" t="str">
        <f t="shared" si="80"/>
        <v>Error?</v>
      </c>
    </row>
    <row r="5247" spans="1:4" x14ac:dyDescent="0.2">
      <c r="A5247" s="5">
        <v>5186</v>
      </c>
      <c r="B5247" s="138">
        <f>'Revenues 9-14'!C203</f>
        <v>49106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49106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143563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143563</v>
      </c>
      <c r="C5326" s="2" t="s">
        <v>594</v>
      </c>
      <c r="D5326" s="2" t="str">
        <f t="shared" si="82"/>
        <v>Error?</v>
      </c>
    </row>
    <row r="5327" spans="1:4" x14ac:dyDescent="0.2">
      <c r="A5327" s="5">
        <v>5266</v>
      </c>
      <c r="B5327" s="138">
        <f>'Revenues 9-14'!C275</f>
        <v>3730452</v>
      </c>
      <c r="C5327" s="2" t="s">
        <v>594</v>
      </c>
      <c r="D5327" s="2" t="str">
        <f t="shared" si="82"/>
        <v>Error?</v>
      </c>
    </row>
    <row r="5328" spans="1:4" x14ac:dyDescent="0.2">
      <c r="A5328" s="5">
        <v>5267</v>
      </c>
      <c r="B5328" s="138">
        <f>'Revenues 9-14'!D5</f>
        <v>381502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381502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48407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48407</v>
      </c>
      <c r="C5339" s="2" t="s">
        <v>594</v>
      </c>
      <c r="D5339" s="2" t="str">
        <f t="shared" si="82"/>
        <v>Error?</v>
      </c>
    </row>
    <row r="5340" spans="1:4" x14ac:dyDescent="0.2">
      <c r="A5340" s="5">
        <v>5279</v>
      </c>
      <c r="B5340" s="138">
        <f>'Revenues 9-14'!D65</f>
        <v>1599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1599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7000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7000</v>
      </c>
      <c r="C5355" s="2" t="s">
        <v>594</v>
      </c>
      <c r="D5355" s="2" t="str">
        <f t="shared" si="82"/>
        <v>Error?</v>
      </c>
    </row>
    <row r="5356" spans="1:4" x14ac:dyDescent="0.2">
      <c r="A5356" s="5">
        <v>5295</v>
      </c>
      <c r="B5356" s="138">
        <f>'Revenues 9-14'!D109</f>
        <v>438508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438508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75003</v>
      </c>
      <c r="C5526" s="2" t="s">
        <v>594</v>
      </c>
      <c r="D5526" s="2" t="str">
        <f t="shared" si="85"/>
        <v>Error?</v>
      </c>
    </row>
    <row r="5527" spans="1:4" x14ac:dyDescent="0.2">
      <c r="A5527" s="5">
        <v>5466</v>
      </c>
      <c r="B5527" s="138">
        <f>'Revenues 9-14'!E109</f>
        <v>75031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75031</v>
      </c>
      <c r="C5552" s="2" t="s">
        <v>594</v>
      </c>
      <c r="D5552" s="2" t="str">
        <f t="shared" si="85"/>
        <v>Error?</v>
      </c>
    </row>
    <row r="5553" spans="1:4" x14ac:dyDescent="0.2">
      <c r="A5553" s="5">
        <v>5492</v>
      </c>
      <c r="B5553" s="138">
        <f>'Revenues 9-14'!F5</f>
        <v>131644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131644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249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131893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96287</v>
      </c>
      <c r="D5615" s="2" t="str">
        <f t="shared" si="86"/>
        <v>Error?</v>
      </c>
    </row>
    <row r="5616" spans="1:4" x14ac:dyDescent="0.2">
      <c r="A5616" s="10">
        <v>5555</v>
      </c>
      <c r="D5616" s="2" t="str">
        <f t="shared" si="86"/>
        <v>OK</v>
      </c>
    </row>
    <row r="5617" spans="1:4" x14ac:dyDescent="0.2">
      <c r="A5617" s="5">
        <v>5556</v>
      </c>
      <c r="B5617" s="138">
        <f>'Revenues 9-14'!F152</f>
        <v>27173</v>
      </c>
      <c r="D5617" s="2" t="str">
        <f t="shared" si="86"/>
        <v>Error?</v>
      </c>
    </row>
    <row r="5618" spans="1:4" x14ac:dyDescent="0.2">
      <c r="A5618" s="5">
        <v>5557</v>
      </c>
      <c r="B5618" s="138">
        <f>'Revenues 9-14'!F154</f>
        <v>123460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123460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123460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255353</v>
      </c>
      <c r="C5720" s="2" t="s">
        <v>594</v>
      </c>
      <c r="D5720" s="2" t="str">
        <f t="shared" si="88"/>
        <v>Error?</v>
      </c>
    </row>
    <row r="5721" spans="1:4" x14ac:dyDescent="0.2">
      <c r="A5721" s="5">
        <v>5660</v>
      </c>
      <c r="B5721" s="138">
        <f>'Revenues 9-14'!G5</f>
        <v>109705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108209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217914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220914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87583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87664</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v>
      </c>
      <c r="C6023" s="2" t="s">
        <v>594</v>
      </c>
      <c r="D6023" s="2" t="str">
        <f t="shared" si="93"/>
        <v>Error?</v>
      </c>
    </row>
    <row r="6024" spans="1:5" x14ac:dyDescent="0.2">
      <c r="A6024" s="5">
        <v>5963</v>
      </c>
      <c r="B6024" s="138">
        <f>'Revenues 9-14'!G109</f>
        <v>220914</v>
      </c>
      <c r="C6024" s="2" t="s">
        <v>594</v>
      </c>
      <c r="D6024" s="2" t="str">
        <f t="shared" si="93"/>
        <v>Error?</v>
      </c>
    </row>
    <row r="6025" spans="1:5" x14ac:dyDescent="0.2">
      <c r="A6025" s="5">
        <v>5964</v>
      </c>
      <c r="B6025" s="138">
        <f>'Revenues 9-14'!H109</f>
        <v>87664</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73794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9185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250.19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3850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30012</v>
      </c>
      <c r="D6137" s="2" t="str">
        <f t="shared" si="94"/>
        <v>Error?</v>
      </c>
      <c r="E6137" s="2" t="s">
        <v>199</v>
      </c>
    </row>
    <row r="6138" spans="1:5" x14ac:dyDescent="0.2">
      <c r="A6138">
        <v>6077</v>
      </c>
      <c r="B6138" s="138">
        <f>'Assets-Liab 5-6'!H26</f>
        <v>16760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3850</v>
      </c>
      <c r="D6215" s="2" t="str">
        <f t="shared" si="96"/>
        <v>Error?</v>
      </c>
      <c r="E6215" s="2" t="s">
        <v>199</v>
      </c>
    </row>
    <row r="6216" spans="1:5" x14ac:dyDescent="0.2">
      <c r="A6216">
        <v>6155</v>
      </c>
      <c r="B6216" s="138">
        <f>'Assets-Liab 5-6'!J41</f>
        <v>3850</v>
      </c>
      <c r="D6216" s="2" t="str">
        <f t="shared" si="96"/>
        <v>Error?</v>
      </c>
      <c r="E6216" s="2" t="s">
        <v>199</v>
      </c>
    </row>
    <row r="6217" spans="1:5" x14ac:dyDescent="0.2">
      <c r="A6217">
        <v>6156</v>
      </c>
      <c r="B6217" s="138">
        <f>'Assets-Liab 5-6'!J4</f>
        <v>3115</v>
      </c>
      <c r="D6217" s="2" t="str">
        <f t="shared" si="96"/>
        <v>Error?</v>
      </c>
      <c r="E6217" s="2" t="s">
        <v>199</v>
      </c>
    </row>
    <row r="6218" spans="1:5" x14ac:dyDescent="0.2">
      <c r="A6218">
        <v>6157</v>
      </c>
      <c r="B6218" s="138">
        <f>'Assets-Liab 5-6'!J5</f>
        <v>735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81214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81214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81214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73177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73177</v>
      </c>
      <c r="D6229" s="2" t="str">
        <f t="shared" si="96"/>
        <v>Error?</v>
      </c>
      <c r="E6229" s="2" t="s">
        <v>199</v>
      </c>
    </row>
    <row r="6230" spans="1:5" x14ac:dyDescent="0.2">
      <c r="A6230">
        <v>6169</v>
      </c>
      <c r="B6230" s="138">
        <f>'Acct Summary 7-8'!J20</f>
        <v>8037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8037</v>
      </c>
      <c r="D6263" s="2" t="str">
        <f t="shared" si="96"/>
        <v>Error?</v>
      </c>
      <c r="E6263" s="2" t="s">
        <v>199</v>
      </c>
    </row>
    <row r="6264" spans="1:5" x14ac:dyDescent="0.2">
      <c r="A6264">
        <v>6203</v>
      </c>
      <c r="B6264" s="138">
        <f>'Acct Summary 7-8'!J79</f>
        <v>-4187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3850</v>
      </c>
      <c r="D6266" s="2" t="str">
        <f t="shared" si="96"/>
        <v>Error?</v>
      </c>
      <c r="E6266" s="2" t="s">
        <v>199</v>
      </c>
    </row>
    <row r="6267" spans="1:5" x14ac:dyDescent="0.2">
      <c r="A6267">
        <v>6206</v>
      </c>
      <c r="B6267" s="138">
        <f>'Acct Summary 7-8'!C82</f>
        <v>336839</v>
      </c>
      <c r="D6267" s="2" t="str">
        <f t="shared" si="96"/>
        <v>Error?</v>
      </c>
      <c r="E6267" s="2" t="s">
        <v>199</v>
      </c>
    </row>
    <row r="6268" spans="1:5" x14ac:dyDescent="0.2">
      <c r="A6268">
        <v>6207</v>
      </c>
      <c r="B6268" s="138">
        <f>'Acct Summary 7-8'!D82</f>
        <v>-150221</v>
      </c>
      <c r="D6268" s="2" t="str">
        <f t="shared" si="96"/>
        <v>Error?</v>
      </c>
      <c r="E6268" s="2" t="s">
        <v>199</v>
      </c>
    </row>
    <row r="6269" spans="1:5" x14ac:dyDescent="0.2">
      <c r="A6269">
        <v>6208</v>
      </c>
      <c r="B6269" s="138">
        <f>'Acct Summary 7-8'!E82</f>
        <v>-72657</v>
      </c>
      <c r="D6269" s="2" t="str">
        <f t="shared" si="96"/>
        <v>Error?</v>
      </c>
      <c r="E6269" s="2" t="s">
        <v>199</v>
      </c>
    </row>
    <row r="6270" spans="1:5" x14ac:dyDescent="0.2">
      <c r="A6270">
        <v>6209</v>
      </c>
      <c r="B6270" s="138">
        <f>'Acct Summary 7-8'!F82</f>
        <v>-46156</v>
      </c>
      <c r="D6270" s="2" t="str">
        <f t="shared" si="96"/>
        <v>Error?</v>
      </c>
      <c r="E6270" s="2" t="s">
        <v>199</v>
      </c>
    </row>
    <row r="6271" spans="1:5" x14ac:dyDescent="0.2">
      <c r="A6271">
        <v>6210</v>
      </c>
      <c r="B6271" s="138">
        <f>'Acct Summary 7-8'!G82</f>
        <v>21918</v>
      </c>
      <c r="D6271" s="2" t="str">
        <f t="shared" ref="D6271:D6334" si="97">IF(ISBLANK(B6271),"OK",IF(A6271-B6271=0,"OK","Error?"))</f>
        <v>Error?</v>
      </c>
      <c r="E6271" s="2" t="s">
        <v>199</v>
      </c>
    </row>
    <row r="6272" spans="1:5" x14ac:dyDescent="0.2">
      <c r="A6272">
        <v>6211</v>
      </c>
      <c r="B6272" s="138">
        <f>'Acct Summary 7-8'!H82</f>
        <v>-577620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8037</v>
      </c>
      <c r="D6274" s="2" t="str">
        <f t="shared" si="97"/>
        <v>Error?</v>
      </c>
      <c r="E6274" s="2" t="s">
        <v>199</v>
      </c>
    </row>
    <row r="6275" spans="1:5" x14ac:dyDescent="0.2">
      <c r="A6275">
        <v>6214</v>
      </c>
      <c r="B6275" s="138">
        <f>'Acct Summary 7-8'!K82</f>
        <v>31</v>
      </c>
      <c r="D6275" s="2" t="str">
        <f t="shared" si="97"/>
        <v>Error?</v>
      </c>
      <c r="E6275" s="2" t="s">
        <v>199</v>
      </c>
    </row>
    <row r="6276" spans="1:5" x14ac:dyDescent="0.2">
      <c r="A6276">
        <v>6215</v>
      </c>
      <c r="B6276" s="138">
        <f>'Acct Summary 7-8'!C83</f>
        <v>0.13702718787921686</v>
      </c>
      <c r="D6276" s="2" t="str">
        <f t="shared" si="97"/>
        <v>Error?</v>
      </c>
      <c r="E6276" s="2" t="s">
        <v>199</v>
      </c>
    </row>
    <row r="6277" spans="1:5" x14ac:dyDescent="0.2">
      <c r="A6277">
        <v>6216</v>
      </c>
      <c r="B6277" s="138">
        <f>'Acct Summary 7-8'!D83</f>
        <v>-0.24244874507544395</v>
      </c>
      <c r="D6277" s="2" t="str">
        <f t="shared" si="97"/>
        <v>Error?</v>
      </c>
      <c r="E6277" s="2" t="s">
        <v>199</v>
      </c>
    </row>
    <row r="6278" spans="1:5" x14ac:dyDescent="0.2">
      <c r="A6278">
        <v>6217</v>
      </c>
      <c r="B6278" s="138">
        <f>'Acct Summary 7-8'!E83</f>
        <v>-17.015690866510539</v>
      </c>
      <c r="D6278" s="2" t="str">
        <f t="shared" si="97"/>
        <v>Error?</v>
      </c>
      <c r="E6278" s="2" t="s">
        <v>199</v>
      </c>
    </row>
    <row r="6279" spans="1:5" x14ac:dyDescent="0.2">
      <c r="A6279">
        <v>6218</v>
      </c>
      <c r="B6279" s="138">
        <f>'Acct Summary 7-8'!F83</f>
        <v>-8.749173059462001E-2</v>
      </c>
      <c r="D6279" s="2" t="str">
        <f t="shared" si="97"/>
        <v>Error?</v>
      </c>
      <c r="E6279" s="2" t="s">
        <v>199</v>
      </c>
    </row>
    <row r="6280" spans="1:5" x14ac:dyDescent="0.2">
      <c r="A6280">
        <v>6219</v>
      </c>
      <c r="B6280" s="138">
        <f>'Acct Summary 7-8'!G83</f>
        <v>-0.73030787684926035</v>
      </c>
      <c r="D6280" s="2" t="str">
        <f t="shared" si="97"/>
        <v>Error?</v>
      </c>
      <c r="E6280" s="2" t="s">
        <v>199</v>
      </c>
    </row>
    <row r="6281" spans="1:5" x14ac:dyDescent="0.2">
      <c r="A6281">
        <v>6220</v>
      </c>
      <c r="B6281" s="138">
        <f>'Acct Summary 7-8'!H83</f>
        <v>34.464200477326969</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2.0875324675324674</v>
      </c>
      <c r="D6283" s="2" t="str">
        <f t="shared" si="97"/>
        <v>Error?</v>
      </c>
      <c r="E6283" s="2" t="s">
        <v>199</v>
      </c>
    </row>
    <row r="6284" spans="1:5" x14ac:dyDescent="0.2">
      <c r="A6284">
        <v>6223</v>
      </c>
      <c r="B6284" s="138">
        <f>'Acct Summary 7-8'!K83</f>
        <v>7.6577244207302008E-4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81212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81212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81214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9887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96886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119365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32725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3717</v>
      </c>
      <c r="D6987" s="2" t="str">
        <f t="shared" si="108"/>
        <v>Error?</v>
      </c>
    </row>
    <row r="6988" spans="1:4" x14ac:dyDescent="0.2">
      <c r="A6988">
        <v>6927</v>
      </c>
      <c r="B6988" s="138">
        <f>'Expenditures 15-22'!K88</f>
        <v>3717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3717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73177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81214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6164</v>
      </c>
      <c r="D7073" s="2" t="str">
        <f t="shared" si="109"/>
        <v>Error?</v>
      </c>
    </row>
    <row r="7074" spans="1:4" x14ac:dyDescent="0.2">
      <c r="A7074">
        <v>7013</v>
      </c>
      <c r="B7074" s="138">
        <f>'Expenditures 15-22'!K216</f>
        <v>6164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404</v>
      </c>
      <c r="D7079" s="2" t="str">
        <f t="shared" si="109"/>
        <v>Error?</v>
      </c>
    </row>
    <row r="7080" spans="1:4" x14ac:dyDescent="0.2">
      <c r="A7080">
        <v>7019</v>
      </c>
      <c r="B7080" s="138">
        <f>'Expenditures 15-22'!K226</f>
        <v>404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26780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26780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22040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22040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24357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24357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73177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73177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73177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73177</v>
      </c>
      <c r="D7224" s="2" t="str">
        <f t="shared" si="111"/>
        <v>Error?</v>
      </c>
    </row>
    <row r="7225" spans="1:4" x14ac:dyDescent="0.2">
      <c r="A7225">
        <v>7164</v>
      </c>
      <c r="B7225" s="138">
        <f>'Expenditures 15-22'!K343</f>
        <v>8037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13647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8832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27880</v>
      </c>
      <c r="D7263" s="2" t="str">
        <f t="shared" si="112"/>
        <v>Error?</v>
      </c>
    </row>
    <row r="7264" spans="1:4" x14ac:dyDescent="0.2">
      <c r="A7264">
        <f t="shared" si="113"/>
        <v>7203</v>
      </c>
      <c r="B7264" s="138">
        <f>'Expenditures 15-22'!D17</f>
        <v>2159</v>
      </c>
      <c r="D7264" s="2" t="str">
        <f t="shared" si="112"/>
        <v>Error?</v>
      </c>
    </row>
    <row r="7265" spans="1:5" x14ac:dyDescent="0.2">
      <c r="A7265">
        <f t="shared" si="113"/>
        <v>7204</v>
      </c>
      <c r="B7265" s="138">
        <f>'Expenditures 15-22'!E17</f>
        <v>2361</v>
      </c>
      <c r="D7265" s="2" t="str">
        <f t="shared" si="112"/>
        <v>Error?</v>
      </c>
    </row>
    <row r="7266" spans="1:5" x14ac:dyDescent="0.2">
      <c r="A7266">
        <f t="shared" si="113"/>
        <v>7205</v>
      </c>
      <c r="B7266" s="138">
        <f>'Expenditures 15-22'!F17</f>
        <v>325</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156631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110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162586</v>
      </c>
      <c r="D7713" s="2" t="str">
        <f t="shared" si="126"/>
        <v>Error?</v>
      </c>
      <c r="E7713" s="2" t="s">
        <v>881</v>
      </c>
    </row>
    <row r="7714" spans="1:6" x14ac:dyDescent="0.2">
      <c r="A7714">
        <v>7653</v>
      </c>
      <c r="B7714" s="138">
        <f>'Rest Tax Levies-Tort Im 25'!K9</f>
        <v>4067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162696</v>
      </c>
      <c r="D7718" s="2" t="str">
        <f t="shared" si="126"/>
        <v>Error?</v>
      </c>
      <c r="E7718" s="2" t="s">
        <v>881</v>
      </c>
    </row>
    <row r="7719" spans="1:6" x14ac:dyDescent="0.2">
      <c r="A7719">
        <v>7658</v>
      </c>
      <c r="B7719" s="138">
        <f>'Rest Tax Levies-Tort Im 25'!K12</f>
        <v>4067</v>
      </c>
      <c r="D7719" s="2" t="str">
        <f t="shared" si="126"/>
        <v>Error?</v>
      </c>
      <c r="E7719" s="2" t="s">
        <v>881</v>
      </c>
    </row>
    <row r="7720" spans="1:6" x14ac:dyDescent="0.2">
      <c r="A7720">
        <v>7659</v>
      </c>
      <c r="B7720" s="138">
        <f>'Rest Tax Levies-Tort Im 25'!H14</f>
        <v>207802</v>
      </c>
      <c r="D7720" s="2" t="str">
        <f t="shared" si="126"/>
        <v>Error?</v>
      </c>
      <c r="E7720" s="2" t="s">
        <v>881</v>
      </c>
    </row>
    <row r="7721" spans="1:6" x14ac:dyDescent="0.2">
      <c r="A7721">
        <v>7660</v>
      </c>
      <c r="B7721" s="138">
        <f>'Rest Tax Levies-Tort Im 25'!K14</f>
        <v>32725</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31688</v>
      </c>
      <c r="D7724" s="2" t="str">
        <f t="shared" si="126"/>
        <v>Error?</v>
      </c>
      <c r="E7724" s="2" t="s">
        <v>881</v>
      </c>
      <c r="F7724" s="2"/>
    </row>
    <row r="7725" spans="1:6" x14ac:dyDescent="0.2">
      <c r="A7725">
        <v>7664</v>
      </c>
      <c r="B7725" s="138">
        <f>'Rest Tax Levies-Tort Im 25'!J19</f>
        <v>115000</v>
      </c>
      <c r="D7725" s="2" t="str">
        <f t="shared" si="126"/>
        <v>Error?</v>
      </c>
      <c r="E7725" s="2" t="s">
        <v>881</v>
      </c>
    </row>
    <row r="7726" spans="1:6" x14ac:dyDescent="0.2">
      <c r="A7726">
        <v>7665</v>
      </c>
      <c r="B7726" s="138">
        <f>'Rest Tax Levies-Tort Im 25'!J20</f>
        <v>1000</v>
      </c>
      <c r="D7726" s="2" t="str">
        <f t="shared" si="126"/>
        <v>Error?</v>
      </c>
      <c r="E7726" s="2" t="s">
        <v>881</v>
      </c>
    </row>
    <row r="7727" spans="1:6" x14ac:dyDescent="0.2">
      <c r="A7727">
        <v>7666</v>
      </c>
      <c r="B7727" s="138">
        <f>'Rest Tax Levies-Tort Im 25'!J21</f>
        <v>147688</v>
      </c>
      <c r="D7727" s="2" t="str">
        <f t="shared" si="126"/>
        <v>Error?</v>
      </c>
      <c r="E7727" s="2" t="s">
        <v>881</v>
      </c>
    </row>
    <row r="7728" spans="1:6" x14ac:dyDescent="0.2">
      <c r="A7728">
        <v>7667</v>
      </c>
      <c r="B7728" s="138">
        <f>'Revenues 9-14'!E103</f>
        <v>75003</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812972</v>
      </c>
      <c r="D7730" s="2" t="str">
        <f t="shared" si="126"/>
        <v>Error?</v>
      </c>
      <c r="E7730" s="2" t="s">
        <v>881</v>
      </c>
    </row>
    <row r="7731" spans="1:6" x14ac:dyDescent="0.2">
      <c r="A7731">
        <v>7670</v>
      </c>
      <c r="B7731" s="138">
        <f>'Revenues 9-14'!H103</f>
        <v>87583</v>
      </c>
      <c r="D7731" s="2" t="str">
        <f t="shared" si="126"/>
        <v>Error?</v>
      </c>
      <c r="E7731" s="2" t="s">
        <v>881</v>
      </c>
    </row>
    <row r="7732" spans="1:6" x14ac:dyDescent="0.2">
      <c r="A7732">
        <v>7671</v>
      </c>
      <c r="B7732" s="138">
        <f>'Rest Tax Levies-Tort Im 25'!J24</f>
        <v>-650276</v>
      </c>
      <c r="D7732" s="2" t="str">
        <f t="shared" si="126"/>
        <v>Error?</v>
      </c>
      <c r="E7732" s="2" t="s">
        <v>881</v>
      </c>
    </row>
    <row r="7733" spans="1:6" x14ac:dyDescent="0.2">
      <c r="A7733">
        <v>7672</v>
      </c>
      <c r="B7733" s="138">
        <f>'Rest Tax Levies-Tort Im 25'!K24</f>
        <v>-28658</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-172877</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-650276</v>
      </c>
      <c r="D7742" s="2" t="str">
        <f t="shared" si="126"/>
        <v>Error?</v>
      </c>
      <c r="E7742" s="2" t="s">
        <v>881</v>
      </c>
    </row>
    <row r="7743" spans="1:6" x14ac:dyDescent="0.2">
      <c r="A7743">
        <v>7682</v>
      </c>
      <c r="B7743" s="138">
        <f>'Rest Tax Levies-Tort Im 25'!K26</f>
        <v>-28658</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665284</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460165</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19" sqref="A19:H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Williamsfield CUSD 210</v>
      </c>
      <c r="B7" s="2405"/>
      <c r="C7" s="2405"/>
      <c r="D7" s="2442"/>
      <c r="E7" s="2443">
        <f>COVER!A13</f>
        <v>33048210026</v>
      </c>
      <c r="F7" s="2444"/>
      <c r="G7" s="2411" t="str">
        <f>COVER!T23</f>
        <v>065-024137</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BLUCKER, KNEER &amp; ASSOCIATES</v>
      </c>
      <c r="H9" s="2418"/>
      <c r="I9" s="2418"/>
      <c r="J9" s="2418"/>
      <c r="K9" s="2418"/>
      <c r="L9" s="2419"/>
    </row>
    <row r="10" spans="1:29" ht="13.5" customHeight="1" x14ac:dyDescent="0.2">
      <c r="A10" s="2401" t="str">
        <f>COVER!A38</f>
        <v>TIM FARQUER</v>
      </c>
      <c r="B10" s="2402"/>
      <c r="C10" s="2402"/>
      <c r="D10" s="2402"/>
      <c r="E10" s="2402"/>
      <c r="F10" s="2403"/>
      <c r="G10" s="2417" t="str">
        <f>COVER!T17</f>
        <v>P.O. BOX 1464</v>
      </c>
      <c r="H10" s="2430"/>
      <c r="I10" s="2430"/>
      <c r="J10" s="2430"/>
      <c r="K10" s="2430"/>
      <c r="L10" s="2431"/>
    </row>
    <row r="11" spans="1:29" ht="13.5" customHeight="1" x14ac:dyDescent="0.2">
      <c r="A11" s="1185" t="s">
        <v>1599</v>
      </c>
      <c r="B11" s="1186"/>
      <c r="C11" s="1187"/>
      <c r="D11" s="1192"/>
      <c r="E11" s="1187"/>
      <c r="F11" s="1191"/>
      <c r="G11" s="2417" t="str">
        <f>COVER!T19</f>
        <v>GALESBURG</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teresabka@gmail.com</v>
      </c>
      <c r="J13" s="2439"/>
      <c r="K13" s="2439"/>
      <c r="L13" s="2440"/>
    </row>
    <row r="14" spans="1:29" ht="13.5" customHeight="1" x14ac:dyDescent="0.2">
      <c r="A14" s="2417" t="str">
        <f>COVER!A19</f>
        <v>325 WEST KENTUCKY</v>
      </c>
      <c r="B14" s="2430"/>
      <c r="C14" s="2430"/>
      <c r="D14" s="2430"/>
      <c r="E14" s="2430"/>
      <c r="F14" s="2431"/>
      <c r="G14" s="1196" t="s">
        <v>1247</v>
      </c>
      <c r="H14" s="1194"/>
      <c r="I14" s="1194"/>
      <c r="J14" s="1194"/>
      <c r="K14" s="1194"/>
      <c r="L14" s="1195"/>
    </row>
    <row r="15" spans="1:29" ht="13.5" customHeight="1" x14ac:dyDescent="0.2">
      <c r="A15" s="2417" t="str">
        <f>COVER!A21</f>
        <v>WILLIAMSFIELD, ILLINOIS</v>
      </c>
      <c r="B15" s="2430"/>
      <c r="C15" s="2430"/>
      <c r="D15" s="2430"/>
      <c r="E15" s="2430"/>
      <c r="F15" s="2431"/>
      <c r="G15" s="2427" t="str">
        <f>COVER!T15</f>
        <v>TERESA A. WELCH</v>
      </c>
      <c r="H15" s="2428"/>
      <c r="I15" s="2428"/>
      <c r="J15" s="2428"/>
      <c r="K15" s="2428"/>
      <c r="L15" s="2429"/>
    </row>
    <row r="16" spans="1:29" ht="12.2" customHeight="1" x14ac:dyDescent="0.2">
      <c r="A16" s="2407">
        <f>COVER!A25</f>
        <v>61489</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309-343-4156</v>
      </c>
      <c r="H18" s="2405"/>
      <c r="I18" s="2405"/>
      <c r="J18" s="2405"/>
      <c r="K18" s="2404" t="str">
        <f>COVER!X21</f>
        <v>309-343-0174</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19" sqref="A19:H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Williamsfield CUSD 210</v>
      </c>
      <c r="B1" s="2441"/>
      <c r="C1" s="2441"/>
      <c r="D1" s="2441"/>
    </row>
    <row r="2" spans="1:11" s="1215" customFormat="1" ht="12.75" x14ac:dyDescent="0.2">
      <c r="A2" s="2446">
        <f>'Single Audit Cover'!E7</f>
        <v>33048210026</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Williamsfield CUSD 210</v>
      </c>
      <c r="B1" s="2449"/>
      <c r="C1" s="2449"/>
      <c r="D1" s="2449"/>
      <c r="E1" s="2449"/>
    </row>
    <row r="2" spans="1:5" x14ac:dyDescent="0.2">
      <c r="A2" s="2450">
        <f>'Single Audit Cover'!E7</f>
        <v>33048210026</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143563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9185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152748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152748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152748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Williamsfield CUSD 210</v>
      </c>
      <c r="B1" s="2454"/>
      <c r="C1" s="2454"/>
      <c r="D1" s="2454"/>
      <c r="E1" s="2454"/>
      <c r="F1" s="2454"/>
    </row>
    <row r="2" spans="1:7" ht="13.5" customHeight="1" x14ac:dyDescent="0.2">
      <c r="A2" s="2455">
        <f>'Single Audit Cover'!E7</f>
        <v>33048210026</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Williamsfield CUSD 210</v>
      </c>
      <c r="C1" s="2466"/>
      <c r="D1" s="2466"/>
      <c r="E1" s="2466"/>
      <c r="F1" s="2466"/>
      <c r="G1" s="2466"/>
      <c r="H1" s="2466"/>
      <c r="I1" s="2466"/>
      <c r="J1" s="2466"/>
      <c r="K1" s="2466"/>
      <c r="L1" s="2466"/>
      <c r="M1" s="2466"/>
    </row>
    <row r="2" spans="2:14" ht="15" x14ac:dyDescent="0.2">
      <c r="B2" s="2455">
        <f>'Single Audit Cover'!E7</f>
        <v>33048210026</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4" t="s">
        <v>1230</v>
      </c>
      <c r="B2" s="2074"/>
      <c r="C2" s="2074"/>
      <c r="D2" s="2074"/>
      <c r="E2" s="2074"/>
      <c r="F2" s="2074"/>
      <c r="G2" s="2074"/>
      <c r="H2" s="2074"/>
      <c r="I2" s="2074"/>
      <c r="J2" s="207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8" t="s">
        <v>1731</v>
      </c>
      <c r="B35" s="2089"/>
      <c r="C35" s="2089"/>
      <c r="D35" s="2089"/>
      <c r="E35" s="2090"/>
      <c r="F35" s="2090"/>
      <c r="G35" s="2090"/>
      <c r="H35" s="2090"/>
      <c r="I35" s="209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8" t="s">
        <v>331</v>
      </c>
      <c r="B47" s="2091"/>
      <c r="C47" s="2091"/>
      <c r="D47" s="2091"/>
      <c r="E47" s="2092"/>
      <c r="F47" s="2092"/>
      <c r="G47" s="2092"/>
      <c r="H47" s="2092"/>
      <c r="I47" s="209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5" t="s">
        <v>2106</v>
      </c>
      <c r="C57" s="2096"/>
      <c r="D57" s="2096"/>
      <c r="E57" s="2096"/>
      <c r="F57" s="2096"/>
      <c r="G57" s="2096"/>
      <c r="H57" s="2096"/>
      <c r="I57" s="2096"/>
      <c r="J57" s="2097"/>
    </row>
    <row r="58" spans="1:10" s="181" customFormat="1" x14ac:dyDescent="0.2">
      <c r="A58" s="253"/>
      <c r="B58" s="2098"/>
      <c r="C58" s="2099"/>
      <c r="D58" s="2099"/>
      <c r="E58" s="2099"/>
      <c r="F58" s="2099"/>
      <c r="G58" s="2099"/>
      <c r="H58" s="2099"/>
      <c r="I58" s="2099"/>
      <c r="J58" s="2100"/>
    </row>
    <row r="59" spans="1:10" s="181" customFormat="1" x14ac:dyDescent="0.2">
      <c r="A59" s="253"/>
      <c r="B59" s="2098"/>
      <c r="C59" s="2099"/>
      <c r="D59" s="2099"/>
      <c r="E59" s="2099"/>
      <c r="F59" s="2099"/>
      <c r="G59" s="2099"/>
      <c r="H59" s="2099"/>
      <c r="I59" s="2099"/>
      <c r="J59" s="2100"/>
    </row>
    <row r="60" spans="1:10" s="181" customFormat="1" x14ac:dyDescent="0.2">
      <c r="A60" s="253"/>
      <c r="B60" s="2098"/>
      <c r="C60" s="2099"/>
      <c r="D60" s="2099"/>
      <c r="E60" s="2099"/>
      <c r="F60" s="2099"/>
      <c r="G60" s="2099"/>
      <c r="H60" s="2099"/>
      <c r="I60" s="2099"/>
      <c r="J60" s="2100"/>
    </row>
    <row r="61" spans="1:10" s="181" customFormat="1" x14ac:dyDescent="0.2">
      <c r="A61" s="253"/>
      <c r="B61" s="2098"/>
      <c r="C61" s="2099"/>
      <c r="D61" s="2099"/>
      <c r="E61" s="2099"/>
      <c r="F61" s="2099"/>
      <c r="G61" s="2099"/>
      <c r="H61" s="2099"/>
      <c r="I61" s="2099"/>
      <c r="J61" s="2100"/>
    </row>
    <row r="62" spans="1:10" s="181" customFormat="1" x14ac:dyDescent="0.2">
      <c r="A62" s="253"/>
      <c r="B62" s="2098"/>
      <c r="C62" s="2099"/>
      <c r="D62" s="2099"/>
      <c r="E62" s="2099"/>
      <c r="F62" s="2099"/>
      <c r="G62" s="2099"/>
      <c r="H62" s="2099"/>
      <c r="I62" s="2099"/>
      <c r="J62" s="2100"/>
    </row>
    <row r="63" spans="1:10" s="181" customFormat="1" x14ac:dyDescent="0.2">
      <c r="A63" s="253"/>
      <c r="B63" s="2098"/>
      <c r="C63" s="2099"/>
      <c r="D63" s="2099"/>
      <c r="E63" s="2099"/>
      <c r="F63" s="2099"/>
      <c r="G63" s="2099"/>
      <c r="H63" s="2099"/>
      <c r="I63" s="2099"/>
      <c r="J63" s="2100"/>
    </row>
    <row r="64" spans="1:10" s="181" customFormat="1" x14ac:dyDescent="0.2">
      <c r="A64" s="253"/>
      <c r="B64" s="2098"/>
      <c r="C64" s="2099"/>
      <c r="D64" s="2099"/>
      <c r="E64" s="2099"/>
      <c r="F64" s="2099"/>
      <c r="G64" s="2099"/>
      <c r="H64" s="2099"/>
      <c r="I64" s="2099"/>
      <c r="J64" s="2100"/>
    </row>
    <row r="65" spans="1:10" s="181" customFormat="1" x14ac:dyDescent="0.2">
      <c r="A65" s="253"/>
      <c r="B65" s="2098"/>
      <c r="C65" s="2099"/>
      <c r="D65" s="2099"/>
      <c r="E65" s="2099"/>
      <c r="F65" s="2099"/>
      <c r="G65" s="2099"/>
      <c r="H65" s="2099"/>
      <c r="I65" s="2099"/>
      <c r="J65" s="2100"/>
    </row>
    <row r="66" spans="1:10" s="181" customFormat="1" x14ac:dyDescent="0.2">
      <c r="A66" s="253"/>
      <c r="B66" s="2098"/>
      <c r="C66" s="2099"/>
      <c r="D66" s="2099"/>
      <c r="E66" s="2099"/>
      <c r="F66" s="2099"/>
      <c r="G66" s="2099"/>
      <c r="H66" s="2099"/>
      <c r="I66" s="2099"/>
      <c r="J66" s="2100"/>
    </row>
    <row r="67" spans="1:10" s="181" customFormat="1" ht="9" customHeight="1" x14ac:dyDescent="0.2">
      <c r="A67" s="254"/>
      <c r="B67" s="2101"/>
      <c r="C67" s="2102"/>
      <c r="D67" s="2102"/>
      <c r="E67" s="2102"/>
      <c r="F67" s="2102"/>
      <c r="G67" s="2102"/>
      <c r="H67" s="2102"/>
      <c r="I67" s="2102"/>
      <c r="J67" s="210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8" t="s">
        <v>1390</v>
      </c>
      <c r="B70" s="2091"/>
      <c r="C70" s="2091"/>
      <c r="D70" s="2091"/>
      <c r="E70" s="2092"/>
      <c r="F70" s="2092"/>
      <c r="G70" s="2092"/>
      <c r="H70" s="2092"/>
      <c r="I70" s="209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3" t="s">
        <v>1387</v>
      </c>
      <c r="B83" s="2093"/>
      <c r="C83" s="2093"/>
      <c r="D83" s="209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5"/>
      <c r="C102" s="2076"/>
      <c r="D102" s="2076"/>
      <c r="E102" s="2076"/>
      <c r="F102" s="2076"/>
      <c r="G102" s="2076"/>
      <c r="H102" s="2076"/>
      <c r="I102" s="2077"/>
    </row>
    <row r="103" spans="1:9" s="181" customFormat="1" ht="11.25" customHeight="1" x14ac:dyDescent="0.2">
      <c r="A103" s="316"/>
      <c r="B103" s="2078"/>
      <c r="C103" s="2079"/>
      <c r="D103" s="2079"/>
      <c r="E103" s="2079"/>
      <c r="F103" s="2079"/>
      <c r="G103" s="2079"/>
      <c r="H103" s="2079"/>
      <c r="I103" s="2080"/>
    </row>
    <row r="104" spans="1:9" s="181" customFormat="1" ht="11.25" customHeight="1" x14ac:dyDescent="0.2">
      <c r="A104" s="316"/>
      <c r="B104" s="2078"/>
      <c r="C104" s="2079"/>
      <c r="D104" s="2079"/>
      <c r="E104" s="2079"/>
      <c r="F104" s="2079"/>
      <c r="G104" s="2079"/>
      <c r="H104" s="2079"/>
      <c r="I104" s="2080"/>
    </row>
    <row r="105" spans="1:9" s="181" customFormat="1" x14ac:dyDescent="0.2">
      <c r="A105" s="316"/>
      <c r="B105" s="2078"/>
      <c r="C105" s="2079"/>
      <c r="D105" s="2079"/>
      <c r="E105" s="2079"/>
      <c r="F105" s="2079"/>
      <c r="G105" s="2079"/>
      <c r="H105" s="2079"/>
      <c r="I105" s="2080"/>
    </row>
    <row r="106" spans="1:9" s="181" customFormat="1" ht="11.25" customHeight="1" x14ac:dyDescent="0.2">
      <c r="A106" s="316"/>
      <c r="B106" s="2078"/>
      <c r="C106" s="2079"/>
      <c r="D106" s="2079"/>
      <c r="E106" s="2079"/>
      <c r="F106" s="2079"/>
      <c r="G106" s="2079"/>
      <c r="H106" s="2079"/>
      <c r="I106" s="2080"/>
    </row>
    <row r="107" spans="1:9" s="181" customFormat="1" ht="11.25" customHeight="1" x14ac:dyDescent="0.2">
      <c r="A107" s="316"/>
      <c r="B107" s="2078"/>
      <c r="C107" s="2079"/>
      <c r="D107" s="2079"/>
      <c r="E107" s="2079"/>
      <c r="F107" s="2079"/>
      <c r="G107" s="2079"/>
      <c r="H107" s="2079"/>
      <c r="I107" s="2080"/>
    </row>
    <row r="108" spans="1:9" s="181" customFormat="1" ht="11.25" customHeight="1" x14ac:dyDescent="0.2">
      <c r="A108" s="316"/>
      <c r="B108" s="2078"/>
      <c r="C108" s="2079"/>
      <c r="D108" s="2079"/>
      <c r="E108" s="2079"/>
      <c r="F108" s="2079"/>
      <c r="G108" s="2079"/>
      <c r="H108" s="2079"/>
      <c r="I108" s="2080"/>
    </row>
    <row r="109" spans="1:9" s="181" customFormat="1" ht="11.25" customHeight="1" x14ac:dyDescent="0.2">
      <c r="A109" s="316"/>
      <c r="B109" s="2078"/>
      <c r="C109" s="2079"/>
      <c r="D109" s="2079"/>
      <c r="E109" s="2079"/>
      <c r="F109" s="2079"/>
      <c r="G109" s="2079"/>
      <c r="H109" s="2079"/>
      <c r="I109" s="2080"/>
    </row>
    <row r="110" spans="1:9" s="181" customFormat="1" ht="11.25" customHeight="1" x14ac:dyDescent="0.2">
      <c r="A110" s="316"/>
      <c r="B110" s="2078"/>
      <c r="C110" s="2079"/>
      <c r="D110" s="2079"/>
      <c r="E110" s="2079"/>
      <c r="F110" s="2079"/>
      <c r="G110" s="2079"/>
      <c r="H110" s="2079"/>
      <c r="I110" s="2080"/>
    </row>
    <row r="111" spans="1:9" s="181" customFormat="1" ht="11.25" customHeight="1" x14ac:dyDescent="0.2">
      <c r="A111" s="316"/>
      <c r="B111" s="2078"/>
      <c r="C111" s="2079"/>
      <c r="D111" s="2079"/>
      <c r="E111" s="2079"/>
      <c r="F111" s="2079"/>
      <c r="G111" s="2079"/>
      <c r="H111" s="2079"/>
      <c r="I111" s="2080"/>
    </row>
    <row r="112" spans="1:9" s="181" customFormat="1" ht="11.25" customHeight="1" x14ac:dyDescent="0.2">
      <c r="A112" s="316"/>
      <c r="B112" s="2081"/>
      <c r="C112" s="2082"/>
      <c r="D112" s="2082"/>
      <c r="E112" s="2082"/>
      <c r="F112" s="2082"/>
      <c r="G112" s="2082"/>
      <c r="H112" s="2082"/>
      <c r="I112" s="208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4" t="s">
        <v>2107</v>
      </c>
      <c r="D114" s="208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5" t="s">
        <v>1397</v>
      </c>
      <c r="D117" s="2086"/>
      <c r="E117" s="2087"/>
      <c r="F117" s="2087"/>
      <c r="G117" s="2087"/>
      <c r="H117" s="2087"/>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evenFooter>&amp;RThe notes to the financial statements are an integral part of this statement.</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19" sqref="A19:H1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Williamsfield CUSD 210</v>
      </c>
      <c r="C1" s="2474"/>
      <c r="D1" s="2474"/>
      <c r="E1" s="2474"/>
      <c r="F1" s="2474"/>
      <c r="G1" s="2474"/>
      <c r="H1" s="2474"/>
      <c r="I1" s="2474"/>
      <c r="J1" s="1422"/>
    </row>
    <row r="2" spans="2:10" s="317" customFormat="1" ht="12.75" customHeight="1" x14ac:dyDescent="0.2">
      <c r="B2" s="2475">
        <f>'Single Audit Cover'!E7</f>
        <v>33048210026</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Williamsfield CUSD 210</v>
      </c>
      <c r="C1" s="2473"/>
      <c r="D1" s="2473"/>
      <c r="E1" s="2473"/>
      <c r="F1" s="2473"/>
      <c r="G1" s="2473"/>
      <c r="H1" s="2473"/>
      <c r="I1" s="2473"/>
      <c r="J1" s="2473"/>
      <c r="K1" s="2473"/>
      <c r="L1" s="1374"/>
      <c r="M1" s="1374"/>
    </row>
    <row r="2" spans="1:13" ht="12" customHeight="1" x14ac:dyDescent="0.2">
      <c r="B2" s="2475">
        <f>'Single Audit Cover'!E7</f>
        <v>33048210026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2009</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2128</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2129</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2130</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2131</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2132</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2133</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2134</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Williamsfield CUSD 210</v>
      </c>
      <c r="C1" s="2473"/>
      <c r="D1" s="2473"/>
      <c r="E1" s="2473"/>
      <c r="F1" s="2473"/>
      <c r="G1" s="2473"/>
      <c r="H1" s="2473"/>
      <c r="I1" s="2473"/>
      <c r="J1" s="2473"/>
      <c r="K1" s="2473"/>
      <c r="L1" s="1374"/>
      <c r="M1" s="1374"/>
    </row>
    <row r="2" spans="1:13" ht="12" customHeight="1" x14ac:dyDescent="0.2">
      <c r="B2" s="2475">
        <f>'Single Audit Cover'!E7</f>
        <v>33048210026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2135</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2136</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2137</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2138</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2139</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2140</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4" zoomScale="110" zoomScaleNormal="110"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Williamsfield CUSD 210</v>
      </c>
      <c r="C1" s="2473"/>
      <c r="D1" s="2473"/>
      <c r="E1" s="2473"/>
      <c r="F1" s="2473"/>
      <c r="G1" s="2473"/>
      <c r="H1" s="2473"/>
      <c r="I1" s="2473"/>
      <c r="J1" s="2473"/>
      <c r="K1" s="2473"/>
      <c r="L1" s="1374"/>
      <c r="M1" s="1374"/>
    </row>
    <row r="2" spans="1:13" ht="12" customHeight="1" x14ac:dyDescent="0.2">
      <c r="B2" s="2475">
        <f>'Single Audit Cover'!E7</f>
        <v>33048210026</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956"/>
      <c r="M3" s="1956"/>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2141</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2142</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2143</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2144</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2147</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2145</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2146</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Williamsfield CUSD 210</v>
      </c>
      <c r="C1" s="2500"/>
      <c r="D1" s="2500"/>
      <c r="E1" s="2500"/>
      <c r="F1" s="2500"/>
      <c r="G1" s="2500"/>
      <c r="H1" s="2500"/>
      <c r="I1" s="2500"/>
      <c r="J1" s="2500"/>
      <c r="K1" s="2500"/>
      <c r="L1" s="1465"/>
    </row>
    <row r="2" spans="1:12" ht="12.75" customHeight="1" x14ac:dyDescent="0.2">
      <c r="B2" s="2501">
        <f>'Single Audit Cover'!E7</f>
        <v>33048210026</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Williamsfield CUSD 210</v>
      </c>
      <c r="C1" s="2473"/>
      <c r="D1" s="2473"/>
      <c r="E1" s="1491"/>
    </row>
    <row r="2" spans="2:5" s="1282" customFormat="1" ht="12.75" customHeight="1" x14ac:dyDescent="0.2">
      <c r="B2" s="2475">
        <f>'Single Audit Cover'!E7</f>
        <v>33048210026</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2152</v>
      </c>
      <c r="C8" s="324" t="s">
        <v>2149</v>
      </c>
      <c r="D8" s="324" t="s">
        <v>2150</v>
      </c>
      <c r="E8" s="324"/>
    </row>
    <row r="9" spans="2:5" ht="13.5" customHeight="1" x14ac:dyDescent="0.2">
      <c r="B9" s="1497"/>
      <c r="C9" s="323"/>
      <c r="D9" s="323" t="s">
        <v>2151</v>
      </c>
      <c r="E9" s="323"/>
    </row>
    <row r="10" spans="2:5" ht="13.5" customHeight="1" x14ac:dyDescent="0.2">
      <c r="B10" s="1496"/>
      <c r="C10" s="323"/>
      <c r="D10" s="323"/>
      <c r="E10" s="323"/>
    </row>
    <row r="11" spans="2:5" ht="13.5" customHeight="1" x14ac:dyDescent="0.2">
      <c r="B11" s="1496" t="s">
        <v>2148</v>
      </c>
      <c r="C11" s="323" t="s">
        <v>2153</v>
      </c>
      <c r="D11" s="324" t="s">
        <v>2150</v>
      </c>
      <c r="E11" s="323"/>
    </row>
    <row r="12" spans="2:5" ht="13.5" customHeight="1" x14ac:dyDescent="0.2">
      <c r="B12" s="1496"/>
      <c r="C12" s="323"/>
      <c r="D12" s="323" t="s">
        <v>2151</v>
      </c>
      <c r="E12" s="323"/>
    </row>
    <row r="13" spans="2:5" ht="13.5" customHeight="1" x14ac:dyDescent="0.2">
      <c r="B13" s="1496"/>
      <c r="C13" s="323"/>
      <c r="D13" s="323"/>
      <c r="E13" s="323"/>
    </row>
    <row r="14" spans="2:5" ht="13.5" customHeight="1" x14ac:dyDescent="0.2">
      <c r="B14" s="1496" t="s">
        <v>2154</v>
      </c>
      <c r="C14" s="323" t="s">
        <v>2155</v>
      </c>
      <c r="D14" s="323" t="s">
        <v>2156</v>
      </c>
      <c r="E14" s="323"/>
    </row>
    <row r="15" spans="2:5" ht="13.5" customHeight="1" x14ac:dyDescent="0.2">
      <c r="B15" s="1496"/>
      <c r="C15" s="323"/>
      <c r="D15" s="323" t="s">
        <v>2157</v>
      </c>
      <c r="E15" s="323"/>
    </row>
    <row r="16" spans="2:5" ht="13.5" customHeight="1" x14ac:dyDescent="0.2">
      <c r="B16" s="1496"/>
      <c r="C16" s="323"/>
      <c r="D16" s="323"/>
      <c r="E16" s="323"/>
    </row>
    <row r="17" spans="2:5" ht="13.5" customHeight="1" x14ac:dyDescent="0.2">
      <c r="B17" s="1496" t="s">
        <v>2158</v>
      </c>
      <c r="C17" s="323" t="s">
        <v>2159</v>
      </c>
      <c r="D17" s="323" t="s">
        <v>2161</v>
      </c>
      <c r="E17" s="323"/>
    </row>
    <row r="18" spans="2:5" ht="13.5" customHeight="1" x14ac:dyDescent="0.2">
      <c r="B18" s="1496"/>
      <c r="C18" s="323" t="s">
        <v>2160</v>
      </c>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4" t="s">
        <v>404</v>
      </c>
      <c r="B1" s="2104"/>
      <c r="C1" s="2104"/>
      <c r="D1" s="2104"/>
      <c r="E1" s="2104"/>
      <c r="F1" s="2104"/>
      <c r="G1" s="2104"/>
      <c r="H1" s="2104"/>
      <c r="I1" s="2104"/>
      <c r="J1" s="2104"/>
      <c r="K1" s="2104"/>
      <c r="L1" s="2104"/>
      <c r="M1" s="210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92111088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3.1375199999999999E-2</v>
      </c>
      <c r="E10" s="356" t="s">
        <v>1062</v>
      </c>
      <c r="F10" s="355">
        <v>4.2341000000000002E-3</v>
      </c>
      <c r="G10" s="356" t="s">
        <v>1062</v>
      </c>
      <c r="H10" s="355">
        <v>1.6285E-3</v>
      </c>
      <c r="I10" s="356" t="s">
        <v>1063</v>
      </c>
      <c r="J10" s="1754">
        <f>ROUND(D10+F10+H10,5)</f>
        <v>3.7240000000000002E-2</v>
      </c>
      <c r="K10" s="222"/>
      <c r="L10" s="355"/>
      <c r="M10" s="222"/>
    </row>
    <row r="11" spans="1:14" ht="7.5" customHeight="1" x14ac:dyDescent="0.2">
      <c r="B11" s="222"/>
      <c r="C11" s="222"/>
      <c r="D11" s="2114" t="str">
        <f>IF(SUM(J10)&lt;=0.0999999,"","Enter the Tax Rates by moving the decimal two places to the left.")</f>
        <v/>
      </c>
      <c r="E11" s="2115"/>
      <c r="F11" s="2115"/>
      <c r="G11" s="2115"/>
      <c r="H11" s="2115"/>
      <c r="I11" s="2115"/>
      <c r="J11" s="211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4424313</v>
      </c>
      <c r="E16" s="356"/>
      <c r="F16" s="1755">
        <f>SUM('Acct Summary 7-8'!C17,'Acct Summary 7-8'!D17,'Acct Summary 7-8'!F17)</f>
        <v>4283851</v>
      </c>
      <c r="G16" s="356"/>
      <c r="H16" s="1755">
        <f>SUM(D16-F16)</f>
        <v>140462</v>
      </c>
      <c r="I16" s="222"/>
      <c r="J16" s="1755">
        <f>SUM('Acct Summary 7-8'!C81,'Acct Summary 7-8'!D81,'Acct Summary 7-8'!F81,'Acct Summary 7-8'!I81)</f>
        <v>3605337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12711330.144000001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710697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5"/>
      <c r="C54" s="2106"/>
      <c r="D54" s="2106"/>
      <c r="E54" s="2106"/>
      <c r="F54" s="2106"/>
      <c r="G54" s="2106"/>
      <c r="H54" s="2106"/>
      <c r="I54" s="2106"/>
      <c r="J54" s="2106"/>
      <c r="K54" s="2106"/>
      <c r="L54" s="2107"/>
      <c r="M54" s="380"/>
    </row>
    <row r="55" spans="1:13" ht="12.75" customHeight="1" x14ac:dyDescent="0.2">
      <c r="B55" s="2108"/>
      <c r="C55" s="2109"/>
      <c r="D55" s="2109"/>
      <c r="E55" s="2109"/>
      <c r="F55" s="2109"/>
      <c r="G55" s="2109"/>
      <c r="H55" s="2109"/>
      <c r="I55" s="2109"/>
      <c r="J55" s="2109"/>
      <c r="K55" s="2109"/>
      <c r="L55" s="2110"/>
      <c r="M55" s="380"/>
    </row>
    <row r="56" spans="1:13" ht="12.75" customHeight="1" x14ac:dyDescent="0.2">
      <c r="B56" s="2108"/>
      <c r="C56" s="2109"/>
      <c r="D56" s="2109"/>
      <c r="E56" s="2109"/>
      <c r="F56" s="2109"/>
      <c r="G56" s="2109"/>
      <c r="H56" s="2109"/>
      <c r="I56" s="2109"/>
      <c r="J56" s="2109"/>
      <c r="K56" s="2109"/>
      <c r="L56" s="2110"/>
      <c r="M56" s="222"/>
    </row>
    <row r="57" spans="1:13" ht="12.75" customHeight="1" x14ac:dyDescent="0.2">
      <c r="B57" s="2108"/>
      <c r="C57" s="2109"/>
      <c r="D57" s="2109"/>
      <c r="E57" s="2109"/>
      <c r="F57" s="2109"/>
      <c r="G57" s="2109"/>
      <c r="H57" s="2109"/>
      <c r="I57" s="2109"/>
      <c r="J57" s="2109"/>
      <c r="K57" s="2109"/>
      <c r="L57" s="2110"/>
      <c r="M57" s="222"/>
    </row>
    <row r="58" spans="1:13" x14ac:dyDescent="0.2">
      <c r="B58" s="2111"/>
      <c r="C58" s="2112"/>
      <c r="D58" s="2112"/>
      <c r="E58" s="2112"/>
      <c r="F58" s="2112"/>
      <c r="G58" s="2112"/>
      <c r="H58" s="2112"/>
      <c r="I58" s="2112"/>
      <c r="J58" s="2112"/>
      <c r="K58" s="2112"/>
      <c r="L58" s="211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6"/>
      <c r="D61" s="211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9"/>
      <c r="B1" s="2120"/>
      <c r="C1" s="2120"/>
      <c r="D1" s="384"/>
      <c r="E1" s="384"/>
      <c r="F1" s="384"/>
      <c r="G1" s="384"/>
      <c r="H1" s="384"/>
      <c r="I1" s="384"/>
      <c r="J1" s="384"/>
      <c r="K1" s="384"/>
      <c r="L1" s="384"/>
      <c r="M1" s="384"/>
      <c r="N1" s="384"/>
      <c r="O1" s="2119"/>
      <c r="P1" s="2120"/>
      <c r="Q1" s="2120"/>
    </row>
    <row r="2" spans="1:18" ht="15" x14ac:dyDescent="0.2">
      <c r="A2" s="2123" t="s">
        <v>577</v>
      </c>
      <c r="B2" s="2123"/>
      <c r="C2" s="2123"/>
      <c r="D2" s="2123"/>
      <c r="E2" s="2123"/>
      <c r="F2" s="2123"/>
      <c r="G2" s="2123"/>
      <c r="H2" s="2123"/>
      <c r="I2" s="2123"/>
      <c r="J2" s="2123"/>
      <c r="K2" s="2123"/>
      <c r="L2" s="2123"/>
      <c r="M2" s="2123"/>
      <c r="N2" s="2123"/>
      <c r="O2" s="2123"/>
      <c r="P2" s="2123"/>
      <c r="Q2" s="2123"/>
      <c r="R2" s="2123"/>
    </row>
    <row r="3" spans="1:18" ht="12.75" x14ac:dyDescent="0.2">
      <c r="A3" s="2124" t="s">
        <v>1480</v>
      </c>
      <c r="B3" s="2124"/>
      <c r="C3" s="2124"/>
      <c r="D3" s="2124"/>
      <c r="E3" s="2124"/>
      <c r="F3" s="2124"/>
      <c r="G3" s="2124"/>
      <c r="H3" s="2124"/>
      <c r="I3" s="2124"/>
      <c r="J3" s="2124"/>
      <c r="K3" s="2124"/>
      <c r="L3" s="2124"/>
      <c r="M3" s="2124"/>
      <c r="N3" s="2124"/>
      <c r="O3" s="2124"/>
      <c r="P3" s="2124"/>
      <c r="Q3" s="2124"/>
      <c r="R3" s="2124"/>
    </row>
    <row r="4" spans="1:18" x14ac:dyDescent="0.2">
      <c r="A4" s="2125" t="s">
        <v>1635</v>
      </c>
      <c r="B4" s="2125"/>
      <c r="C4" s="2125"/>
      <c r="D4" s="2125"/>
      <c r="E4" s="2125"/>
      <c r="F4" s="2125"/>
      <c r="G4" s="2125"/>
      <c r="H4" s="2125"/>
      <c r="I4" s="2125"/>
      <c r="J4" s="2125"/>
      <c r="K4" s="2125"/>
      <c r="L4" s="2125"/>
      <c r="M4" s="2125"/>
      <c r="N4" s="2125"/>
      <c r="O4" s="2125"/>
      <c r="P4" s="2125"/>
      <c r="Q4" s="2125"/>
      <c r="R4" s="212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Williamsfield CUSD 210</v>
      </c>
      <c r="E7" s="391"/>
      <c r="G7" s="252"/>
      <c r="H7" s="387"/>
      <c r="I7" s="387"/>
      <c r="J7" s="387"/>
      <c r="K7" s="387"/>
      <c r="L7" s="329"/>
      <c r="M7" s="329"/>
      <c r="N7" s="329"/>
      <c r="O7" s="329"/>
      <c r="P7" s="329"/>
    </row>
    <row r="8" spans="1:18" ht="12.75" x14ac:dyDescent="0.2">
      <c r="A8" s="329"/>
      <c r="B8" s="329"/>
      <c r="C8" s="389" t="s">
        <v>1187</v>
      </c>
      <c r="D8" s="392">
        <f>COVER!A13</f>
        <v>33048210026</v>
      </c>
      <c r="E8" s="393"/>
      <c r="G8" s="329"/>
      <c r="H8" s="329"/>
      <c r="I8" s="329"/>
      <c r="J8" s="329"/>
      <c r="K8" s="329"/>
      <c r="L8" s="329"/>
      <c r="M8" s="329"/>
      <c r="N8" s="329"/>
      <c r="O8" s="329"/>
      <c r="P8" s="329"/>
    </row>
    <row r="9" spans="1:18" ht="12.75" x14ac:dyDescent="0.2">
      <c r="A9" s="329"/>
      <c r="B9" s="329"/>
      <c r="C9" s="389" t="s">
        <v>737</v>
      </c>
      <c r="D9" s="394" t="str">
        <f>COVER!A15</f>
        <v>KNOX, PEORIA, AND 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3575325</v>
      </c>
      <c r="I12" s="404"/>
      <c r="J12" s="404"/>
      <c r="K12" s="405">
        <f>TRUNC((H12/H13*100000),5)/100000</f>
        <v>0.80810851309999998</v>
      </c>
      <c r="L12" s="406"/>
      <c r="M12" s="360" t="s">
        <v>1206</v>
      </c>
      <c r="N12" s="360"/>
      <c r="O12" s="407">
        <v>0.35</v>
      </c>
      <c r="P12" s="218"/>
      <c r="Q12" s="218"/>
    </row>
    <row r="13" spans="1:18" s="408" customFormat="1" ht="12.75" x14ac:dyDescent="0.2">
      <c r="A13" s="218"/>
      <c r="B13" s="401"/>
      <c r="C13" s="2121" t="s">
        <v>1391</v>
      </c>
      <c r="D13" s="2122"/>
      <c r="E13" s="218"/>
      <c r="F13" s="409" t="s">
        <v>826</v>
      </c>
      <c r="G13" s="402"/>
      <c r="H13" s="403">
        <f>SUM('Acct Summary 7-8'!C8+'Acct Summary 7-8'!D8+'Acct Summary 7-8'!F8+'Acct Summary 7-8'!I8)+H14</f>
        <v>4424313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4283851</v>
      </c>
      <c r="I17" s="404"/>
      <c r="J17" s="416"/>
      <c r="K17" s="405">
        <f>TRUNC((H17/H18*100000),5)/100000</f>
        <v>0.96825224610000005</v>
      </c>
      <c r="L17" s="406"/>
      <c r="M17" s="417" t="s">
        <v>1233</v>
      </c>
      <c r="O17" s="418" t="str">
        <f>IF(AND(O16="2", J20 &gt; 2),"1",IF(AND(O16 = "1", J20 &gt; 2),"2",IF(AND(O16="1", J20 &gt;1),"1","0")))</f>
        <v>0</v>
      </c>
      <c r="P17" s="218"/>
    </row>
    <row r="18" spans="1:18" s="408" customFormat="1" ht="11.25" x14ac:dyDescent="0.2">
      <c r="A18" s="218"/>
      <c r="B18" s="401"/>
      <c r="C18" s="2121" t="s">
        <v>1384</v>
      </c>
      <c r="D18" s="2122"/>
      <c r="E18" s="218"/>
      <c r="F18" s="419" t="s">
        <v>827</v>
      </c>
      <c r="G18" s="402"/>
      <c r="H18" s="403">
        <f>SUM('Acct Summary 7-8'!C8+'Acct Summary 7-8'!D8+'Acct Summary 7-8'!F8+'Acct Summary 7-8'!I8)+H19</f>
        <v>4424313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8" t="s">
        <v>1479</v>
      </c>
      <c r="D24" s="2118"/>
      <c r="E24" s="218"/>
      <c r="F24" s="218" t="s">
        <v>465</v>
      </c>
      <c r="G24" s="402"/>
      <c r="H24" s="403">
        <f>SUM('Assets-Liab 5-6'!C4+'Assets-Liab 5-6'!D4+'Assets-Liab 5-6'!F4+'Assets-Liab 5-6'!I4+'Assets-Liab 5-6'!C5+'Assets-Liab 5-6'!D5+'Assets-Liab 5-6'!F5+'Assets-Liab 5-6'!I5)</f>
        <v>3608888</v>
      </c>
      <c r="I24" s="422"/>
      <c r="J24" s="422"/>
      <c r="K24" s="423">
        <f>TRUNC(((H24/H25*100000)/100000),2)</f>
        <v>303.27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11899.58611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2915684.3795500002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710697</v>
      </c>
      <c r="I32" s="420"/>
      <c r="J32" s="420"/>
      <c r="K32" s="423">
        <f>TRUNC(100-((((H32/H33*100))*100)/100),2)</f>
        <v>94.4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12711330.144000001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0" activePane="bottomLeft" state="frozen"/>
      <selection activeCell="A19" sqref="A19:H19"/>
      <selection pane="bottomLeft"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8" t="s">
        <v>1030</v>
      </c>
      <c r="B3" s="2129"/>
      <c r="C3" s="1581"/>
      <c r="D3" s="1582"/>
      <c r="E3" s="1582"/>
      <c r="F3" s="1582"/>
      <c r="G3" s="1582"/>
      <c r="H3" s="1582"/>
      <c r="I3" s="1582"/>
      <c r="J3" s="1582"/>
      <c r="K3" s="1582"/>
      <c r="L3" s="1582"/>
      <c r="M3" s="1583"/>
      <c r="N3" s="1584"/>
    </row>
    <row r="4" spans="1:14" ht="13.5" customHeight="1" x14ac:dyDescent="0.2">
      <c r="A4" s="463" t="s">
        <v>1750</v>
      </c>
      <c r="B4" s="464"/>
      <c r="C4" s="465">
        <v>1825545</v>
      </c>
      <c r="D4" s="466">
        <v>346231</v>
      </c>
      <c r="E4" s="466">
        <v>4269</v>
      </c>
      <c r="F4" s="466">
        <v>262748</v>
      </c>
      <c r="G4" s="466"/>
      <c r="H4" s="466"/>
      <c r="I4" s="466"/>
      <c r="J4" s="467">
        <v>3115</v>
      </c>
      <c r="K4" s="466">
        <v>40482</v>
      </c>
      <c r="L4" s="466">
        <v>59026</v>
      </c>
      <c r="M4" s="468"/>
      <c r="N4" s="469"/>
    </row>
    <row r="5" spans="1:14" x14ac:dyDescent="0.2">
      <c r="A5" s="463" t="s">
        <v>1049</v>
      </c>
      <c r="B5" s="470">
        <v>120</v>
      </c>
      <c r="C5" s="465">
        <v>636197</v>
      </c>
      <c r="D5" s="466">
        <v>273368</v>
      </c>
      <c r="E5" s="466">
        <v>1</v>
      </c>
      <c r="F5" s="466">
        <v>264799</v>
      </c>
      <c r="G5" s="466"/>
      <c r="H5" s="466"/>
      <c r="I5" s="466"/>
      <c r="J5" s="467">
        <v>735</v>
      </c>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2461742</v>
      </c>
      <c r="D13" s="1759">
        <f t="shared" ref="D13:L13" si="0">SUM(D4:D12)</f>
        <v>619599</v>
      </c>
      <c r="E13" s="1759">
        <f t="shared" si="0"/>
        <v>4270</v>
      </c>
      <c r="F13" s="1759">
        <f t="shared" si="0"/>
        <v>527547</v>
      </c>
      <c r="G13" s="1759">
        <f t="shared" si="0"/>
        <v>0</v>
      </c>
      <c r="H13" s="1759">
        <f t="shared" si="0"/>
        <v>0</v>
      </c>
      <c r="I13" s="1759">
        <f t="shared" si="0"/>
        <v>0</v>
      </c>
      <c r="J13" s="1759">
        <f t="shared" si="0"/>
        <v>3850</v>
      </c>
      <c r="K13" s="1759">
        <f t="shared" si="0"/>
        <v>40482</v>
      </c>
      <c r="L13" s="1759">
        <f t="shared" si="0"/>
        <v>59026</v>
      </c>
      <c r="M13" s="468"/>
      <c r="N13" s="469"/>
    </row>
    <row r="14" spans="1:14" ht="18" customHeight="1" thickTop="1" x14ac:dyDescent="0.2">
      <c r="A14" s="2130" t="s">
        <v>149</v>
      </c>
      <c r="B14" s="2131"/>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22782</v>
      </c>
      <c r="N16" s="484"/>
    </row>
    <row r="17" spans="1:14" s="485" customFormat="1" ht="12.75" customHeight="1" x14ac:dyDescent="0.2">
      <c r="A17" s="482" t="s">
        <v>1470</v>
      </c>
      <c r="B17" s="483">
        <v>230</v>
      </c>
      <c r="C17" s="477"/>
      <c r="D17" s="477"/>
      <c r="E17" s="477"/>
      <c r="F17" s="477"/>
      <c r="G17" s="477"/>
      <c r="H17" s="477"/>
      <c r="I17" s="477"/>
      <c r="J17" s="477"/>
      <c r="K17" s="477"/>
      <c r="L17" s="477"/>
      <c r="M17" s="467">
        <v>4133502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1108719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4270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706427</v>
      </c>
    </row>
    <row r="23" spans="1:14" ht="13.5" customHeight="1" thickBot="1" x14ac:dyDescent="0.25">
      <c r="A23" s="1758" t="s">
        <v>664</v>
      </c>
      <c r="B23" s="1763"/>
      <c r="C23" s="468"/>
      <c r="D23" s="468"/>
      <c r="E23" s="468"/>
      <c r="F23" s="468"/>
      <c r="G23" s="468"/>
      <c r="H23" s="468"/>
      <c r="I23" s="468"/>
      <c r="J23" s="468"/>
      <c r="K23" s="468"/>
      <c r="L23" s="468"/>
      <c r="M23" s="1710">
        <f>SUM(M15:M22)</f>
        <v>5265003</v>
      </c>
      <c r="N23" s="1710">
        <f>SUM(N21:N22)</f>
        <v>710697</v>
      </c>
    </row>
    <row r="24" spans="1:14" ht="18" customHeight="1" thickTop="1" x14ac:dyDescent="0.2">
      <c r="A24" s="2132" t="s">
        <v>619</v>
      </c>
      <c r="B24" s="2133"/>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v>30012</v>
      </c>
      <c r="H26" s="467">
        <v>16760</v>
      </c>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3551</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59026</v>
      </c>
      <c r="M33" s="468"/>
      <c r="N33" s="469"/>
    </row>
    <row r="34" spans="1:14" ht="13.5" customHeight="1" thickBot="1" x14ac:dyDescent="0.25">
      <c r="A34" s="1760" t="s">
        <v>675</v>
      </c>
      <c r="B34" s="1761"/>
      <c r="C34" s="1762">
        <f>SUM(C25:C33)</f>
        <v>3551</v>
      </c>
      <c r="D34" s="1762">
        <f t="shared" ref="D34:K34" si="1">SUM(D25:D33)</f>
        <v>0</v>
      </c>
      <c r="E34" s="1762">
        <f t="shared" si="1"/>
        <v>0</v>
      </c>
      <c r="F34" s="1762">
        <f t="shared" si="1"/>
        <v>0</v>
      </c>
      <c r="G34" s="1762">
        <f t="shared" si="1"/>
        <v>30012</v>
      </c>
      <c r="H34" s="1762">
        <f t="shared" si="1"/>
        <v>16760</v>
      </c>
      <c r="I34" s="1762">
        <f t="shared" si="1"/>
        <v>0</v>
      </c>
      <c r="J34" s="1762">
        <f t="shared" si="1"/>
        <v>0</v>
      </c>
      <c r="K34" s="1762">
        <f t="shared" si="1"/>
        <v>0</v>
      </c>
      <c r="L34" s="1743">
        <f>SUM(L33)</f>
        <v>59026</v>
      </c>
      <c r="M34" s="468"/>
      <c r="N34" s="480"/>
    </row>
    <row r="35" spans="1:14" ht="18" customHeight="1" thickTop="1" x14ac:dyDescent="0.2">
      <c r="A35" s="2134" t="s">
        <v>550</v>
      </c>
      <c r="B35" s="2135"/>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710697</v>
      </c>
    </row>
    <row r="37" spans="1:14" ht="13.5" thickBot="1" x14ac:dyDescent="0.25">
      <c r="A37" s="1758" t="s">
        <v>674</v>
      </c>
      <c r="B37" s="1763"/>
      <c r="C37" s="477"/>
      <c r="D37" s="477"/>
      <c r="E37" s="477"/>
      <c r="F37" s="477"/>
      <c r="G37" s="477"/>
      <c r="H37" s="477"/>
      <c r="I37" s="477"/>
      <c r="J37" s="477"/>
      <c r="K37" s="477"/>
      <c r="L37" s="480"/>
      <c r="M37" s="468"/>
      <c r="N37" s="1710">
        <f>SUM(N36:N36)</f>
        <v>710697</v>
      </c>
    </row>
    <row r="38" spans="1:14" s="329" customFormat="1" ht="13.5" customHeight="1" thickTop="1" x14ac:dyDescent="0.2">
      <c r="A38" s="496" t="s">
        <v>440</v>
      </c>
      <c r="B38" s="483">
        <v>714</v>
      </c>
      <c r="C38" s="466">
        <v>37907</v>
      </c>
      <c r="D38" s="466"/>
      <c r="E38" s="466"/>
      <c r="F38" s="466"/>
      <c r="G38" s="466">
        <v>-30012</v>
      </c>
      <c r="H38" s="466"/>
      <c r="I38" s="466"/>
      <c r="J38" s="467"/>
      <c r="K38" s="466"/>
      <c r="L38" s="481"/>
      <c r="M38" s="497"/>
      <c r="N38" s="497"/>
    </row>
    <row r="39" spans="1:14" s="329" customFormat="1" ht="13.5" customHeight="1" x14ac:dyDescent="0.2">
      <c r="A39" s="496" t="s">
        <v>360</v>
      </c>
      <c r="B39" s="483">
        <v>730</v>
      </c>
      <c r="C39" s="466">
        <v>2420284</v>
      </c>
      <c r="D39" s="466">
        <v>619599</v>
      </c>
      <c r="E39" s="466">
        <v>4270</v>
      </c>
      <c r="F39" s="466">
        <v>527547</v>
      </c>
      <c r="G39" s="466"/>
      <c r="H39" s="466">
        <v>-16760</v>
      </c>
      <c r="I39" s="466"/>
      <c r="J39" s="467">
        <v>3850</v>
      </c>
      <c r="K39" s="466">
        <v>40482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5265003</v>
      </c>
      <c r="N40" s="497"/>
    </row>
    <row r="41" spans="1:14" ht="13.5" customHeight="1" thickBot="1" x14ac:dyDescent="0.25">
      <c r="A41" s="1758" t="s">
        <v>676</v>
      </c>
      <c r="B41" s="1728"/>
      <c r="C41" s="1710">
        <f>(SUM(C34,C37,C38,C39))</f>
        <v>2461742</v>
      </c>
      <c r="D41" s="1710">
        <f t="shared" ref="D41:L41" si="2">SUM(D34,D37,D38:D39)</f>
        <v>619599</v>
      </c>
      <c r="E41" s="1710">
        <f t="shared" si="2"/>
        <v>4270</v>
      </c>
      <c r="F41" s="1710">
        <f t="shared" si="2"/>
        <v>527547</v>
      </c>
      <c r="G41" s="1710">
        <f t="shared" si="2"/>
        <v>0</v>
      </c>
      <c r="H41" s="1710">
        <f t="shared" si="2"/>
        <v>0</v>
      </c>
      <c r="I41" s="1710">
        <f t="shared" si="2"/>
        <v>0</v>
      </c>
      <c r="J41" s="1710">
        <f t="shared" si="2"/>
        <v>3850</v>
      </c>
      <c r="K41" s="1710">
        <f t="shared" si="2"/>
        <v>40482</v>
      </c>
      <c r="L41" s="1710">
        <f t="shared" si="2"/>
        <v>59026</v>
      </c>
      <c r="M41" s="1710">
        <f>SUM(M40)</f>
        <v>5265003</v>
      </c>
      <c r="N41" s="1710">
        <f>SUM(N37)</f>
        <v>710697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19" sqref="A19:H19"/>
      <selection pane="bottomLeft"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6" t="s">
        <v>1237</v>
      </c>
      <c r="B3" s="2157"/>
      <c r="C3" s="1595"/>
      <c r="D3" s="1596"/>
      <c r="E3" s="1596"/>
      <c r="F3" s="1596"/>
      <c r="G3" s="1596"/>
      <c r="H3" s="1596"/>
      <c r="I3" s="1596"/>
      <c r="J3" s="1596"/>
      <c r="K3" s="1597"/>
      <c r="L3" s="506"/>
    </row>
    <row r="4" spans="1:13" ht="15.75" customHeight="1" x14ac:dyDescent="0.2">
      <c r="A4" s="1954" t="s">
        <v>1579</v>
      </c>
      <c r="B4" s="1955">
        <v>1000</v>
      </c>
      <c r="C4" s="1764">
        <f>'Revenues 9-14'!C109</f>
        <v>3152582</v>
      </c>
      <c r="D4" s="1764">
        <f>'Revenues 9-14'!D109</f>
        <v>438508</v>
      </c>
      <c r="E4" s="1764">
        <f>'Revenues 9-14'!E109</f>
        <v>75031</v>
      </c>
      <c r="F4" s="1764">
        <f>'Revenues 9-14'!F109</f>
        <v>131893</v>
      </c>
      <c r="G4" s="1764">
        <f>'Revenues 9-14'!G109</f>
        <v>220914</v>
      </c>
      <c r="H4" s="1764">
        <f>'Revenues 9-14'!H109</f>
        <v>87664</v>
      </c>
      <c r="I4" s="1764">
        <f>'Revenues 9-14'!I109</f>
        <v>0</v>
      </c>
      <c r="J4" s="1764">
        <f>'Revenues 9-14'!J109</f>
        <v>81214</v>
      </c>
      <c r="K4" s="1764">
        <f>'Revenues 9-14'!K109</f>
        <v>31</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434307</v>
      </c>
      <c r="D6" s="1765">
        <f>'Revenues 9-14'!D173</f>
        <v>0</v>
      </c>
      <c r="E6" s="1765">
        <f>'Revenues 9-14'!E173</f>
        <v>0</v>
      </c>
      <c r="F6" s="1765">
        <f>'Revenues 9-14'!F173</f>
        <v>123460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143563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3730452</v>
      </c>
      <c r="D8" s="1710">
        <f t="shared" ref="D8:K8" si="0">SUM(D4:D7)</f>
        <v>438508</v>
      </c>
      <c r="E8" s="1710">
        <f t="shared" si="0"/>
        <v>75031</v>
      </c>
      <c r="F8" s="1710">
        <f t="shared" si="0"/>
        <v>255353</v>
      </c>
      <c r="G8" s="1710">
        <f t="shared" si="0"/>
        <v>220914</v>
      </c>
      <c r="H8" s="1710">
        <f t="shared" si="0"/>
        <v>87664</v>
      </c>
      <c r="I8" s="1710">
        <f t="shared" si="0"/>
        <v>0</v>
      </c>
      <c r="J8" s="1710">
        <f t="shared" si="0"/>
        <v>81214</v>
      </c>
      <c r="K8" s="1710">
        <f t="shared" si="0"/>
        <v>31</v>
      </c>
      <c r="L8" s="347"/>
    </row>
    <row r="9" spans="1:13" ht="15.75" thickTop="1" x14ac:dyDescent="0.2">
      <c r="A9" s="514" t="s">
        <v>1752</v>
      </c>
      <c r="B9" s="515">
        <v>3998</v>
      </c>
      <c r="C9" s="481">
        <v>1177117</v>
      </c>
      <c r="D9" s="516"/>
      <c r="E9" s="481"/>
      <c r="F9" s="481"/>
      <c r="G9" s="517"/>
      <c r="H9" s="481"/>
      <c r="I9" s="509" t="s">
        <v>1231</v>
      </c>
      <c r="J9" s="478"/>
      <c r="K9" s="481"/>
      <c r="L9" s="347"/>
    </row>
    <row r="10" spans="1:13" s="519" customFormat="1" ht="13.5" thickBot="1" x14ac:dyDescent="0.25">
      <c r="A10" s="1758" t="s">
        <v>1235</v>
      </c>
      <c r="B10" s="1731"/>
      <c r="C10" s="1710">
        <f>SUM(C8:C9)</f>
        <v>4907569</v>
      </c>
      <c r="D10" s="1710">
        <f t="shared" ref="D10:K10" si="1">SUM(D8:D9)</f>
        <v>438508</v>
      </c>
      <c r="E10" s="1710">
        <f t="shared" si="1"/>
        <v>75031</v>
      </c>
      <c r="F10" s="1710">
        <f t="shared" si="1"/>
        <v>255353</v>
      </c>
      <c r="G10" s="1710">
        <f t="shared" si="1"/>
        <v>220914</v>
      </c>
      <c r="H10" s="1710">
        <f t="shared" si="1"/>
        <v>87664</v>
      </c>
      <c r="I10" s="1710">
        <f t="shared" si="1"/>
        <v>0</v>
      </c>
      <c r="J10" s="1710">
        <f t="shared" si="1"/>
        <v>81214</v>
      </c>
      <c r="K10" s="1710">
        <f t="shared" si="1"/>
        <v>31</v>
      </c>
      <c r="L10" s="518"/>
    </row>
    <row r="11" spans="1:13" s="519" customFormat="1" ht="16.7" customHeight="1" thickTop="1" x14ac:dyDescent="0.2">
      <c r="A11" s="2130" t="s">
        <v>1238</v>
      </c>
      <c r="B11" s="2131"/>
      <c r="C11" s="1592"/>
      <c r="D11" s="1593"/>
      <c r="E11" s="1593"/>
      <c r="F11" s="1593"/>
      <c r="G11" s="1593"/>
      <c r="H11" s="1593"/>
      <c r="I11" s="1593"/>
      <c r="J11" s="1593"/>
      <c r="K11" s="1594"/>
      <c r="L11" s="518"/>
    </row>
    <row r="12" spans="1:13" ht="15.75" customHeight="1" x14ac:dyDescent="0.2">
      <c r="A12" s="1598" t="s">
        <v>476</v>
      </c>
      <c r="B12" s="1600">
        <v>1000</v>
      </c>
      <c r="C12" s="1764">
        <f>'Expenditures 15-22'!K33</f>
        <v>2364498</v>
      </c>
      <c r="D12" s="520" t="s">
        <v>1231</v>
      </c>
      <c r="E12" s="468" t="s">
        <v>1231</v>
      </c>
      <c r="F12" s="468" t="s">
        <v>1231</v>
      </c>
      <c r="G12" s="1764">
        <f>'Expenditures 15-22'!K229</f>
        <v>65934</v>
      </c>
      <c r="H12" s="521"/>
      <c r="I12" s="468" t="s">
        <v>1231</v>
      </c>
      <c r="J12" s="468" t="s">
        <v>1231</v>
      </c>
      <c r="K12" s="521" t="s">
        <v>1231</v>
      </c>
      <c r="L12" s="347"/>
    </row>
    <row r="13" spans="1:13" ht="15.75" customHeight="1" x14ac:dyDescent="0.2">
      <c r="A13" s="1598" t="s">
        <v>477</v>
      </c>
      <c r="B13" s="1600">
        <v>2000</v>
      </c>
      <c r="C13" s="1765">
        <f>'Expenditures 15-22'!K74</f>
        <v>925505</v>
      </c>
      <c r="D13" s="1765">
        <f>'Expenditures 15-22'!K129</f>
        <v>638729</v>
      </c>
      <c r="E13" s="469" t="s">
        <v>1231</v>
      </c>
      <c r="F13" s="1765">
        <f>'Expenditures 15-22'!K184</f>
        <v>301509</v>
      </c>
      <c r="G13" s="1765">
        <f>'Expenditures 15-22'!K279</f>
        <v>133062</v>
      </c>
      <c r="H13" s="1765">
        <f>'Expenditures 15-22'!K303</f>
        <v>665284</v>
      </c>
      <c r="I13" s="468" t="s">
        <v>1231</v>
      </c>
      <c r="J13" s="1765">
        <f>'Expenditures 15-22'!K330</f>
        <v>73177</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53610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147688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3343613</v>
      </c>
      <c r="D17" s="1710">
        <f t="shared" si="2"/>
        <v>638729</v>
      </c>
      <c r="E17" s="1710">
        <f t="shared" si="2"/>
        <v>147688</v>
      </c>
      <c r="F17" s="1710">
        <f t="shared" si="2"/>
        <v>301509</v>
      </c>
      <c r="G17" s="1710">
        <f t="shared" si="2"/>
        <v>198996</v>
      </c>
      <c r="H17" s="1710">
        <f t="shared" si="2"/>
        <v>665284</v>
      </c>
      <c r="I17" s="468"/>
      <c r="J17" s="1710">
        <f>SUM(J12:J16)</f>
        <v>73177</v>
      </c>
      <c r="K17" s="1710">
        <f>SUM(K12:K16)</f>
        <v>0</v>
      </c>
      <c r="L17" s="347"/>
    </row>
    <row r="18" spans="1:12" ht="15" customHeight="1" thickTop="1" x14ac:dyDescent="0.2">
      <c r="A18" s="1766" t="s">
        <v>1753</v>
      </c>
      <c r="B18" s="1767">
        <v>4180</v>
      </c>
      <c r="C18" s="1764">
        <f t="shared" ref="C18:H18" si="3">C9</f>
        <v>1177117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4520730</v>
      </c>
      <c r="D19" s="1710">
        <f t="shared" si="4"/>
        <v>638729</v>
      </c>
      <c r="E19" s="1710">
        <f t="shared" si="4"/>
        <v>147688</v>
      </c>
      <c r="F19" s="1710">
        <f t="shared" si="4"/>
        <v>301509</v>
      </c>
      <c r="G19" s="1710">
        <f t="shared" si="4"/>
        <v>198996</v>
      </c>
      <c r="H19" s="1710">
        <f t="shared" si="4"/>
        <v>665284</v>
      </c>
      <c r="I19" s="468"/>
      <c r="J19" s="1710">
        <f>SUM(J17:J18)</f>
        <v>73177</v>
      </c>
      <c r="K19" s="1710">
        <f>SUM(K17:K18)</f>
        <v>0</v>
      </c>
      <c r="L19" s="347"/>
    </row>
    <row r="20" spans="1:12" ht="16.5" thickTop="1" thickBot="1" x14ac:dyDescent="0.25">
      <c r="A20" s="2146" t="s">
        <v>1754</v>
      </c>
      <c r="B20" s="2147"/>
      <c r="C20" s="1768">
        <f>C8-C17</f>
        <v>386839</v>
      </c>
      <c r="D20" s="1768">
        <f t="shared" ref="D20:K20" si="5">D8-D17</f>
        <v>-200221</v>
      </c>
      <c r="E20" s="1768">
        <f t="shared" si="5"/>
        <v>-72657</v>
      </c>
      <c r="F20" s="1768">
        <f t="shared" si="5"/>
        <v>-46156</v>
      </c>
      <c r="G20" s="1768">
        <f t="shared" si="5"/>
        <v>21918</v>
      </c>
      <c r="H20" s="1768">
        <f t="shared" si="5"/>
        <v>-577620</v>
      </c>
      <c r="I20" s="1768">
        <f t="shared" si="5"/>
        <v>0</v>
      </c>
      <c r="J20" s="1768">
        <f t="shared" si="5"/>
        <v>8037</v>
      </c>
      <c r="K20" s="1768">
        <f t="shared" si="5"/>
        <v>31</v>
      </c>
      <c r="L20" s="347"/>
    </row>
    <row r="21" spans="1:12" ht="16.7" customHeight="1" thickTop="1" x14ac:dyDescent="0.2">
      <c r="A21" s="2158" t="s">
        <v>616</v>
      </c>
      <c r="B21" s="2159"/>
      <c r="C21" s="1592"/>
      <c r="D21" s="1593"/>
      <c r="E21" s="1593"/>
      <c r="F21" s="1593"/>
      <c r="G21" s="1593"/>
      <c r="H21" s="1593"/>
      <c r="I21" s="1593"/>
      <c r="J21" s="1593"/>
      <c r="K21" s="1594"/>
      <c r="L21" s="524"/>
    </row>
    <row r="22" spans="1:12" ht="15.75" customHeight="1" collapsed="1" x14ac:dyDescent="0.2">
      <c r="A22" s="2154" t="s">
        <v>617</v>
      </c>
      <c r="B22" s="2155"/>
      <c r="C22" s="477"/>
      <c r="D22" s="477"/>
      <c r="E22" s="477"/>
      <c r="F22" s="477"/>
      <c r="G22" s="477"/>
      <c r="H22" s="477"/>
      <c r="I22" s="477"/>
      <c r="J22" s="477"/>
      <c r="K22" s="477"/>
      <c r="L22" s="347"/>
    </row>
    <row r="23" spans="1:12" s="485" customFormat="1" ht="15.75" customHeight="1" x14ac:dyDescent="0.2">
      <c r="A23" s="2150" t="s">
        <v>311</v>
      </c>
      <c r="B23" s="2151"/>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v>50000</v>
      </c>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2" t="s">
        <v>1038</v>
      </c>
      <c r="B32" s="2153"/>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25">
        <f>SUM(C24:C43)</f>
        <v>0</v>
      </c>
      <c r="D44" s="1725">
        <f t="shared" ref="D44:K44" si="6">SUM(D24:D43)</f>
        <v>50000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4" t="s">
        <v>110</v>
      </c>
      <c r="B45" s="2155"/>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50000</v>
      </c>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6" t="s">
        <v>460</v>
      </c>
      <c r="B76" s="2137"/>
      <c r="C76" s="1725">
        <f t="shared" ref="C76:K76" si="7">SUM(C47:C75)</f>
        <v>50000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8" t="s">
        <v>1239</v>
      </c>
      <c r="B77" s="2139"/>
      <c r="C77" s="1725">
        <f t="shared" ref="C77:K77" si="8">C44-C76</f>
        <v>-50000</v>
      </c>
      <c r="D77" s="1725">
        <f t="shared" si="8"/>
        <v>50000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2" t="s">
        <v>618</v>
      </c>
      <c r="B78" s="2143"/>
      <c r="C78" s="1724">
        <f t="shared" ref="C78:K78" si="9">C20+C77</f>
        <v>336839</v>
      </c>
      <c r="D78" s="1724">
        <f t="shared" si="9"/>
        <v>-150221</v>
      </c>
      <c r="E78" s="1724">
        <f t="shared" si="9"/>
        <v>-72657</v>
      </c>
      <c r="F78" s="1724">
        <f t="shared" si="9"/>
        <v>-46156</v>
      </c>
      <c r="G78" s="1724">
        <f t="shared" si="9"/>
        <v>21918</v>
      </c>
      <c r="H78" s="1724">
        <f t="shared" si="9"/>
        <v>-577620</v>
      </c>
      <c r="I78" s="1724">
        <f t="shared" si="9"/>
        <v>0</v>
      </c>
      <c r="J78" s="1724">
        <f t="shared" si="9"/>
        <v>8037</v>
      </c>
      <c r="K78" s="1724">
        <f t="shared" si="9"/>
        <v>31</v>
      </c>
      <c r="L78" s="533"/>
    </row>
    <row r="79" spans="1:12" ht="13.5" thickTop="1" x14ac:dyDescent="0.2">
      <c r="A79" s="1516" t="s">
        <v>2073</v>
      </c>
      <c r="B79" s="534"/>
      <c r="C79" s="478">
        <v>2121352</v>
      </c>
      <c r="D79" s="535">
        <v>769820</v>
      </c>
      <c r="E79" s="535">
        <v>76927</v>
      </c>
      <c r="F79" s="535">
        <v>573703</v>
      </c>
      <c r="G79" s="535">
        <v>-51930</v>
      </c>
      <c r="H79" s="535">
        <v>560860</v>
      </c>
      <c r="I79" s="535"/>
      <c r="J79" s="535">
        <v>-4187</v>
      </c>
      <c r="K79" s="535">
        <v>40451</v>
      </c>
      <c r="L79" s="347"/>
    </row>
    <row r="80" spans="1:12" x14ac:dyDescent="0.2">
      <c r="A80" s="2148" t="s">
        <v>1898</v>
      </c>
      <c r="B80" s="2149"/>
      <c r="C80" s="467"/>
      <c r="D80" s="467"/>
      <c r="E80" s="467"/>
      <c r="F80" s="467"/>
      <c r="G80" s="467"/>
      <c r="H80" s="467"/>
      <c r="I80" s="467"/>
      <c r="J80" s="467"/>
      <c r="K80" s="467"/>
      <c r="L80" s="347"/>
    </row>
    <row r="81" spans="1:12" ht="13.5" thickBot="1" x14ac:dyDescent="0.25">
      <c r="A81" s="2140" t="s">
        <v>2074</v>
      </c>
      <c r="B81" s="2141"/>
      <c r="C81" s="1710">
        <f>(SUM(C78:C80))</f>
        <v>2458191</v>
      </c>
      <c r="D81" s="1710">
        <f>SUM(D78:D80)</f>
        <v>619599</v>
      </c>
      <c r="E81" s="1710">
        <f t="shared" ref="E81:K81" si="10">SUM(E78:E80)</f>
        <v>4270</v>
      </c>
      <c r="F81" s="1710">
        <f t="shared" si="10"/>
        <v>527547</v>
      </c>
      <c r="G81" s="1710">
        <f t="shared" si="10"/>
        <v>-30012</v>
      </c>
      <c r="H81" s="1710">
        <f t="shared" si="10"/>
        <v>-16760</v>
      </c>
      <c r="I81" s="1710">
        <f t="shared" si="10"/>
        <v>0</v>
      </c>
      <c r="J81" s="1710">
        <f t="shared" si="10"/>
        <v>3850</v>
      </c>
      <c r="K81" s="1710">
        <f t="shared" si="10"/>
        <v>40482</v>
      </c>
      <c r="L81" s="347"/>
    </row>
    <row r="82" spans="1:12" ht="0.75" customHeight="1" thickTop="1" thickBot="1" x14ac:dyDescent="0.25">
      <c r="A82" s="536" t="s">
        <v>361</v>
      </c>
      <c r="B82" s="537"/>
      <c r="C82" s="538">
        <f>(C81-C79)</f>
        <v>336839</v>
      </c>
      <c r="D82" s="538">
        <f t="shared" ref="D82:K82" si="11">(D81-D79)</f>
        <v>-150221</v>
      </c>
      <c r="E82" s="538">
        <f t="shared" si="11"/>
        <v>-72657</v>
      </c>
      <c r="F82" s="538">
        <f t="shared" si="11"/>
        <v>-46156</v>
      </c>
      <c r="G82" s="538">
        <f t="shared" si="11"/>
        <v>21918</v>
      </c>
      <c r="H82" s="538">
        <f t="shared" si="11"/>
        <v>-577620</v>
      </c>
      <c r="I82" s="538">
        <f t="shared" si="11"/>
        <v>0</v>
      </c>
      <c r="J82" s="538">
        <f t="shared" si="11"/>
        <v>8037</v>
      </c>
      <c r="K82" s="538">
        <f t="shared" si="11"/>
        <v>31</v>
      </c>
    </row>
    <row r="83" spans="1:12" ht="14.25" hidden="1" thickTop="1" thickBot="1" x14ac:dyDescent="0.25">
      <c r="A83" s="539" t="s">
        <v>362</v>
      </c>
      <c r="B83" s="464"/>
      <c r="C83" s="540">
        <f>C82/C81</f>
        <v>0.13702718787921686</v>
      </c>
      <c r="D83" s="540">
        <f t="shared" ref="D83:K83" si="12">D82/D81</f>
        <v>-0.24244874507544395</v>
      </c>
      <c r="E83" s="540">
        <f t="shared" si="12"/>
        <v>-17.015690866510539</v>
      </c>
      <c r="F83" s="540">
        <f t="shared" si="12"/>
        <v>-8.749173059462001E-2</v>
      </c>
      <c r="G83" s="540">
        <f t="shared" si="12"/>
        <v>-0.73030787684926035</v>
      </c>
      <c r="H83" s="540">
        <f t="shared" si="12"/>
        <v>34.464200477326969</v>
      </c>
      <c r="I83" s="540" t="e">
        <f t="shared" si="12"/>
        <v>#DIV/0!</v>
      </c>
      <c r="J83" s="540">
        <f t="shared" si="12"/>
        <v>2.0875324675324674</v>
      </c>
      <c r="K83" s="540">
        <f t="shared" si="12"/>
        <v>7.6577244207302008E-4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29" activePane="bottomLeft" state="frozen"/>
      <selection activeCell="A19" sqref="A19:H19"/>
      <selection pane="bottomLeft" activeCell="A19" sqref="A19:H1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4" t="s">
        <v>1905</v>
      </c>
      <c r="B1" s="452"/>
      <c r="C1" s="453" t="s">
        <v>445</v>
      </c>
      <c r="D1" s="453" t="s">
        <v>446</v>
      </c>
      <c r="E1" s="453" t="s">
        <v>447</v>
      </c>
      <c r="F1" s="453" t="s">
        <v>448</v>
      </c>
      <c r="G1" s="453" t="s">
        <v>449</v>
      </c>
      <c r="H1" s="453" t="s">
        <v>450</v>
      </c>
      <c r="I1" s="453" t="s">
        <v>451</v>
      </c>
      <c r="J1" s="453" t="s">
        <v>452</v>
      </c>
      <c r="K1" s="453" t="s">
        <v>780</v>
      </c>
    </row>
    <row r="2" spans="1:12" ht="36" x14ac:dyDescent="0.2">
      <c r="A2" s="214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2912968</v>
      </c>
      <c r="D5" s="481">
        <v>381502</v>
      </c>
      <c r="E5" s="466"/>
      <c r="F5" s="548">
        <v>131644</v>
      </c>
      <c r="G5" s="466">
        <v>109705</v>
      </c>
      <c r="H5" s="466"/>
      <c r="I5" s="466"/>
      <c r="J5" s="467">
        <v>81212</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34925</v>
      </c>
      <c r="D7" s="466"/>
      <c r="E7" s="468"/>
      <c r="F7" s="467"/>
      <c r="G7" s="467"/>
      <c r="H7" s="467"/>
      <c r="I7" s="468"/>
      <c r="J7" s="468"/>
      <c r="K7" s="468"/>
    </row>
    <row r="8" spans="1:12" x14ac:dyDescent="0.2">
      <c r="A8" s="463" t="s">
        <v>433</v>
      </c>
      <c r="B8" s="470">
        <v>1150</v>
      </c>
      <c r="C8" s="475"/>
      <c r="D8" s="475"/>
      <c r="E8" s="477"/>
      <c r="F8" s="477"/>
      <c r="G8" s="481">
        <v>108209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2947893</v>
      </c>
      <c r="D12" s="1729">
        <f t="shared" si="0"/>
        <v>381502</v>
      </c>
      <c r="E12" s="1729">
        <f t="shared" si="0"/>
        <v>0</v>
      </c>
      <c r="F12" s="1729">
        <f t="shared" si="0"/>
        <v>131644</v>
      </c>
      <c r="G12" s="1729">
        <f t="shared" si="0"/>
        <v>217914</v>
      </c>
      <c r="H12" s="1729">
        <f t="shared" si="0"/>
        <v>0</v>
      </c>
      <c r="I12" s="1729">
        <f t="shared" si="0"/>
        <v>0</v>
      </c>
      <c r="J12" s="1729">
        <f t="shared" si="0"/>
        <v>81212</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48407</v>
      </c>
      <c r="E16" s="466"/>
      <c r="F16" s="466"/>
      <c r="G16" s="466">
        <v>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48407</v>
      </c>
      <c r="E18" s="1732">
        <f t="shared" si="1"/>
        <v>0</v>
      </c>
      <c r="F18" s="1732">
        <f t="shared" si="1"/>
        <v>0</v>
      </c>
      <c r="G18" s="1732">
        <f t="shared" si="1"/>
        <v>3000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875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875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13825</v>
      </c>
      <c r="D65" s="466">
        <v>1599</v>
      </c>
      <c r="E65" s="466">
        <v>28</v>
      </c>
      <c r="F65" s="467">
        <v>249</v>
      </c>
      <c r="G65" s="466"/>
      <c r="H65" s="466">
        <v>81</v>
      </c>
      <c r="I65" s="466"/>
      <c r="J65" s="467">
        <v>2</v>
      </c>
      <c r="K65" s="466">
        <v>31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13825</v>
      </c>
      <c r="D67" s="1710">
        <f t="shared" ref="D67:K67" si="2">SUM(D65:D66)</f>
        <v>1599</v>
      </c>
      <c r="E67" s="1710">
        <f t="shared" si="2"/>
        <v>28</v>
      </c>
      <c r="F67" s="1710">
        <f t="shared" si="2"/>
        <v>249</v>
      </c>
      <c r="G67" s="1710">
        <f t="shared" si="2"/>
        <v>0</v>
      </c>
      <c r="H67" s="1710">
        <f t="shared" si="2"/>
        <v>81</v>
      </c>
      <c r="I67" s="1710">
        <f t="shared" si="2"/>
        <v>0</v>
      </c>
      <c r="J67" s="1710">
        <f t="shared" si="2"/>
        <v>2</v>
      </c>
      <c r="K67" s="1710">
        <f t="shared" si="2"/>
        <v>31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73794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2737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76531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11859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11859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5408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5408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92036</v>
      </c>
      <c r="D96" s="551">
        <v>7000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75003</v>
      </c>
      <c r="F103" s="468"/>
      <c r="G103" s="468"/>
      <c r="H103" s="489">
        <v>87583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4155</v>
      </c>
      <c r="D107" s="466"/>
      <c r="E107" s="466"/>
      <c r="F107" s="466"/>
      <c r="G107" s="466"/>
      <c r="H107" s="466"/>
      <c r="I107" s="466"/>
      <c r="J107" s="467"/>
      <c r="K107" s="466"/>
    </row>
    <row r="108" spans="1:12" ht="12.75" customHeight="1" thickBot="1" x14ac:dyDescent="0.25">
      <c r="A108" s="1730" t="s">
        <v>508</v>
      </c>
      <c r="B108" s="1734"/>
      <c r="C108" s="1729">
        <f>SUM(C95:C107)</f>
        <v>96191</v>
      </c>
      <c r="D108" s="1729">
        <f t="shared" ref="D108:K108" si="3">SUM(D95:D107)</f>
        <v>7000</v>
      </c>
      <c r="E108" s="1729">
        <f t="shared" si="3"/>
        <v>75003</v>
      </c>
      <c r="F108" s="1729">
        <f t="shared" si="3"/>
        <v>0</v>
      </c>
      <c r="G108" s="1729">
        <f t="shared" si="3"/>
        <v>0</v>
      </c>
      <c r="H108" s="1729">
        <f t="shared" si="3"/>
        <v>87583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3152582</v>
      </c>
      <c r="D109" s="1737">
        <f t="shared" si="4"/>
        <v>438508</v>
      </c>
      <c r="E109" s="1737">
        <f t="shared" si="4"/>
        <v>75031</v>
      </c>
      <c r="F109" s="1737">
        <f t="shared" si="4"/>
        <v>131893</v>
      </c>
      <c r="G109" s="1737">
        <f t="shared" si="4"/>
        <v>220914</v>
      </c>
      <c r="H109" s="1737">
        <f t="shared" si="4"/>
        <v>87664</v>
      </c>
      <c r="I109" s="1737">
        <f t="shared" si="4"/>
        <v>0</v>
      </c>
      <c r="J109" s="1737">
        <f t="shared" si="4"/>
        <v>81214</v>
      </c>
      <c r="K109" s="1724">
        <f t="shared" si="4"/>
        <v>31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203882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203882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17716</v>
      </c>
      <c r="D125" s="561"/>
      <c r="E125" s="468"/>
      <c r="F125" s="466"/>
      <c r="G125" s="468"/>
      <c r="H125" s="468"/>
      <c r="I125" s="468"/>
      <c r="J125" s="468"/>
      <c r="K125" s="468"/>
    </row>
    <row r="126" spans="1:11" ht="12.75" customHeight="1" x14ac:dyDescent="0.2">
      <c r="A126" s="463" t="s">
        <v>922</v>
      </c>
      <c r="B126" s="562">
        <v>3110</v>
      </c>
      <c r="C126" s="551">
        <v>10750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28466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9887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9887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673</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4067</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96287</v>
      </c>
      <c r="G151" s="467"/>
      <c r="H151" s="468"/>
      <c r="I151" s="468"/>
      <c r="J151" s="468"/>
      <c r="K151" s="468"/>
    </row>
    <row r="152" spans="1:11" ht="12.75" customHeight="1" x14ac:dyDescent="0.2">
      <c r="A152" s="463" t="s">
        <v>1117</v>
      </c>
      <c r="B152" s="562">
        <v>3510</v>
      </c>
      <c r="C152" s="551"/>
      <c r="D152" s="466"/>
      <c r="E152" s="561"/>
      <c r="F152" s="466">
        <v>27173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123460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186582</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230425</v>
      </c>
      <c r="D172" s="1744">
        <f t="shared" si="6"/>
        <v>0</v>
      </c>
      <c r="E172" s="1744">
        <f t="shared" si="6"/>
        <v>0</v>
      </c>
      <c r="F172" s="1744">
        <f t="shared" si="6"/>
        <v>123460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434307</v>
      </c>
      <c r="D173" s="1737">
        <f>SUM(D121,D172)</f>
        <v>0</v>
      </c>
      <c r="E173" s="1737">
        <f>SUM(E121,E172)</f>
        <v>0</v>
      </c>
      <c r="F173" s="1737">
        <f t="shared" ref="F173:K173" si="7">SUM(F121,F172)</f>
        <v>123460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35464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6376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41840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49106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49106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16050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v>26567</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143563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143563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3730452</v>
      </c>
      <c r="D275" s="1737">
        <f t="shared" si="12"/>
        <v>438508</v>
      </c>
      <c r="E275" s="1737">
        <f t="shared" si="12"/>
        <v>75031</v>
      </c>
      <c r="F275" s="1737">
        <f t="shared" si="12"/>
        <v>255353</v>
      </c>
      <c r="G275" s="1737">
        <f t="shared" si="12"/>
        <v>220914</v>
      </c>
      <c r="H275" s="1737">
        <f t="shared" si="12"/>
        <v>87664</v>
      </c>
      <c r="I275" s="1737">
        <f t="shared" si="12"/>
        <v>0</v>
      </c>
      <c r="J275" s="1737">
        <f t="shared" si="12"/>
        <v>81214</v>
      </c>
      <c r="K275" s="1724">
        <f t="shared" si="12"/>
        <v>31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notes to the financial statements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4" activePane="bottomLeft" state="frozen"/>
      <selection activeCell="A19" sqref="A19:H19"/>
      <selection pane="bottomLeft" activeCell="A19" sqref="A19:H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4"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1186790</v>
      </c>
      <c r="D5" s="466">
        <v>176984</v>
      </c>
      <c r="E5" s="466">
        <v>56785</v>
      </c>
      <c r="F5" s="466">
        <v>92639</v>
      </c>
      <c r="G5" s="466">
        <v>58833</v>
      </c>
      <c r="H5" s="466">
        <v>450</v>
      </c>
      <c r="I5" s="467"/>
      <c r="J5" s="467"/>
      <c r="K5" s="1693">
        <f>SUM(C5:J5)</f>
        <v>1572481</v>
      </c>
      <c r="L5" s="466">
        <v>1604561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96886</v>
      </c>
      <c r="D7" s="467">
        <v>13647</v>
      </c>
      <c r="E7" s="467"/>
      <c r="F7" s="467">
        <v>8832</v>
      </c>
      <c r="G7" s="467"/>
      <c r="H7" s="467"/>
      <c r="I7" s="467"/>
      <c r="J7" s="467"/>
      <c r="K7" s="1693">
        <f t="shared" ref="K7:K32" si="0">SUM(C7:J7)</f>
        <v>119365</v>
      </c>
      <c r="L7" s="466">
        <v>125274</v>
      </c>
    </row>
    <row r="8" spans="1:14" x14ac:dyDescent="0.2">
      <c r="A8" s="1526" t="s">
        <v>166</v>
      </c>
      <c r="B8" s="615">
        <v>1200</v>
      </c>
      <c r="C8" s="466">
        <v>151438</v>
      </c>
      <c r="D8" s="466">
        <v>27689</v>
      </c>
      <c r="E8" s="466">
        <v>27492</v>
      </c>
      <c r="F8" s="466">
        <v>1183</v>
      </c>
      <c r="G8" s="466"/>
      <c r="H8" s="466"/>
      <c r="I8" s="467"/>
      <c r="J8" s="467"/>
      <c r="K8" s="1693">
        <f t="shared" si="0"/>
        <v>207802</v>
      </c>
      <c r="L8" s="466">
        <v>206905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46838</v>
      </c>
      <c r="D10" s="466">
        <v>15752</v>
      </c>
      <c r="E10" s="466"/>
      <c r="F10" s="466"/>
      <c r="G10" s="466"/>
      <c r="H10" s="466"/>
      <c r="I10" s="467"/>
      <c r="J10" s="467"/>
      <c r="K10" s="1693">
        <f t="shared" si="0"/>
        <v>62590</v>
      </c>
      <c r="L10" s="466">
        <v>68227</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176590</v>
      </c>
      <c r="D13" s="466">
        <v>18597</v>
      </c>
      <c r="E13" s="466"/>
      <c r="F13" s="466">
        <v>23561</v>
      </c>
      <c r="G13" s="466"/>
      <c r="H13" s="466"/>
      <c r="I13" s="467"/>
      <c r="J13" s="467"/>
      <c r="K13" s="1693">
        <f t="shared" si="0"/>
        <v>218748</v>
      </c>
      <c r="L13" s="466">
        <v>191845</v>
      </c>
    </row>
    <row r="14" spans="1:14" x14ac:dyDescent="0.2">
      <c r="A14" s="1526" t="s">
        <v>1020</v>
      </c>
      <c r="B14" s="615">
        <v>1500</v>
      </c>
      <c r="C14" s="466">
        <v>91767</v>
      </c>
      <c r="D14" s="466">
        <v>724</v>
      </c>
      <c r="E14" s="466">
        <v>19549</v>
      </c>
      <c r="F14" s="466">
        <v>26528</v>
      </c>
      <c r="G14" s="466">
        <v>7001</v>
      </c>
      <c r="H14" s="466">
        <v>5218</v>
      </c>
      <c r="I14" s="467"/>
      <c r="J14" s="467"/>
      <c r="K14" s="1693">
        <f t="shared" si="0"/>
        <v>150787</v>
      </c>
      <c r="L14" s="466">
        <v>136250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27880</v>
      </c>
      <c r="D17" s="467">
        <v>2159</v>
      </c>
      <c r="E17" s="467">
        <v>2361</v>
      </c>
      <c r="F17" s="467">
        <v>325</v>
      </c>
      <c r="G17" s="467"/>
      <c r="H17" s="467"/>
      <c r="I17" s="467"/>
      <c r="J17" s="467"/>
      <c r="K17" s="1693">
        <f t="shared" si="0"/>
        <v>32725</v>
      </c>
      <c r="L17" s="466">
        <v>34295</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1778189</v>
      </c>
      <c r="D33" s="1692">
        <f t="shared" ref="D33:L33" si="1">SUM(D5:D32)</f>
        <v>255552</v>
      </c>
      <c r="E33" s="1692">
        <f t="shared" si="1"/>
        <v>106187</v>
      </c>
      <c r="F33" s="1692">
        <f t="shared" si="1"/>
        <v>153068</v>
      </c>
      <c r="G33" s="1692">
        <f t="shared" si="1"/>
        <v>65834</v>
      </c>
      <c r="H33" s="1692">
        <f t="shared" si="1"/>
        <v>5668</v>
      </c>
      <c r="I33" s="1692">
        <f t="shared" si="1"/>
        <v>0</v>
      </c>
      <c r="J33" s="1692">
        <f t="shared" si="1"/>
        <v>0</v>
      </c>
      <c r="K33" s="1692">
        <f t="shared" si="1"/>
        <v>2364498</v>
      </c>
      <c r="L33" s="1692">
        <f t="shared" si="1"/>
        <v>2367357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62925</v>
      </c>
      <c r="D37" s="466">
        <v>5966</v>
      </c>
      <c r="E37" s="466"/>
      <c r="F37" s="466"/>
      <c r="G37" s="466"/>
      <c r="H37" s="466"/>
      <c r="I37" s="467"/>
      <c r="J37" s="467"/>
      <c r="K37" s="1693">
        <f t="shared" si="2"/>
        <v>68891</v>
      </c>
      <c r="L37" s="466">
        <v>73228</v>
      </c>
    </row>
    <row r="38" spans="1:14" x14ac:dyDescent="0.2">
      <c r="A38" s="1526" t="s">
        <v>207</v>
      </c>
      <c r="B38" s="615">
        <v>2130</v>
      </c>
      <c r="C38" s="466">
        <v>23501</v>
      </c>
      <c r="D38" s="466">
        <v>6341</v>
      </c>
      <c r="E38" s="466"/>
      <c r="F38" s="466">
        <v>6105</v>
      </c>
      <c r="G38" s="466"/>
      <c r="H38" s="466"/>
      <c r="I38" s="467"/>
      <c r="J38" s="467"/>
      <c r="K38" s="1693">
        <f t="shared" si="2"/>
        <v>35947</v>
      </c>
      <c r="L38" s="466">
        <v>36350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v>58401</v>
      </c>
      <c r="D41" s="466">
        <v>6309</v>
      </c>
      <c r="E41" s="466">
        <v>9</v>
      </c>
      <c r="F41" s="466">
        <v>13554</v>
      </c>
      <c r="G41" s="466">
        <v>6212</v>
      </c>
      <c r="H41" s="466">
        <v>500</v>
      </c>
      <c r="I41" s="467"/>
      <c r="J41" s="467"/>
      <c r="K41" s="1693">
        <f t="shared" si="2"/>
        <v>84985</v>
      </c>
      <c r="L41" s="466">
        <v>88409</v>
      </c>
    </row>
    <row r="42" spans="1:14" ht="12.75" customHeight="1" thickBot="1" x14ac:dyDescent="0.25">
      <c r="A42" s="1690" t="s">
        <v>581</v>
      </c>
      <c r="B42" s="1691" t="s">
        <v>740</v>
      </c>
      <c r="C42" s="1692">
        <f>SUM(C36:C41)</f>
        <v>144827</v>
      </c>
      <c r="D42" s="1692">
        <f t="shared" ref="D42:L42" si="3">SUM(D36:D41)</f>
        <v>18616</v>
      </c>
      <c r="E42" s="1692">
        <f t="shared" si="3"/>
        <v>9</v>
      </c>
      <c r="F42" s="1692">
        <f t="shared" si="3"/>
        <v>19659</v>
      </c>
      <c r="G42" s="1692">
        <f t="shared" si="3"/>
        <v>6212</v>
      </c>
      <c r="H42" s="1692">
        <f t="shared" si="3"/>
        <v>500</v>
      </c>
      <c r="I42" s="1692">
        <f t="shared" si="3"/>
        <v>0</v>
      </c>
      <c r="J42" s="1692">
        <f t="shared" si="3"/>
        <v>0</v>
      </c>
      <c r="K42" s="1692">
        <f t="shared" si="3"/>
        <v>189823</v>
      </c>
      <c r="L42" s="1692">
        <f t="shared" si="3"/>
        <v>197987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91764</v>
      </c>
      <c r="D44" s="481">
        <v>34934</v>
      </c>
      <c r="E44" s="481">
        <v>17926</v>
      </c>
      <c r="F44" s="481">
        <v>1700</v>
      </c>
      <c r="G44" s="481"/>
      <c r="H44" s="481"/>
      <c r="I44" s="467"/>
      <c r="J44" s="467"/>
      <c r="K44" s="1694">
        <f>SUM(C44:J44)</f>
        <v>146324</v>
      </c>
      <c r="L44" s="481">
        <v>145734</v>
      </c>
    </row>
    <row r="45" spans="1:14" x14ac:dyDescent="0.2">
      <c r="A45" s="1526" t="s">
        <v>869</v>
      </c>
      <c r="B45" s="615">
        <v>2220</v>
      </c>
      <c r="C45" s="466"/>
      <c r="D45" s="466"/>
      <c r="E45" s="466"/>
      <c r="F45" s="466">
        <v>30469</v>
      </c>
      <c r="G45" s="466"/>
      <c r="H45" s="466"/>
      <c r="I45" s="467"/>
      <c r="J45" s="467"/>
      <c r="K45" s="1694">
        <f>SUM(C45:J45)</f>
        <v>30469</v>
      </c>
      <c r="L45" s="466">
        <v>8000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91764</v>
      </c>
      <c r="D47" s="1692">
        <f t="shared" ref="D47:K47" si="4">SUM(D44:D46)</f>
        <v>34934</v>
      </c>
      <c r="E47" s="1692">
        <f t="shared" si="4"/>
        <v>17926</v>
      </c>
      <c r="F47" s="1692">
        <f t="shared" si="4"/>
        <v>32169</v>
      </c>
      <c r="G47" s="1692">
        <f t="shared" si="4"/>
        <v>0</v>
      </c>
      <c r="H47" s="1692">
        <f t="shared" si="4"/>
        <v>0</v>
      </c>
      <c r="I47" s="1692">
        <f t="shared" si="4"/>
        <v>0</v>
      </c>
      <c r="J47" s="1692">
        <f t="shared" si="4"/>
        <v>0</v>
      </c>
      <c r="K47" s="1692">
        <f t="shared" si="4"/>
        <v>176793</v>
      </c>
      <c r="L47" s="1692">
        <f>SUM(L44:L46)</f>
        <v>153734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9687</v>
      </c>
      <c r="D49" s="481"/>
      <c r="E49" s="481">
        <v>30172</v>
      </c>
      <c r="F49" s="481">
        <v>5562</v>
      </c>
      <c r="G49" s="481"/>
      <c r="H49" s="481">
        <v>2341</v>
      </c>
      <c r="I49" s="467"/>
      <c r="J49" s="467"/>
      <c r="K49" s="1694">
        <f>SUM(C49:J49)</f>
        <v>47762</v>
      </c>
      <c r="L49" s="481">
        <v>43537</v>
      </c>
    </row>
    <row r="50" spans="1:14" x14ac:dyDescent="0.2">
      <c r="A50" s="1526" t="s">
        <v>872</v>
      </c>
      <c r="B50" s="615">
        <v>2320</v>
      </c>
      <c r="C50" s="466">
        <v>52563</v>
      </c>
      <c r="D50" s="466">
        <v>5723</v>
      </c>
      <c r="E50" s="466">
        <v>11247</v>
      </c>
      <c r="F50" s="466">
        <v>1440</v>
      </c>
      <c r="G50" s="466"/>
      <c r="H50" s="466">
        <v>1298</v>
      </c>
      <c r="I50" s="467"/>
      <c r="J50" s="467"/>
      <c r="K50" s="1694">
        <f>SUM(C50:J50)</f>
        <v>72271</v>
      </c>
      <c r="L50" s="466">
        <v>79235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62250</v>
      </c>
      <c r="D53" s="1692">
        <f t="shared" ref="D53:L53" si="5">SUM(D49:D52)</f>
        <v>5723</v>
      </c>
      <c r="E53" s="1692">
        <f t="shared" si="5"/>
        <v>41419</v>
      </c>
      <c r="F53" s="1692">
        <f t="shared" si="5"/>
        <v>7002</v>
      </c>
      <c r="G53" s="1692">
        <f t="shared" si="5"/>
        <v>0</v>
      </c>
      <c r="H53" s="1692">
        <f t="shared" si="5"/>
        <v>3639</v>
      </c>
      <c r="I53" s="1692">
        <f t="shared" si="5"/>
        <v>0</v>
      </c>
      <c r="J53" s="1692">
        <f t="shared" si="5"/>
        <v>0</v>
      </c>
      <c r="K53" s="1692">
        <f t="shared" si="5"/>
        <v>120033</v>
      </c>
      <c r="L53" s="1692">
        <f t="shared" si="5"/>
        <v>122772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86277</v>
      </c>
      <c r="D55" s="481">
        <v>24819</v>
      </c>
      <c r="E55" s="481">
        <v>10567</v>
      </c>
      <c r="F55" s="481">
        <v>4869</v>
      </c>
      <c r="G55" s="481"/>
      <c r="H55" s="481">
        <v>1512</v>
      </c>
      <c r="I55" s="467"/>
      <c r="J55" s="467"/>
      <c r="K55" s="1694">
        <f>SUM(C55:J55)</f>
        <v>128044</v>
      </c>
      <c r="L55" s="481">
        <v>132907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86277</v>
      </c>
      <c r="D57" s="1696">
        <f t="shared" ref="D57:K57" si="6">SUM(D55:D56)</f>
        <v>24819</v>
      </c>
      <c r="E57" s="1696">
        <f t="shared" si="6"/>
        <v>10567</v>
      </c>
      <c r="F57" s="1696">
        <f t="shared" si="6"/>
        <v>4869</v>
      </c>
      <c r="G57" s="1696">
        <f t="shared" si="6"/>
        <v>0</v>
      </c>
      <c r="H57" s="1696">
        <f t="shared" si="6"/>
        <v>1512</v>
      </c>
      <c r="I57" s="1696">
        <f t="shared" si="6"/>
        <v>0</v>
      </c>
      <c r="J57" s="1696">
        <f t="shared" si="6"/>
        <v>0</v>
      </c>
      <c r="K57" s="1696">
        <f t="shared" si="6"/>
        <v>128044</v>
      </c>
      <c r="L57" s="1692">
        <f>SUM(L55:L56)</f>
        <v>132907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48424</v>
      </c>
      <c r="D60" s="466">
        <v>6341</v>
      </c>
      <c r="E60" s="466">
        <v>1350</v>
      </c>
      <c r="F60" s="466">
        <v>976</v>
      </c>
      <c r="G60" s="466"/>
      <c r="H60" s="466"/>
      <c r="I60" s="467"/>
      <c r="J60" s="467"/>
      <c r="K60" s="1694">
        <f t="shared" si="7"/>
        <v>57091</v>
      </c>
      <c r="L60" s="466">
        <v>58520</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129285</v>
      </c>
      <c r="D63" s="466">
        <v>26377</v>
      </c>
      <c r="E63" s="466">
        <v>10931</v>
      </c>
      <c r="F63" s="466">
        <v>82783</v>
      </c>
      <c r="G63" s="466">
        <v>4345</v>
      </c>
      <c r="H63" s="466"/>
      <c r="I63" s="467"/>
      <c r="J63" s="467"/>
      <c r="K63" s="1694">
        <f t="shared" si="7"/>
        <v>253721</v>
      </c>
      <c r="L63" s="466">
        <v>281263</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177709</v>
      </c>
      <c r="D65" s="1692">
        <f t="shared" ref="D65:L65" si="8">SUM(D59:D64)</f>
        <v>32718</v>
      </c>
      <c r="E65" s="1692">
        <f t="shared" si="8"/>
        <v>12281</v>
      </c>
      <c r="F65" s="1692">
        <f t="shared" si="8"/>
        <v>83759</v>
      </c>
      <c r="G65" s="1692">
        <f t="shared" si="8"/>
        <v>4345</v>
      </c>
      <c r="H65" s="1692">
        <f t="shared" si="8"/>
        <v>0</v>
      </c>
      <c r="I65" s="1692">
        <f t="shared" si="8"/>
        <v>0</v>
      </c>
      <c r="J65" s="1692">
        <f t="shared" si="8"/>
        <v>0</v>
      </c>
      <c r="K65" s="1692">
        <f t="shared" si="8"/>
        <v>310812</v>
      </c>
      <c r="L65" s="1692">
        <f t="shared" si="8"/>
        <v>339783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562827</v>
      </c>
      <c r="D74" s="1699">
        <f t="shared" ref="D74:K74" si="10">SUM(D42,D47,D53,D57,D65,D72,D73)</f>
        <v>116810</v>
      </c>
      <c r="E74" s="1699">
        <f t="shared" si="10"/>
        <v>82202</v>
      </c>
      <c r="F74" s="1699">
        <f t="shared" si="10"/>
        <v>147458</v>
      </c>
      <c r="G74" s="1699">
        <f t="shared" si="10"/>
        <v>10557</v>
      </c>
      <c r="H74" s="1699">
        <f t="shared" si="10"/>
        <v>5651</v>
      </c>
      <c r="I74" s="1699">
        <f t="shared" si="10"/>
        <v>0</v>
      </c>
      <c r="J74" s="1699">
        <f t="shared" si="10"/>
        <v>0</v>
      </c>
      <c r="K74" s="1699">
        <f t="shared" si="10"/>
        <v>925505</v>
      </c>
      <c r="L74" s="1699">
        <f>SUM(L42,L47,L53,L57,L65,L72,L73)</f>
        <v>947183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v>49893</v>
      </c>
      <c r="I79" s="477"/>
      <c r="J79" s="477"/>
      <c r="K79" s="1693">
        <f t="shared" si="11"/>
        <v>49893</v>
      </c>
      <c r="L79" s="466">
        <v>51000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49893</v>
      </c>
      <c r="I84" s="477"/>
      <c r="J84" s="477"/>
      <c r="K84" s="1692">
        <f>SUM(K78:K83)</f>
        <v>49893</v>
      </c>
      <c r="L84" s="1692">
        <f>SUM(L78:L83)</f>
        <v>51000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3717</v>
      </c>
      <c r="I88" s="477"/>
      <c r="J88" s="477"/>
      <c r="K88" s="1699">
        <f t="shared" si="12"/>
        <v>3717</v>
      </c>
      <c r="L88" s="530">
        <v>5500</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3717</v>
      </c>
      <c r="I92" s="477"/>
      <c r="J92" s="477"/>
      <c r="K92" s="1699">
        <f t="shared" si="12"/>
        <v>3717</v>
      </c>
      <c r="L92" s="1692">
        <f>SUM(L85:L91)</f>
        <v>5500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53610</v>
      </c>
      <c r="I102" s="477"/>
      <c r="J102" s="477"/>
      <c r="K102" s="1699">
        <f>SUM(K84,K92,K100,K101)</f>
        <v>53610</v>
      </c>
      <c r="L102" s="1699">
        <f>SUM(L84,L92,L100,L101)</f>
        <v>56500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40000</v>
      </c>
      <c r="M113" s="614"/>
      <c r="N113" s="614"/>
    </row>
    <row r="114" spans="1:14" ht="12.75" customHeight="1" thickTop="1" thickBot="1" x14ac:dyDescent="0.25">
      <c r="A114" s="1690" t="s">
        <v>50</v>
      </c>
      <c r="B114" s="1704"/>
      <c r="C114" s="1692">
        <f>SUM(C33,C74,C75,C102,C112,C113)</f>
        <v>2341016</v>
      </c>
      <c r="D114" s="1692">
        <f t="shared" ref="D114:K114" si="13">SUM(D33,D74,D75,D102,D112,D113)</f>
        <v>372362</v>
      </c>
      <c r="E114" s="1692">
        <f t="shared" si="13"/>
        <v>188389</v>
      </c>
      <c r="F114" s="1692">
        <f t="shared" si="13"/>
        <v>300526</v>
      </c>
      <c r="G114" s="1692">
        <f t="shared" si="13"/>
        <v>76391</v>
      </c>
      <c r="H114" s="1692">
        <f>SUM(H33,H74,H75,H102,H112,H113)</f>
        <v>64929</v>
      </c>
      <c r="I114" s="1692">
        <f t="shared" si="13"/>
        <v>0</v>
      </c>
      <c r="J114" s="1692">
        <f t="shared" si="13"/>
        <v>0</v>
      </c>
      <c r="K114" s="1692">
        <f t="shared" si="13"/>
        <v>3343613</v>
      </c>
      <c r="L114" s="1692">
        <f>SUM(L33,L74,L75,L102,L112,L113)</f>
        <v>3411040</v>
      </c>
    </row>
    <row r="115" spans="1:14" ht="13.5" thickTop="1" x14ac:dyDescent="0.2">
      <c r="A115" s="2176" t="s">
        <v>1053</v>
      </c>
      <c r="B115" s="2177"/>
      <c r="C115" s="619"/>
      <c r="D115" s="619"/>
      <c r="E115" s="619"/>
      <c r="F115" s="619"/>
      <c r="G115" s="619"/>
      <c r="H115" s="619"/>
      <c r="I115" s="619"/>
      <c r="J115" s="619"/>
      <c r="K115" s="1706">
        <f>'Revenues 9-14'!C275-'Expenditures 15-22'!K114</f>
        <v>386839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160336</v>
      </c>
      <c r="D124" s="466">
        <v>19022</v>
      </c>
      <c r="E124" s="466">
        <v>88680</v>
      </c>
      <c r="F124" s="466">
        <v>127925</v>
      </c>
      <c r="G124" s="466">
        <v>242766</v>
      </c>
      <c r="H124" s="466"/>
      <c r="I124" s="467"/>
      <c r="J124" s="467"/>
      <c r="K124" s="1692">
        <f>SUM(C124:J124)</f>
        <v>638729</v>
      </c>
      <c r="L124" s="466">
        <v>631215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160336</v>
      </c>
      <c r="D127" s="1692">
        <f t="shared" ref="D127:L127" si="14">SUM(D122:D126)</f>
        <v>19022</v>
      </c>
      <c r="E127" s="1692">
        <f t="shared" si="14"/>
        <v>88680</v>
      </c>
      <c r="F127" s="1692">
        <f t="shared" si="14"/>
        <v>127925</v>
      </c>
      <c r="G127" s="1692">
        <f t="shared" si="14"/>
        <v>242766</v>
      </c>
      <c r="H127" s="1692">
        <f t="shared" si="14"/>
        <v>0</v>
      </c>
      <c r="I127" s="1692">
        <f t="shared" si="14"/>
        <v>0</v>
      </c>
      <c r="J127" s="1692">
        <f t="shared" si="14"/>
        <v>0</v>
      </c>
      <c r="K127" s="1692">
        <f t="shared" si="14"/>
        <v>638729</v>
      </c>
      <c r="L127" s="1692">
        <f t="shared" si="14"/>
        <v>631215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160336</v>
      </c>
      <c r="D129" s="1699">
        <f t="shared" ref="D129:L129" si="15">SUM(D120,D127,D128)</f>
        <v>19022</v>
      </c>
      <c r="E129" s="1699">
        <f t="shared" si="15"/>
        <v>88680</v>
      </c>
      <c r="F129" s="1699">
        <f t="shared" si="15"/>
        <v>127925</v>
      </c>
      <c r="G129" s="1699">
        <f t="shared" si="15"/>
        <v>242766</v>
      </c>
      <c r="H129" s="1699">
        <f t="shared" si="15"/>
        <v>0</v>
      </c>
      <c r="I129" s="1699">
        <f t="shared" si="15"/>
        <v>0</v>
      </c>
      <c r="J129" s="1699">
        <f t="shared" si="15"/>
        <v>0</v>
      </c>
      <c r="K129" s="1699">
        <f t="shared" si="15"/>
        <v>638729</v>
      </c>
      <c r="L129" s="1699">
        <f t="shared" si="15"/>
        <v>631215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20000</v>
      </c>
    </row>
    <row r="151" spans="1:14" ht="12.75" customHeight="1" thickTop="1" thickBot="1" x14ac:dyDescent="0.25">
      <c r="A151" s="2193" t="s">
        <v>641</v>
      </c>
      <c r="B151" s="2173"/>
      <c r="C151" s="1692">
        <f>SUM(C129,C130,C139,C149,C150)</f>
        <v>160336</v>
      </c>
      <c r="D151" s="1692">
        <f t="shared" ref="D151:K151" si="16">SUM(D129,D130,D139,D149,D150)</f>
        <v>19022</v>
      </c>
      <c r="E151" s="1692">
        <f t="shared" si="16"/>
        <v>88680</v>
      </c>
      <c r="F151" s="1692">
        <f t="shared" si="16"/>
        <v>127925</v>
      </c>
      <c r="G151" s="1692">
        <f t="shared" si="16"/>
        <v>242766</v>
      </c>
      <c r="H151" s="1692">
        <f t="shared" si="16"/>
        <v>0</v>
      </c>
      <c r="I151" s="1692">
        <f t="shared" si="16"/>
        <v>0</v>
      </c>
      <c r="J151" s="1692">
        <f t="shared" si="16"/>
        <v>0</v>
      </c>
      <c r="K151" s="1692">
        <f t="shared" si="16"/>
        <v>638729</v>
      </c>
      <c r="L151" s="1692">
        <f>SUM(L129,L130,L139,L149,L150)</f>
        <v>651215</v>
      </c>
    </row>
    <row r="152" spans="1:14" ht="12.75" customHeight="1" thickTop="1" x14ac:dyDescent="0.2">
      <c r="A152" s="2196" t="s">
        <v>1240</v>
      </c>
      <c r="B152" s="2197"/>
      <c r="C152" s="619"/>
      <c r="D152" s="619"/>
      <c r="E152" s="619"/>
      <c r="F152" s="619"/>
      <c r="G152" s="619"/>
      <c r="H152" s="619"/>
      <c r="I152" s="619"/>
      <c r="J152" s="617"/>
      <c r="K152" s="1706">
        <f>'Revenues 9-14'!D275-'Expenditures 15-22'!K151</f>
        <v>-200221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14439</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14439</v>
      </c>
    </row>
    <row r="169" spans="1:14" ht="15.75" customHeight="1" thickTop="1" x14ac:dyDescent="0.2">
      <c r="A169" s="670" t="s">
        <v>85</v>
      </c>
      <c r="B169" s="671" t="s">
        <v>38</v>
      </c>
      <c r="C169" s="617"/>
      <c r="D169" s="617"/>
      <c r="E169" s="617"/>
      <c r="F169" s="617"/>
      <c r="G169" s="617"/>
      <c r="H169" s="657">
        <v>31688</v>
      </c>
      <c r="I169" s="617"/>
      <c r="J169" s="617"/>
      <c r="K169" s="1693">
        <f>SUM(C169:H169)</f>
        <v>31688</v>
      </c>
      <c r="L169" s="657">
        <v>120700</v>
      </c>
    </row>
    <row r="170" spans="1:14" ht="33.75" customHeight="1" x14ac:dyDescent="0.2">
      <c r="A170" s="670" t="s">
        <v>1769</v>
      </c>
      <c r="B170" s="672" t="s">
        <v>31</v>
      </c>
      <c r="C170" s="617"/>
      <c r="D170" s="617"/>
      <c r="E170" s="617"/>
      <c r="F170" s="617"/>
      <c r="G170" s="617"/>
      <c r="H170" s="569">
        <v>115000</v>
      </c>
      <c r="I170" s="617"/>
      <c r="J170" s="617"/>
      <c r="K170" s="1693">
        <f>SUM(C170:J170)</f>
        <v>115000</v>
      </c>
      <c r="L170" s="569"/>
    </row>
    <row r="171" spans="1:14" ht="15.75" customHeight="1" x14ac:dyDescent="0.2">
      <c r="A171" s="622" t="s">
        <v>790</v>
      </c>
      <c r="B171" s="673" t="s">
        <v>86</v>
      </c>
      <c r="C171" s="617"/>
      <c r="D171" s="617"/>
      <c r="E171" s="466"/>
      <c r="F171" s="617"/>
      <c r="G171" s="617"/>
      <c r="H171" s="569">
        <v>1000</v>
      </c>
      <c r="I171" s="477"/>
      <c r="J171" s="617"/>
      <c r="K171" s="1693">
        <f>SUM(C171:J171)</f>
        <v>1000</v>
      </c>
      <c r="L171" s="569"/>
    </row>
    <row r="172" spans="1:14" ht="12.75" customHeight="1" thickBot="1" x14ac:dyDescent="0.25">
      <c r="A172" s="1690" t="s">
        <v>659</v>
      </c>
      <c r="B172" s="1691" t="s">
        <v>513</v>
      </c>
      <c r="C172" s="617"/>
      <c r="D172" s="617"/>
      <c r="E172" s="1699">
        <f>SUM(E168,E169,E170,E171)</f>
        <v>0</v>
      </c>
      <c r="F172" s="617"/>
      <c r="G172" s="617"/>
      <c r="H172" s="1699">
        <f>SUM(H168,H169,H170,H171)</f>
        <v>147688</v>
      </c>
      <c r="I172" s="639"/>
      <c r="J172" s="617"/>
      <c r="K172" s="1699">
        <f>SUM(K168,K169,K170,K171)</f>
        <v>147688</v>
      </c>
      <c r="L172" s="1699">
        <f>SUM(L168,L169,L170,L171)</f>
        <v>135139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147688</v>
      </c>
      <c r="I174" s="639"/>
      <c r="J174" s="617"/>
      <c r="K174" s="1699">
        <f>SUM(K160,K172,K173)</f>
        <v>147688</v>
      </c>
      <c r="L174" s="1699">
        <f>SUM(L160,L172,L173)</f>
        <v>135139</v>
      </c>
    </row>
    <row r="175" spans="1:14" ht="13.5" thickTop="1" x14ac:dyDescent="0.2">
      <c r="A175" s="2176" t="s">
        <v>1053</v>
      </c>
      <c r="B175" s="2177"/>
      <c r="C175" s="617"/>
      <c r="D175" s="617"/>
      <c r="E175" s="617"/>
      <c r="F175" s="617"/>
      <c r="G175" s="617"/>
      <c r="H175" s="619"/>
      <c r="I175" s="617"/>
      <c r="J175" s="617"/>
      <c r="K175" s="1706">
        <f>'Revenues 9-14'!E275-'Expenditures 15-22'!K174</f>
        <v>-72657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186955</v>
      </c>
      <c r="D182" s="466">
        <v>6918</v>
      </c>
      <c r="E182" s="466">
        <v>20965</v>
      </c>
      <c r="F182" s="466">
        <v>35918</v>
      </c>
      <c r="G182" s="466">
        <v>50753</v>
      </c>
      <c r="H182" s="466"/>
      <c r="I182" s="467"/>
      <c r="J182" s="467"/>
      <c r="K182" s="1693">
        <f>SUM(C182:J182)</f>
        <v>301509</v>
      </c>
      <c r="L182" s="466">
        <v>277917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186955</v>
      </c>
      <c r="D184" s="1699">
        <f t="shared" ref="D184:J184" si="17">SUM(D180,D182,D183)</f>
        <v>6918</v>
      </c>
      <c r="E184" s="1699">
        <f t="shared" si="17"/>
        <v>20965</v>
      </c>
      <c r="F184" s="1699">
        <f t="shared" si="17"/>
        <v>35918</v>
      </c>
      <c r="G184" s="1699">
        <f t="shared" si="17"/>
        <v>50753</v>
      </c>
      <c r="H184" s="1699">
        <f t="shared" si="17"/>
        <v>0</v>
      </c>
      <c r="I184" s="1699">
        <f t="shared" si="17"/>
        <v>0</v>
      </c>
      <c r="J184" s="1699">
        <f t="shared" si="17"/>
        <v>0</v>
      </c>
      <c r="K184" s="1699">
        <f>SUM(K180,K182,K183)</f>
        <v>301509</v>
      </c>
      <c r="L184" s="1699">
        <f>SUM(L180, L182:L183)</f>
        <v>277917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10000</v>
      </c>
    </row>
    <row r="210" spans="1:14" ht="12.75" customHeight="1" thickTop="1" thickBot="1" x14ac:dyDescent="0.25">
      <c r="A210" s="1714" t="s">
        <v>295</v>
      </c>
      <c r="B210" s="1715"/>
      <c r="C210" s="1692">
        <f>SUM(C184,C185)</f>
        <v>186955</v>
      </c>
      <c r="D210" s="1692">
        <f>SUM(D184,D185)</f>
        <v>6918</v>
      </c>
      <c r="E210" s="1692">
        <f>SUM(E184,E185,E196)</f>
        <v>20965</v>
      </c>
      <c r="F210" s="1692">
        <f>SUM(F184,F185)</f>
        <v>35918</v>
      </c>
      <c r="G210" s="1692">
        <f>SUM(G184,G185)</f>
        <v>50753</v>
      </c>
      <c r="H210" s="1692">
        <f>SUM(H184,H185,H196,H208,H209)</f>
        <v>0</v>
      </c>
      <c r="I210" s="1692">
        <f>SUM(I184,I185)</f>
        <v>0</v>
      </c>
      <c r="J210" s="1692">
        <f>SUM(J184,J185)</f>
        <v>0</v>
      </c>
      <c r="K210" s="1693">
        <f>SUM(K184,K185,K196,K208,K209)</f>
        <v>301509</v>
      </c>
      <c r="L210" s="1692">
        <f>SUM(L184,L185,L196,L208,L209)</f>
        <v>287917</v>
      </c>
    </row>
    <row r="211" spans="1:14" ht="13.5" thickTop="1" x14ac:dyDescent="0.2">
      <c r="A211" s="2176" t="s">
        <v>1053</v>
      </c>
      <c r="B211" s="2177"/>
      <c r="C211" s="619"/>
      <c r="D211" s="619"/>
      <c r="E211" s="619"/>
      <c r="F211" s="619"/>
      <c r="G211" s="619"/>
      <c r="H211" s="619"/>
      <c r="I211" s="617"/>
      <c r="J211" s="617"/>
      <c r="K211" s="1706">
        <f>'Revenues 9-14'!F275-'Expenditures 15-22'!K210</f>
        <v>-46156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32972</v>
      </c>
      <c r="E215" s="617"/>
      <c r="F215" s="617"/>
      <c r="G215" s="617"/>
      <c r="H215" s="617"/>
      <c r="I215" s="617"/>
      <c r="J215" s="617"/>
      <c r="K215" s="1693">
        <f>D215</f>
        <v>32972</v>
      </c>
      <c r="L215" s="466">
        <v>29793</v>
      </c>
    </row>
    <row r="216" spans="1:14" x14ac:dyDescent="0.2">
      <c r="A216" s="1526" t="s">
        <v>165</v>
      </c>
      <c r="B216" s="615" t="s">
        <v>1024</v>
      </c>
      <c r="C216" s="617"/>
      <c r="D216" s="467">
        <v>6164</v>
      </c>
      <c r="E216" s="617"/>
      <c r="F216" s="617"/>
      <c r="G216" s="617"/>
      <c r="H216" s="617"/>
      <c r="I216" s="617"/>
      <c r="J216" s="617"/>
      <c r="K216" s="1693">
        <f t="shared" ref="K216:K228" si="19">D216</f>
        <v>6164</v>
      </c>
      <c r="L216" s="466">
        <v>5788</v>
      </c>
    </row>
    <row r="217" spans="1:14" x14ac:dyDescent="0.2">
      <c r="A217" s="1526" t="s">
        <v>166</v>
      </c>
      <c r="B217" s="615">
        <v>1200</v>
      </c>
      <c r="C217" s="617"/>
      <c r="D217" s="466">
        <v>10117</v>
      </c>
      <c r="E217" s="617"/>
      <c r="F217" s="617"/>
      <c r="G217" s="617"/>
      <c r="H217" s="617"/>
      <c r="I217" s="617"/>
      <c r="J217" s="617"/>
      <c r="K217" s="1693">
        <f t="shared" si="19"/>
        <v>10117</v>
      </c>
      <c r="L217" s="466">
        <v>5415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9357</v>
      </c>
      <c r="E219" s="617"/>
      <c r="F219" s="617"/>
      <c r="G219" s="617"/>
      <c r="H219" s="617"/>
      <c r="I219" s="617"/>
      <c r="J219" s="617"/>
      <c r="K219" s="1693">
        <f t="shared" si="19"/>
        <v>9357</v>
      </c>
      <c r="L219" s="466">
        <v>10779</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2486</v>
      </c>
      <c r="E222" s="617"/>
      <c r="F222" s="617"/>
      <c r="G222" s="617"/>
      <c r="H222" s="617"/>
      <c r="I222" s="617"/>
      <c r="J222" s="617"/>
      <c r="K222" s="1693">
        <f t="shared" si="19"/>
        <v>2486</v>
      </c>
      <c r="L222" s="466">
        <v>2300</v>
      </c>
    </row>
    <row r="223" spans="1:14" x14ac:dyDescent="0.2">
      <c r="A223" s="1526" t="s">
        <v>1020</v>
      </c>
      <c r="B223" s="615">
        <v>1500</v>
      </c>
      <c r="C223" s="617"/>
      <c r="D223" s="466">
        <v>4434</v>
      </c>
      <c r="E223" s="617"/>
      <c r="F223" s="617"/>
      <c r="G223" s="617"/>
      <c r="H223" s="617"/>
      <c r="I223" s="617"/>
      <c r="J223" s="617"/>
      <c r="K223" s="1693">
        <f t="shared" si="19"/>
        <v>4434</v>
      </c>
      <c r="L223" s="466">
        <v>4485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404</v>
      </c>
      <c r="E226" s="617"/>
      <c r="F226" s="617"/>
      <c r="G226" s="617"/>
      <c r="H226" s="617"/>
      <c r="I226" s="617"/>
      <c r="J226" s="617"/>
      <c r="K226" s="1693">
        <f t="shared" si="19"/>
        <v>404</v>
      </c>
      <c r="L226" s="466">
        <v>400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65934</v>
      </c>
      <c r="E229" s="617"/>
      <c r="F229" s="617"/>
      <c r="G229" s="617"/>
      <c r="H229" s="617"/>
      <c r="I229" s="617"/>
      <c r="J229" s="617"/>
      <c r="K229" s="1692">
        <f>SUM(K215:K228)</f>
        <v>65934</v>
      </c>
      <c r="L229" s="1692">
        <f>SUM(L215:L228)</f>
        <v>58960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912</v>
      </c>
      <c r="E233" s="617"/>
      <c r="F233" s="617"/>
      <c r="G233" s="617"/>
      <c r="H233" s="617"/>
      <c r="I233" s="617"/>
      <c r="J233" s="617"/>
      <c r="K233" s="1693">
        <f t="shared" si="20"/>
        <v>912</v>
      </c>
      <c r="L233" s="466">
        <v>650</v>
      </c>
    </row>
    <row r="234" spans="1:12" x14ac:dyDescent="0.2">
      <c r="A234" s="1526" t="s">
        <v>207</v>
      </c>
      <c r="B234" s="615">
        <v>2130</v>
      </c>
      <c r="C234" s="617"/>
      <c r="D234" s="466">
        <v>4700</v>
      </c>
      <c r="E234" s="617"/>
      <c r="F234" s="617"/>
      <c r="G234" s="617"/>
      <c r="H234" s="617"/>
      <c r="I234" s="617"/>
      <c r="J234" s="617"/>
      <c r="K234" s="1693">
        <f t="shared" si="20"/>
        <v>4700</v>
      </c>
      <c r="L234" s="466">
        <v>4340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11668</v>
      </c>
      <c r="E237" s="617"/>
      <c r="F237" s="617"/>
      <c r="G237" s="617"/>
      <c r="H237" s="617"/>
      <c r="I237" s="617"/>
      <c r="J237" s="617"/>
      <c r="K237" s="1693">
        <f t="shared" si="20"/>
        <v>11668</v>
      </c>
      <c r="L237" s="466">
        <v>11650</v>
      </c>
    </row>
    <row r="238" spans="1:12" ht="12.75" customHeight="1" thickBot="1" x14ac:dyDescent="0.25">
      <c r="A238" s="1690" t="s">
        <v>581</v>
      </c>
      <c r="B238" s="1697" t="s">
        <v>740</v>
      </c>
      <c r="C238" s="617"/>
      <c r="D238" s="1692">
        <f>SUM(D232:D237)</f>
        <v>17280</v>
      </c>
      <c r="E238" s="617"/>
      <c r="F238" s="617"/>
      <c r="G238" s="617"/>
      <c r="H238" s="617"/>
      <c r="I238" s="617"/>
      <c r="J238" s="617"/>
      <c r="K238" s="1692">
        <f>SUM(K232:K237)</f>
        <v>17280</v>
      </c>
      <c r="L238" s="1692">
        <f>SUM(L232:L237)</f>
        <v>16640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5565</v>
      </c>
      <c r="E240" s="617"/>
      <c r="F240" s="617"/>
      <c r="G240" s="617"/>
      <c r="H240" s="617"/>
      <c r="I240" s="617"/>
      <c r="J240" s="617"/>
      <c r="K240" s="1694">
        <f>D240</f>
        <v>5565</v>
      </c>
      <c r="L240" s="481">
        <v>4525</v>
      </c>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5565</v>
      </c>
      <c r="E243" s="617"/>
      <c r="F243" s="617"/>
      <c r="G243" s="617"/>
      <c r="H243" s="617"/>
      <c r="I243" s="617"/>
      <c r="J243" s="617"/>
      <c r="K243" s="1692">
        <f>SUM(K240:K242)</f>
        <v>5565</v>
      </c>
      <c r="L243" s="1692">
        <f>SUM(L240:L242)</f>
        <v>4525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741</v>
      </c>
      <c r="E245" s="617"/>
      <c r="F245" s="617"/>
      <c r="G245" s="617"/>
      <c r="H245" s="617"/>
      <c r="I245" s="617"/>
      <c r="J245" s="617"/>
      <c r="K245" s="1694">
        <f>D245</f>
        <v>741</v>
      </c>
      <c r="L245" s="481">
        <v>750</v>
      </c>
    </row>
    <row r="246" spans="1:12" x14ac:dyDescent="0.2">
      <c r="A246" s="1526" t="s">
        <v>872</v>
      </c>
      <c r="B246" s="615">
        <v>2320</v>
      </c>
      <c r="C246" s="617"/>
      <c r="D246" s="466">
        <v>762</v>
      </c>
      <c r="E246" s="617"/>
      <c r="F246" s="617"/>
      <c r="G246" s="617"/>
      <c r="H246" s="617"/>
      <c r="I246" s="617"/>
      <c r="J246" s="617"/>
      <c r="K246" s="1694">
        <f t="shared" ref="K246:K256" si="21">D246</f>
        <v>762</v>
      </c>
      <c r="L246" s="466">
        <v>1850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1503</v>
      </c>
      <c r="E257" s="617"/>
      <c r="F257" s="617"/>
      <c r="G257" s="617"/>
      <c r="H257" s="617"/>
      <c r="I257" s="617"/>
      <c r="J257" s="617"/>
      <c r="K257" s="1692">
        <f>SUM(K245:K256)</f>
        <v>1503</v>
      </c>
      <c r="L257" s="1692">
        <f>SUM(L245:L256)</f>
        <v>2600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9029</v>
      </c>
      <c r="E259" s="617"/>
      <c r="F259" s="617"/>
      <c r="G259" s="617"/>
      <c r="H259" s="617"/>
      <c r="I259" s="617"/>
      <c r="J259" s="617"/>
      <c r="K259" s="1694">
        <f>D259</f>
        <v>9029</v>
      </c>
      <c r="L259" s="481">
        <v>9050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9029</v>
      </c>
      <c r="E261" s="617"/>
      <c r="F261" s="617"/>
      <c r="G261" s="617"/>
      <c r="H261" s="617"/>
      <c r="I261" s="617"/>
      <c r="J261" s="617"/>
      <c r="K261" s="1692">
        <f>SUM(K259:K260)</f>
        <v>9029</v>
      </c>
      <c r="L261" s="1692">
        <f>SUM(L259:L260)</f>
        <v>9050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9670</v>
      </c>
      <c r="E264" s="617"/>
      <c r="F264" s="617"/>
      <c r="G264" s="617"/>
      <c r="H264" s="617"/>
      <c r="I264" s="617"/>
      <c r="J264" s="617"/>
      <c r="K264" s="1694">
        <f t="shared" ref="K264:K269" si="22">D264</f>
        <v>9670</v>
      </c>
      <c r="L264" s="466">
        <v>9600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30376</v>
      </c>
      <c r="E266" s="617"/>
      <c r="F266" s="617"/>
      <c r="G266" s="617"/>
      <c r="H266" s="617"/>
      <c r="I266" s="617"/>
      <c r="J266" s="617"/>
      <c r="K266" s="1694">
        <f t="shared" si="22"/>
        <v>30376</v>
      </c>
      <c r="L266" s="466">
        <v>35250</v>
      </c>
    </row>
    <row r="267" spans="1:14" x14ac:dyDescent="0.2">
      <c r="A267" s="1526" t="s">
        <v>1010</v>
      </c>
      <c r="B267" s="615">
        <v>2550</v>
      </c>
      <c r="C267" s="617"/>
      <c r="D267" s="466">
        <v>28527</v>
      </c>
      <c r="E267" s="617"/>
      <c r="F267" s="617"/>
      <c r="G267" s="617"/>
      <c r="H267" s="617"/>
      <c r="I267" s="617"/>
      <c r="J267" s="617"/>
      <c r="K267" s="1694">
        <f t="shared" si="22"/>
        <v>28527</v>
      </c>
      <c r="L267" s="466">
        <v>27650</v>
      </c>
    </row>
    <row r="268" spans="1:14" x14ac:dyDescent="0.2">
      <c r="A268" s="1526" t="s">
        <v>102</v>
      </c>
      <c r="B268" s="615">
        <v>2560</v>
      </c>
      <c r="C268" s="617"/>
      <c r="D268" s="466">
        <v>31112</v>
      </c>
      <c r="E268" s="617"/>
      <c r="F268" s="617"/>
      <c r="G268" s="617"/>
      <c r="H268" s="617"/>
      <c r="I268" s="617"/>
      <c r="J268" s="617"/>
      <c r="K268" s="1694">
        <f t="shared" si="22"/>
        <v>31112</v>
      </c>
      <c r="L268" s="466">
        <v>23650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99685</v>
      </c>
      <c r="E270" s="617"/>
      <c r="F270" s="617"/>
      <c r="G270" s="617"/>
      <c r="H270" s="617"/>
      <c r="I270" s="617"/>
      <c r="J270" s="617"/>
      <c r="K270" s="1692">
        <f>SUM(K263:K269)</f>
        <v>99685</v>
      </c>
      <c r="L270" s="1692">
        <f>SUM(L263:L269)</f>
        <v>96150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133062</v>
      </c>
      <c r="E279" s="617"/>
      <c r="F279" s="617"/>
      <c r="G279" s="617"/>
      <c r="H279" s="617"/>
      <c r="I279" s="617"/>
      <c r="J279" s="617"/>
      <c r="K279" s="1699">
        <f>SUM(K238,K243,K257,K261,K270,K277,K278)</f>
        <v>133062</v>
      </c>
      <c r="L279" s="1699">
        <f>SUM(L238,L243,L257,L261,L270,L277,L278)</f>
        <v>128965</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198996</v>
      </c>
      <c r="E295" s="617"/>
      <c r="F295" s="617"/>
      <c r="G295" s="617"/>
      <c r="H295" s="1692">
        <f>H293</f>
        <v>0</v>
      </c>
      <c r="I295" s="617"/>
      <c r="J295" s="617"/>
      <c r="K295" s="1692">
        <f>SUM(K229,K279,K280,K285,K293,K294)</f>
        <v>198996</v>
      </c>
      <c r="L295" s="1692">
        <f>SUM(L229,L279,L280,L285,L293,L294)</f>
        <v>187925</v>
      </c>
    </row>
    <row r="296" spans="1:14" ht="13.5" thickTop="1" x14ac:dyDescent="0.2">
      <c r="A296" s="2176" t="s">
        <v>1053</v>
      </c>
      <c r="B296" s="2177"/>
      <c r="C296" s="617"/>
      <c r="D296" s="619"/>
      <c r="E296" s="617"/>
      <c r="F296" s="617"/>
      <c r="G296" s="617"/>
      <c r="H296" s="688"/>
      <c r="I296" s="617"/>
      <c r="J296" s="617"/>
      <c r="K296" s="1706">
        <f>'Revenues 9-14'!G275-'Expenditures 15-22'!K295</f>
        <v>21918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665284</v>
      </c>
      <c r="F301" s="466"/>
      <c r="G301" s="466"/>
      <c r="H301" s="466"/>
      <c r="I301" s="467"/>
      <c r="J301" s="467"/>
      <c r="K301" s="1693">
        <f>SUM(C301:J301)</f>
        <v>665284</v>
      </c>
      <c r="L301" s="467">
        <v>589975</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665284</v>
      </c>
      <c r="F303" s="1699">
        <f t="shared" si="23"/>
        <v>0</v>
      </c>
      <c r="G303" s="1699">
        <f t="shared" si="23"/>
        <v>0</v>
      </c>
      <c r="H303" s="1699">
        <f t="shared" si="23"/>
        <v>0</v>
      </c>
      <c r="I303" s="1699">
        <f t="shared" si="23"/>
        <v>0</v>
      </c>
      <c r="J303" s="1699">
        <f t="shared" si="23"/>
        <v>0</v>
      </c>
      <c r="K303" s="1699">
        <f t="shared" si="23"/>
        <v>665284</v>
      </c>
      <c r="L303" s="1699">
        <f t="shared" si="23"/>
        <v>589975</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665284</v>
      </c>
      <c r="F312" s="1692">
        <f>SUM(F303)</f>
        <v>0</v>
      </c>
      <c r="G312" s="1692">
        <f>SUM(G303)</f>
        <v>0</v>
      </c>
      <c r="H312" s="1692">
        <f>SUM(H303,H310)</f>
        <v>0</v>
      </c>
      <c r="I312" s="1692">
        <f>SUM(I303)</f>
        <v>0</v>
      </c>
      <c r="J312" s="1692">
        <f>SUM(J303)</f>
        <v>0</v>
      </c>
      <c r="K312" s="1692">
        <f>SUM(K303,K310,K311)</f>
        <v>665284</v>
      </c>
      <c r="L312" s="1692">
        <f>SUM(L303,L310,L311)</f>
        <v>589975</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-577620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26780</v>
      </c>
      <c r="F320" s="467"/>
      <c r="G320" s="467"/>
      <c r="H320" s="467"/>
      <c r="I320" s="467"/>
      <c r="J320" s="467"/>
      <c r="K320" s="1693">
        <f t="shared" ref="K320:K327" si="24">SUM(C320:J320)</f>
        <v>26780</v>
      </c>
      <c r="L320" s="467">
        <v>35000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22040</v>
      </c>
      <c r="F322" s="467"/>
      <c r="G322" s="467"/>
      <c r="H322" s="467"/>
      <c r="I322" s="467"/>
      <c r="J322" s="467"/>
      <c r="K322" s="1693">
        <f t="shared" si="24"/>
        <v>22040</v>
      </c>
      <c r="L322" s="467">
        <v>37500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250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24357</v>
      </c>
      <c r="F327" s="467"/>
      <c r="G327" s="467"/>
      <c r="H327" s="467"/>
      <c r="I327" s="467"/>
      <c r="J327" s="467"/>
      <c r="K327" s="1693">
        <f t="shared" si="24"/>
        <v>24357</v>
      </c>
      <c r="L327" s="467">
        <v>35000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73177</v>
      </c>
      <c r="F330" s="1692">
        <f t="shared" si="25"/>
        <v>0</v>
      </c>
      <c r="G330" s="1692">
        <f t="shared" si="25"/>
        <v>0</v>
      </c>
      <c r="H330" s="1692">
        <f t="shared" si="25"/>
        <v>0</v>
      </c>
      <c r="I330" s="1692">
        <f t="shared" si="25"/>
        <v>0</v>
      </c>
      <c r="J330" s="1692">
        <f t="shared" si="25"/>
        <v>0</v>
      </c>
      <c r="K330" s="1692">
        <f>SUM(K319:K329)</f>
        <v>73177</v>
      </c>
      <c r="L330" s="1692">
        <f>SUM(L319:L329)</f>
        <v>107750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73177</v>
      </c>
      <c r="F342" s="1692">
        <f>SUM(F330)</f>
        <v>0</v>
      </c>
      <c r="G342" s="1692">
        <f>SUM(G330)</f>
        <v>0</v>
      </c>
      <c r="H342" s="1692">
        <f>SUM(H330,H334,H340)</f>
        <v>0</v>
      </c>
      <c r="I342" s="1692">
        <f>SUM(I330)</f>
        <v>0</v>
      </c>
      <c r="J342" s="1692">
        <f>SUM(J330)</f>
        <v>0</v>
      </c>
      <c r="K342" s="1692">
        <f>SUM(K330,K334,K340)</f>
        <v>73177</v>
      </c>
      <c r="L342" s="1699">
        <f>SUM(L330,L340,L341)</f>
        <v>107750</v>
      </c>
    </row>
    <row r="343" spans="1:14" ht="12.75" customHeight="1" thickTop="1" x14ac:dyDescent="0.2">
      <c r="A343" s="2189" t="s">
        <v>1053</v>
      </c>
      <c r="B343" s="2190"/>
      <c r="C343" s="617"/>
      <c r="D343" s="617"/>
      <c r="E343" s="617"/>
      <c r="F343" s="617"/>
      <c r="G343" s="617"/>
      <c r="H343" s="617"/>
      <c r="I343" s="617"/>
      <c r="J343" s="617"/>
      <c r="K343" s="1706">
        <f>'Revenues 9-14'!J275-'Expenditures 15-22'!K342</f>
        <v>8037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31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notes to the financial statements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4d435f69-8686-490b-bd6d-b153bf22ab50"/>
    <ds:schemaRef ds:uri="d21dc803-237d-4c68-8692-8d731fd29118"/>
    <ds:schemaRef ds:uri="http://purl.org/dc/elements/1.1/"/>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2018-10-04T17:22:50Z</cp:lastPrinted>
  <dcterms:created xsi:type="dcterms:W3CDTF">2003-10-29T19:06:34Z</dcterms:created>
  <dcterms:modified xsi:type="dcterms:W3CDTF">2018-11-15T15:14:52Z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